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Default Extension="jpeg" ContentType="image/jpeg"/>
  <Override PartName="/xl/workbook.xml" ContentType="application/vnd.openxmlformats-officedocument.spreadsheetml.sheet.main+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drawings/drawing3.xml" ContentType="application/vnd.openxmlformats-officedocument.drawing+xml"/>
  <Override PartName="/xl/drawings/vmlDrawing3.vml" ContentType="application/vnd.openxmlformats-officedocument.vmlDrawing"/>
  <Override PartName="/xl/comments3.xml" ContentType="application/vnd.openxmlformats-officedocument.spreadsheetml.comments+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drawings/vmlDrawing5.vml" ContentType="application/vnd.openxmlformats-officedocument.vmlDrawing"/>
  <Override PartName="/xl/comments5.xml" ContentType="application/vnd.openxmlformats-officedocument.spreadsheetml.comments+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drawings/vmlDrawing8.vml" ContentType="application/vnd.openxmlformats-officedocument.vmlDrawing"/>
  <Override PartName="/xl/comments8.xml" ContentType="application/vnd.openxmlformats-officedocument.spreadsheetml.comments+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officeDocument/2006/relationships/extended-properties" Target="docProps/app.xml"/><Relationship Id="rId3" Type="http://schemas.openxmlformats.org/package/2006/relationships/metadata/core-properties" Target="docProps/core.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fileVersion appName="xl" lastEdited="5" lowestEdited="5" rupBuild="9303"/>
  <workbookPr defaultThemeVersion="124226"/>
  <bookViews>
    <workbookView xWindow="135" yWindow="-210" windowWidth="19530" windowHeight="7680" firstSheet="7" activeTab="0"/>
  </bookViews>
  <sheets>
    <sheet name="उपयोग हेतु निर्देश" sheetId="1" r:id="rId3"/>
    <sheet name="MASTER DATA SHEET" sheetId="2" r:id="rId4"/>
    <sheet name="GA-55" sheetId="3" r:id="rId5"/>
    <sheet name="OTHER DEDUCTION" sheetId="4" r:id="rId6"/>
    <sheet name="HRA CALCULATOR" sheetId="5" r:id="rId7"/>
    <sheet name="RENT RECEIPT" sheetId="6" r:id="rId8"/>
    <sheet name="TAX (NEW REGIME)" sheetId="7" r:id="rId9"/>
    <sheet name="TAX (OLD REGIME)" sheetId="8" r:id="rId10"/>
    <sheet name="16 NO NEW REGIME " sheetId="9" r:id="rId11"/>
    <sheet name="16 NO FOR OLD REGIEME " sheetId="10" r:id="rId12"/>
    <sheet name="ALL EMP TAX CALCULATE  REPORT" sheetId="11" r:id="rId13"/>
  </sheets>
  <externalReferences>
    <externalReference r:id="rId1"/>
    <externalReference r:id="rId2"/>
  </externalReferences>
  <definedNames>
    <definedName name="_tds1" localSheetId="9">#REF!</definedName>
    <definedName name="_tds1" localSheetId="6">#REF!</definedName>
    <definedName name="_tds1">#REF!</definedName>
    <definedName name="_tds2" localSheetId="9">#REF!</definedName>
    <definedName name="_tds2" localSheetId="6">#REF!</definedName>
    <definedName name="_tds2">#REF!</definedName>
    <definedName name="AIR.Code001" localSheetId="9">#REF!</definedName>
    <definedName name="AIR.Code001" localSheetId="6">#REF!</definedName>
    <definedName name="AIR.Code001">#REF!</definedName>
    <definedName name="AIR.Code002" localSheetId="9">#REF!</definedName>
    <definedName name="AIR.Code002" localSheetId="6">#REF!</definedName>
    <definedName name="AIR.Code002">#REF!</definedName>
    <definedName name="AIR.Code003" localSheetId="9">#REF!</definedName>
    <definedName name="AIR.Code003" localSheetId="6">#REF!</definedName>
    <definedName name="AIR.Code003">#REF!</definedName>
    <definedName name="AIR.Code004" localSheetId="9">#REF!</definedName>
    <definedName name="AIR.Code004" localSheetId="6">#REF!</definedName>
    <definedName name="AIR.Code004">#REF!</definedName>
    <definedName name="AIR.Code005" localSheetId="9">#REF!</definedName>
    <definedName name="AIR.Code005" localSheetId="6">#REF!</definedName>
    <definedName name="AIR.Code005">#REF!</definedName>
    <definedName name="AIR.Code006" localSheetId="9">#REF!</definedName>
    <definedName name="AIR.Code006" localSheetId="6">#REF!</definedName>
    <definedName name="AIR.Code006">#REF!</definedName>
    <definedName name="AIR.Code007" localSheetId="9">#REF!</definedName>
    <definedName name="AIR.Code007" localSheetId="6">#REF!</definedName>
    <definedName name="AIR.Code007">#REF!</definedName>
    <definedName name="AIR.Code008" localSheetId="9">#REF!</definedName>
    <definedName name="AIR.Code008" localSheetId="6">#REF!</definedName>
    <definedName name="AIR.Code008">#REF!</definedName>
    <definedName name="AIR.TaxExmpIntInc" localSheetId="9">#REF!</definedName>
    <definedName name="AIR.TaxExmpIntInc" localSheetId="6">#REF!</definedName>
    <definedName name="AIR.TaxExmpIntInc">#REF!</definedName>
    <definedName name="Bank1" localSheetId="9">#REF!</definedName>
    <definedName name="Bank1" localSheetId="6">#REF!</definedName>
    <definedName name="Bank1">#REF!</definedName>
    <definedName name="Bank10" localSheetId="9">#REF!</definedName>
    <definedName name="Bank10" localSheetId="6">#REF!</definedName>
    <definedName name="Bank10">#REF!</definedName>
    <definedName name="Bank11" localSheetId="9">#REF!</definedName>
    <definedName name="Bank11" localSheetId="6">#REF!</definedName>
    <definedName name="Bank11">#REF!</definedName>
    <definedName name="Bank12" localSheetId="9">#REF!</definedName>
    <definedName name="Bank12" localSheetId="6">#REF!</definedName>
    <definedName name="Bank12">#REF!</definedName>
    <definedName name="Bank2" localSheetId="9">#REF!</definedName>
    <definedName name="Bank2" localSheetId="6">#REF!</definedName>
    <definedName name="Bank2">#REF!</definedName>
    <definedName name="Bank3" localSheetId="9">#REF!</definedName>
    <definedName name="Bank3" localSheetId="6">#REF!</definedName>
    <definedName name="Bank3">#REF!</definedName>
    <definedName name="Bank4" localSheetId="9">#REF!</definedName>
    <definedName name="Bank4" localSheetId="6">#REF!</definedName>
    <definedName name="Bank4">#REF!</definedName>
    <definedName name="Bank5" localSheetId="9">#REF!</definedName>
    <definedName name="Bank5" localSheetId="6">#REF!</definedName>
    <definedName name="Bank5">#REF!</definedName>
    <definedName name="Bank6" localSheetId="9">#REF!</definedName>
    <definedName name="Bank6" localSheetId="6">#REF!</definedName>
    <definedName name="Bank6">#REF!</definedName>
    <definedName name="Bank6PCAR" localSheetId="9">#REF!</definedName>
    <definedName name="Bank6PCAR" localSheetId="6">#REF!</definedName>
    <definedName name="Bank6PCAR">#REF!</definedName>
    <definedName name="Bank7" localSheetId="9">#REF!</definedName>
    <definedName name="Bank7" localSheetId="6">#REF!</definedName>
    <definedName name="Bank7">#REF!</definedName>
    <definedName name="Bank8" localSheetId="9">#REF!</definedName>
    <definedName name="Bank8" localSheetId="6">#REF!</definedName>
    <definedName name="Bank8">#REF!</definedName>
    <definedName name="Bank9" localSheetId="9">#REF!</definedName>
    <definedName name="Bank9" localSheetId="6">#REF!</definedName>
    <definedName name="Bank9">#REF!</definedName>
    <definedName name="BankAccNo" localSheetId="9">#REF!</definedName>
    <definedName name="BankAccNo" localSheetId="6">#REF!</definedName>
    <definedName name="BankAccNo">#REF!</definedName>
    <definedName name="BankArrear" localSheetId="9">#REF!</definedName>
    <definedName name="BankArrear" localSheetId="6">#REF!</definedName>
    <definedName name="BankArrear">#REF!</definedName>
    <definedName name="BankArrear0" localSheetId="9">#REF!</definedName>
    <definedName name="BankArrear0" localSheetId="6">#REF!</definedName>
    <definedName name="BankArrear0">#REF!</definedName>
    <definedName name="BankArrear1" localSheetId="9">#REF!</definedName>
    <definedName name="BankArrear1" localSheetId="6">#REF!</definedName>
    <definedName name="BankArrear1">#REF!</definedName>
    <definedName name="BankArrear2" localSheetId="9">#REF!</definedName>
    <definedName name="BankArrear2" localSheetId="6">#REF!</definedName>
    <definedName name="BankArrear2">#REF!</definedName>
    <definedName name="BankArrear3" localSheetId="9">#REF!</definedName>
    <definedName name="BankArrear3" localSheetId="6">#REF!</definedName>
    <definedName name="BankArrear3">#REF!</definedName>
    <definedName name="BankBonus" localSheetId="9">#REF!</definedName>
    <definedName name="BankBonus" localSheetId="6">#REF!</definedName>
    <definedName name="BankBonus">#REF!</definedName>
    <definedName name="BankDA10" localSheetId="9">#REF!</definedName>
    <definedName name="BankDA10" localSheetId="6">#REF!</definedName>
    <definedName name="BankDA10">#REF!</definedName>
    <definedName name="BankDA5" localSheetId="9">#REF!</definedName>
    <definedName name="BankDA5" localSheetId="6">#REF!</definedName>
    <definedName name="BankDA5">#REF!</definedName>
    <definedName name="BankDA6" localSheetId="9">#REF!</definedName>
    <definedName name="BankDA6" localSheetId="6">#REF!</definedName>
    <definedName name="BankDA6">#REF!</definedName>
    <definedName name="BankDA8" localSheetId="9">#REF!</definedName>
    <definedName name="BankDA8" localSheetId="6">#REF!</definedName>
    <definedName name="BankDA8">#REF!</definedName>
    <definedName name="BankPL" localSheetId="9">#REF!</definedName>
    <definedName name="BankPL" localSheetId="6">#REF!</definedName>
    <definedName name="BankPL">#REF!</definedName>
    <definedName name="cmb_IncD.BankAccountType" localSheetId="9">#REF!</definedName>
    <definedName name="cmb_IncD.BankAccountType" localSheetId="6">#REF!</definedName>
    <definedName name="cmb_IncD.BankAccountType">#REF!</definedName>
    <definedName name="cmb_IncD.EcsRequired" localSheetId="9">#REF!</definedName>
    <definedName name="cmb_IncD.EcsRequired" localSheetId="6">#REF!</definedName>
    <definedName name="cmb_IncD.EcsRequired">#REF!</definedName>
    <definedName name="cmb_TDSal.StateCode" localSheetId="9">#REF!</definedName>
    <definedName name="cmb_TDSal.StateCode" localSheetId="6">#REF!</definedName>
    <definedName name="cmb_TDSal.StateCode">#REF!</definedName>
    <definedName name="cmb_TDSoth.StateCode" localSheetId="9">#REF!</definedName>
    <definedName name="cmb_TDSoth.StateCode" localSheetId="6">#REF!</definedName>
    <definedName name="cmb_TDSoth.StateCode">#REF!</definedName>
    <definedName name="i_general" localSheetId="9">#REF!</definedName>
    <definedName name="i_general" localSheetId="6">#REF!</definedName>
    <definedName name="i_general">#REF!</definedName>
    <definedName name="i_general2" localSheetId="9">#REF!</definedName>
    <definedName name="i_general2" localSheetId="6">#REF!</definedName>
    <definedName name="i_general2">#REF!</definedName>
    <definedName name="i_tds" localSheetId="9">#REF!</definedName>
    <definedName name="i_tds" localSheetId="6">#REF!</definedName>
    <definedName name="i_tds">#REF!</definedName>
    <definedName name="IncD.AdvanceTax" localSheetId="9">#REF!</definedName>
    <definedName name="IncD.AdvanceTax" localSheetId="6">#REF!</definedName>
    <definedName name="IncD.AdvanceTax">#REF!</definedName>
    <definedName name="IncD.AggregateIncome" localSheetId="9">#REF!</definedName>
    <definedName name="IncD.AggregateIncome" localSheetId="6">#REF!</definedName>
    <definedName name="IncD.AggregateIncome">#REF!</definedName>
    <definedName name="IncD.BalTaxPayable" localSheetId="9">#REF!</definedName>
    <definedName name="IncD.BalTaxPayable" localSheetId="6">#REF!</definedName>
    <definedName name="IncD.BalTaxPayable">#REF!</definedName>
    <definedName name="IncD.BankAccountNumber" localSheetId="9">#REF!</definedName>
    <definedName name="IncD.BankAccountNumber" localSheetId="6">#REF!</definedName>
    <definedName name="IncD.BankAccountNumber">#REF!</definedName>
    <definedName name="IncD.BankAccountType" localSheetId="9">#REF!</definedName>
    <definedName name="IncD.BankAccountType" localSheetId="6">#REF!</definedName>
    <definedName name="IncD.BankAccountType">#REF!</definedName>
    <definedName name="IncD.EcsRequired" localSheetId="9">#REF!</definedName>
    <definedName name="IncD.EcsRequired" localSheetId="6">#REF!</definedName>
    <definedName name="IncD.EcsRequired">#REF!</definedName>
    <definedName name="IncD.EducationCess" localSheetId="9">#REF!</definedName>
    <definedName name="IncD.EducationCess" localSheetId="6">#REF!</definedName>
    <definedName name="IncD.EducationCess">#REF!</definedName>
    <definedName name="IncD.FamPension" localSheetId="9">#REF!</definedName>
    <definedName name="IncD.FamPension" localSheetId="6">#REF!</definedName>
    <definedName name="IncD.FamPension">#REF!</definedName>
    <definedName name="IncD.GrossTaxLiability" localSheetId="9">#REF!</definedName>
    <definedName name="IncD.GrossTaxLiability" localSheetId="6">#REF!</definedName>
    <definedName name="IncD.GrossTaxLiability">#REF!</definedName>
    <definedName name="IncD.GrossTotIncome" localSheetId="9">#REF!</definedName>
    <definedName name="IncD.GrossTotIncome" localSheetId="6">#REF!</definedName>
    <definedName name="IncD.GrossTotIncome">#REF!</definedName>
    <definedName name="IncD.IncomeFromOS" localSheetId="9">#REF!</definedName>
    <definedName name="IncD.IncomeFromOS" localSheetId="6">#REF!</definedName>
    <definedName name="IncD.IncomeFromOS">#REF!</definedName>
    <definedName name="IncD.IncomeFromSal" localSheetId="9">#REF!</definedName>
    <definedName name="IncD.IncomeFromSal" localSheetId="6">#REF!</definedName>
    <definedName name="IncD.IncomeFromSal">#REF!</definedName>
    <definedName name="IncD.IndInterest" localSheetId="9">#REF!</definedName>
    <definedName name="IncD.IndInterest" localSheetId="6">#REF!</definedName>
    <definedName name="IncD.IndInterest">#REF!</definedName>
    <definedName name="IncD.IntrstPayUs234A" localSheetId="9">#REF!</definedName>
    <definedName name="IncD.IntrstPayUs234A" localSheetId="6">#REF!</definedName>
    <definedName name="IncD.IntrstPayUs234A">#REF!</definedName>
    <definedName name="IncD.IntrstPayUs234B" localSheetId="9">#REF!</definedName>
    <definedName name="IncD.IntrstPayUs234B" localSheetId="6">#REF!</definedName>
    <definedName name="IncD.IntrstPayUs234B">#REF!</definedName>
    <definedName name="IncD.IntrstPayUs234C" localSheetId="9">#REF!</definedName>
    <definedName name="IncD.IntrstPayUs234C" localSheetId="6">#REF!</definedName>
    <definedName name="IncD.IntrstPayUs234C">#REF!</definedName>
    <definedName name="IncD.MICRCode" localSheetId="9">#REF!</definedName>
    <definedName name="IncD.MICRCode" localSheetId="6">#REF!</definedName>
    <definedName name="IncD.MICRCode">#REF!</definedName>
    <definedName name="IncD.NetAgriculturalIncome" localSheetId="9">#REF!</definedName>
    <definedName name="IncD.NetAgriculturalIncome" localSheetId="6">#REF!</definedName>
    <definedName name="IncD.NetAgriculturalIncome">#REF!</definedName>
    <definedName name="IncD.NetTaxLiability" localSheetId="9">#REF!</definedName>
    <definedName name="IncD.NetTaxLiability" localSheetId="6">#REF!</definedName>
    <definedName name="IncD.NetTaxLiability">#REF!</definedName>
    <definedName name="IncD.RebateOnAgriInc" localSheetId="9">#REF!</definedName>
    <definedName name="IncD.RebateOnAgriInc" localSheetId="6">#REF!</definedName>
    <definedName name="IncD.RebateOnAgriInc">#REF!</definedName>
    <definedName name="IncD.RefundDue" localSheetId="9">#REF!</definedName>
    <definedName name="IncD.RefundDue" localSheetId="6">#REF!</definedName>
    <definedName name="IncD.RefundDue">#REF!</definedName>
    <definedName name="IncD.Section80C" localSheetId="9">#REF!</definedName>
    <definedName name="IncD.Section80C" localSheetId="6">#REF!</definedName>
    <definedName name="IncD.Section80C">#REF!</definedName>
    <definedName name="IncD.Section80CCC" localSheetId="9">#REF!</definedName>
    <definedName name="IncD.Section80CCC" localSheetId="6">#REF!</definedName>
    <definedName name="IncD.Section80CCC">#REF!</definedName>
    <definedName name="IncD.Section80CCD" localSheetId="9">#REF!</definedName>
    <definedName name="IncD.Section80CCD" localSheetId="6">#REF!</definedName>
    <definedName name="IncD.Section80CCD">#REF!</definedName>
    <definedName name="IncD.Section80D" localSheetId="9">#REF!</definedName>
    <definedName name="IncD.Section80D" localSheetId="6">#REF!</definedName>
    <definedName name="IncD.Section80D">#REF!</definedName>
    <definedName name="IncD.Section80DD" localSheetId="9">#REF!</definedName>
    <definedName name="IncD.Section80DD" localSheetId="6">#REF!</definedName>
    <definedName name="IncD.Section80DD">#REF!</definedName>
    <definedName name="IncD.Section80DDB" localSheetId="9">#REF!</definedName>
    <definedName name="IncD.Section80DDB" localSheetId="6">#REF!</definedName>
    <definedName name="IncD.Section80DDB">#REF!</definedName>
    <definedName name="IncD.Section80E" localSheetId="9">#REF!</definedName>
    <definedName name="IncD.Section80E" localSheetId="6">#REF!</definedName>
    <definedName name="IncD.Section80E">#REF!</definedName>
    <definedName name="IncD.Section80G" localSheetId="9">#REF!</definedName>
    <definedName name="IncD.Section80G" localSheetId="6">#REF!</definedName>
    <definedName name="IncD.Section80G">#REF!</definedName>
    <definedName name="IncD.Section80GG" localSheetId="9">#REF!</definedName>
    <definedName name="IncD.Section80GG" localSheetId="6">#REF!</definedName>
    <definedName name="IncD.Section80GG">#REF!</definedName>
    <definedName name="IncD.Section80GGA" localSheetId="9">#REF!</definedName>
    <definedName name="IncD.Section80GGA" localSheetId="6">#REF!</definedName>
    <definedName name="IncD.Section80GGA">#REF!</definedName>
    <definedName name="IncD.Section80GGC" localSheetId="9">#REF!</definedName>
    <definedName name="IncD.Section80GGC" localSheetId="6">#REF!</definedName>
    <definedName name="IncD.Section80GGC">#REF!</definedName>
    <definedName name="IncD.Section80U" localSheetId="9">#REF!</definedName>
    <definedName name="IncD.Section80U" localSheetId="6">#REF!</definedName>
    <definedName name="IncD.Section80U">#REF!</definedName>
    <definedName name="IncD.Section89" localSheetId="9">#REF!</definedName>
    <definedName name="IncD.Section89" localSheetId="6">#REF!</definedName>
    <definedName name="IncD.Section89">#REF!</definedName>
    <definedName name="IncD.Section90and91" localSheetId="9">#REF!</definedName>
    <definedName name="IncD.Section90and91" localSheetId="6">#REF!</definedName>
    <definedName name="IncD.Section90and91">#REF!</definedName>
    <definedName name="IncD.SelfAssessmentTax" localSheetId="9">#REF!</definedName>
    <definedName name="IncD.SelfAssessmentTax" localSheetId="6">#REF!</definedName>
    <definedName name="IncD.SelfAssessmentTax">#REF!</definedName>
    <definedName name="IncD.SurchargeOnTaxPayable" localSheetId="9">#REF!</definedName>
    <definedName name="IncD.SurchargeOnTaxPayable" localSheetId="6">#REF!</definedName>
    <definedName name="IncD.SurchargeOnTaxPayable">#REF!</definedName>
    <definedName name="IncD.TaxOnAggregateInc" localSheetId="9">#REF!</definedName>
    <definedName name="IncD.TaxOnAggregateInc" localSheetId="6">#REF!</definedName>
    <definedName name="IncD.TaxOnAggregateInc">#REF!</definedName>
    <definedName name="IncD.TDS" localSheetId="9">#REF!</definedName>
    <definedName name="IncD.TDS" localSheetId="6">#REF!</definedName>
    <definedName name="IncD.TDS">#REF!</definedName>
    <definedName name="IncD.TotalChapVIADeductions" localSheetId="9">#REF!</definedName>
    <definedName name="IncD.TotalChapVIADeductions" localSheetId="6">#REF!</definedName>
    <definedName name="IncD.TotalChapVIADeductions">#REF!</definedName>
    <definedName name="IncD.TotalIncome" localSheetId="9">#REF!</definedName>
    <definedName name="IncD.TotalIncome" localSheetId="6">#REF!</definedName>
    <definedName name="IncD.TotalIncome">#REF!</definedName>
    <definedName name="IncD.TotalIntrstPay" localSheetId="9">#REF!</definedName>
    <definedName name="IncD.TotalIntrstPay" localSheetId="6">#REF!</definedName>
    <definedName name="IncD.TotalIntrstPay">#REF!</definedName>
    <definedName name="IncD.TotalTaxesPaid" localSheetId="9">#REF!</definedName>
    <definedName name="IncD.TotalTaxesPaid" localSheetId="6">#REF!</definedName>
    <definedName name="IncD.TotalTaxesPaid">#REF!</definedName>
    <definedName name="IncD.TotalTaxPayable" localSheetId="9">#REF!</definedName>
    <definedName name="IncD.TotalTaxPayable" localSheetId="6">#REF!</definedName>
    <definedName name="IncD.TotalTaxPayable">#REF!</definedName>
    <definedName name="IncD.TotTaxPlusIntrstPay" localSheetId="9">#REF!</definedName>
    <definedName name="IncD.TotTaxPlusIntrstPay" localSheetId="6">#REF!</definedName>
    <definedName name="IncD.TotTaxPlusIntrstPay">#REF!</definedName>
    <definedName name="IT.Amt" localSheetId="9">#REF!</definedName>
    <definedName name="IT.Amt" localSheetId="6">#REF!</definedName>
    <definedName name="IT.Amt">#REF!</definedName>
    <definedName name="IT.FormulaOFS" localSheetId="9">#REF!</definedName>
    <definedName name="IT.FormulaOFS" localSheetId="6">#REF!</definedName>
    <definedName name="IT.FormulaOFS">#REF!</definedName>
    <definedName name="_xlnm.Print_Area" localSheetId="9">'16 NO FOR OLD REGIEME '!$B$2:$M$153</definedName>
    <definedName name="_xlnm.Print_Area" localSheetId="8">'16 NO NEW REGIME '!$B$2:$M$154</definedName>
    <definedName name="_xlnm.Print_Area" localSheetId="10">'ALL EMP TAX CALCULATE  REPORT'!$E$1:$AQ$109</definedName>
    <definedName name="_xlnm.Print_Area" localSheetId="2">'GA-55'!$C$2:$AB$34</definedName>
    <definedName name="_xlnm.Print_Area" localSheetId="3">'OTHER DEDUCTION'!$A$1:$G$44</definedName>
    <definedName name="_xlnm.Print_Area" localSheetId="5">'RENT RECEIPT'!$B$2:$AJ$47</definedName>
    <definedName name="_xlnm.Print_Area" localSheetId="6">'TAX (NEW REGIME)'!$B$1:$Q$58</definedName>
    <definedName name="_xlnm.Print_Area" localSheetId="7">'TAX (OLD REGIME)'!$B$1:$Q$67</definedName>
    <definedName name="Sex" localSheetId="9">'OTHER DEDUCTION'!#REF!</definedName>
    <definedName name="Sex" localSheetId="6">'OTHER DEDUCTION'!#REF!</definedName>
    <definedName name="Sex">'OTHER DEDUCTION'!#REF!</definedName>
    <definedName name="sheet1.CityOrTownOrDistrict" localSheetId="9">#REF!</definedName>
    <definedName name="sheet1.CityOrTownOrDistrict" localSheetId="6">#REF!</definedName>
    <definedName name="sheet1.CityOrTownOrDistrict">#REF!</definedName>
    <definedName name="sheet1.DOB" localSheetId="9">#REF!</definedName>
    <definedName name="sheet1.DOB" localSheetId="6">#REF!</definedName>
    <definedName name="sheet1.DOB">#REF!</definedName>
    <definedName name="sheet1.EmployerCategory1" localSheetId="9">#REF!</definedName>
    <definedName name="sheet1.EmployerCategory1" localSheetId="6">#REF!</definedName>
    <definedName name="sheet1.EmployerCategory1">#REF!</definedName>
    <definedName name="sheet1.FirstName" localSheetId="9">#REF!</definedName>
    <definedName name="sheet1.FirstName" localSheetId="6">#REF!</definedName>
    <definedName name="sheet1.FirstName">#REF!</definedName>
    <definedName name="sheet1.Gender1" localSheetId="9">#REF!</definedName>
    <definedName name="sheet1.Gender1" localSheetId="6">#REF!</definedName>
    <definedName name="sheet1.Gender1">#REF!</definedName>
    <definedName name="sheet1.LocalityOrArea" localSheetId="9">#REF!</definedName>
    <definedName name="sheet1.LocalityOrArea" localSheetId="6">#REF!</definedName>
    <definedName name="sheet1.LocalityOrArea">#REF!</definedName>
    <definedName name="sheet1.MiddleName" localSheetId="9">#REF!</definedName>
    <definedName name="sheet1.MiddleName" localSheetId="6">#REF!</definedName>
    <definedName name="sheet1.MiddleName">#REF!</definedName>
    <definedName name="sheet1.newstcode" localSheetId="9">#REF!</definedName>
    <definedName name="sheet1.newstcode" localSheetId="6">#REF!</definedName>
    <definedName name="sheet1.newstcode">#REF!</definedName>
    <definedName name="sheet1.OrigRetFiledDate" localSheetId="9">#REF!</definedName>
    <definedName name="sheet1.OrigRetFiledDate" localSheetId="6">#REF!</definedName>
    <definedName name="sheet1.OrigRetFiledDate">#REF!</definedName>
    <definedName name="sheet1.PAN" localSheetId="9">#REF!</definedName>
    <definedName name="sheet1.PAN" localSheetId="6">#REF!</definedName>
    <definedName name="sheet1.PAN">#REF!</definedName>
    <definedName name="sheet1.PhoneNo" localSheetId="9">#REF!</definedName>
    <definedName name="sheet1.PhoneNo" localSheetId="6">#REF!</definedName>
    <definedName name="sheet1.PhoneNo">#REF!</definedName>
    <definedName name="sheet1.PinCode" localSheetId="9">#REF!</definedName>
    <definedName name="sheet1.PinCode" localSheetId="6">#REF!</definedName>
    <definedName name="sheet1.PinCode">#REF!</definedName>
    <definedName name="sheet1.ReceiptNo" localSheetId="9">#REF!</definedName>
    <definedName name="sheet1.ReceiptNo" localSheetId="6">#REF!</definedName>
    <definedName name="sheet1.ReceiptNo">#REF!</definedName>
    <definedName name="sheet1.ResidenceName" localSheetId="9">#REF!</definedName>
    <definedName name="sheet1.ResidenceName" localSheetId="6">#REF!</definedName>
    <definedName name="sheet1.ResidenceName">#REF!</definedName>
    <definedName name="sheet1.ResidenceNo" localSheetId="9">#REF!</definedName>
    <definedName name="sheet1.ResidenceNo" localSheetId="6">#REF!</definedName>
    <definedName name="sheet1.ResidenceNo">#REF!</definedName>
    <definedName name="sheet1.ResidentialStatus" localSheetId="9">#REF!</definedName>
    <definedName name="sheet1.ResidentialStatus" localSheetId="6">#REF!</definedName>
    <definedName name="sheet1.ResidentialStatus">#REF!</definedName>
    <definedName name="sheet1.ResidentialStatus1" localSheetId="9">#REF!</definedName>
    <definedName name="sheet1.ResidentialStatus1" localSheetId="6">#REF!</definedName>
    <definedName name="sheet1.ResidentialStatus1">#REF!</definedName>
    <definedName name="sheet1.ReturnFileSec" localSheetId="9">#REF!</definedName>
    <definedName name="sheet1.ReturnFileSec" localSheetId="6">#REF!</definedName>
    <definedName name="sheet1.ReturnFileSec">#REF!</definedName>
    <definedName name="sheet1.ReturnFileSec1" localSheetId="9">#REF!</definedName>
    <definedName name="sheet1.ReturnFileSec1" localSheetId="6">#REF!</definedName>
    <definedName name="sheet1.ReturnFileSec1">#REF!</definedName>
    <definedName name="sheet1.ReturnType" localSheetId="9">#REF!</definedName>
    <definedName name="sheet1.ReturnType" localSheetId="6">#REF!</definedName>
    <definedName name="sheet1.ReturnType">#REF!</definedName>
    <definedName name="sheet1.ReturnType1" localSheetId="9">#REF!</definedName>
    <definedName name="sheet1.ReturnType1" localSheetId="6">#REF!</definedName>
    <definedName name="sheet1.ReturnType1">#REF!</definedName>
    <definedName name="sheet1.RoadOrStreet" localSheetId="9">#REF!</definedName>
    <definedName name="sheet1.RoadOrStreet" localSheetId="6">#REF!</definedName>
    <definedName name="sheet1.RoadOrStreet">#REF!</definedName>
    <definedName name="sheet1.StateCode" localSheetId="9">#REF!</definedName>
    <definedName name="sheet1.StateCode" localSheetId="6">#REF!</definedName>
    <definedName name="sheet1.StateCode">#REF!</definedName>
    <definedName name="sheet1.StateCode1" localSheetId="9">#REF!</definedName>
    <definedName name="sheet1.StateCode1" localSheetId="6">#REF!</definedName>
    <definedName name="sheet1.StateCode1">#REF!</definedName>
    <definedName name="sheet1.Status" localSheetId="9">#REF!</definedName>
    <definedName name="sheet1.Status" localSheetId="6">#REF!</definedName>
    <definedName name="sheet1.Status">#REF!</definedName>
    <definedName name="sheet1.Status1" localSheetId="9">#REF!</definedName>
    <definedName name="sheet1.Status1" localSheetId="6">#REF!</definedName>
    <definedName name="sheet1.Status1">#REF!</definedName>
    <definedName name="sheet1.STDcode" localSheetId="9">#REF!</definedName>
    <definedName name="sheet1.STDcode" localSheetId="6">#REF!</definedName>
    <definedName name="sheet1.STDcode">#REF!</definedName>
    <definedName name="sheet1.SurNameOrOrgName" localSheetId="9">#REF!</definedName>
    <definedName name="sheet1.SurNameOrOrgName" localSheetId="6">#REF!</definedName>
    <definedName name="sheet1.SurNameOrOrgName">#REF!</definedName>
    <definedName name="sheet1.SwVersionNo" localSheetId="9">#REF!</definedName>
    <definedName name="sheet1.SwVersionNo" localSheetId="6">#REF!</definedName>
    <definedName name="sheet1.SwVersionNo">#REF!</definedName>
    <definedName name="TaxP.Amt" localSheetId="9">#REF!</definedName>
    <definedName name="TaxP.Amt" localSheetId="6">#REF!</definedName>
    <definedName name="TaxP.Amt">#REF!</definedName>
    <definedName name="TaxP.BSRCode" localSheetId="9">#REF!</definedName>
    <definedName name="TaxP.BSRCode" localSheetId="6">#REF!</definedName>
    <definedName name="TaxP.BSRCode">#REF!</definedName>
    <definedName name="TaxP.DateDep" localSheetId="9">#REF!</definedName>
    <definedName name="TaxP.DateDep" localSheetId="6">#REF!</definedName>
    <definedName name="TaxP.DateDep">#REF!</definedName>
    <definedName name="TaxP.NameOfBank" localSheetId="9">#REF!</definedName>
    <definedName name="TaxP.NameOfBank" localSheetId="6">#REF!</definedName>
    <definedName name="TaxP.NameOfBank">#REF!</definedName>
    <definedName name="TaxP.NameOfBranch" localSheetId="9">#REF!</definedName>
    <definedName name="TaxP.NameOfBranch" localSheetId="6">#REF!</definedName>
    <definedName name="TaxP.NameOfBranch">#REF!</definedName>
    <definedName name="TaxP.SrlNoOfChaln" localSheetId="9">#REF!</definedName>
    <definedName name="TaxP.SrlNoOfChaln" localSheetId="6">#REF!</definedName>
    <definedName name="TaxP.SrlNoOfChaln">#REF!</definedName>
    <definedName name="TDS_Sum" localSheetId="9">#REF!</definedName>
    <definedName name="TDS_Sum" localSheetId="6">#REF!</definedName>
    <definedName name="TDS_Sum">#REF!</definedName>
    <definedName name="TDS1.TotalTDSSal" localSheetId="9">#REF!</definedName>
    <definedName name="TDS1.TotalTDSSal" localSheetId="6">#REF!</definedName>
    <definedName name="TDS1.TotalTDSSal">#REF!</definedName>
    <definedName name="TDS2_sum" localSheetId="9">#REF!</definedName>
    <definedName name="TDS2_sum" localSheetId="6">#REF!</definedName>
    <definedName name="TDS2_sum">#REF!</definedName>
    <definedName name="TDSal.AddrDetail" localSheetId="9">#REF!</definedName>
    <definedName name="TDSal.AddrDetail" localSheetId="6">#REF!</definedName>
    <definedName name="TDSal.AddrDetail">#REF!</definedName>
    <definedName name="TDSal.CityOrTownOrDistrict" localSheetId="9">#REF!</definedName>
    <definedName name="TDSal.CityOrTownOrDistrict" localSheetId="6">#REF!</definedName>
    <definedName name="TDSal.CityOrTownOrDistrict">#REF!</definedName>
    <definedName name="TDSal.DeductUnderChapVIA" localSheetId="9">#REF!</definedName>
    <definedName name="TDSal.DeductUnderChapVIA" localSheetId="6">#REF!</definedName>
    <definedName name="TDSal.DeductUnderChapVIA">#REF!</definedName>
    <definedName name="TDSal.EmployerOrDeductorOrCollecterName" localSheetId="9">#REF!</definedName>
    <definedName name="TDSal.EmployerOrDeductorOrCollecterName" localSheetId="6">#REF!</definedName>
    <definedName name="TDSal.EmployerOrDeductorOrCollecterName">#REF!</definedName>
    <definedName name="TDSal.IncChrgSal" localSheetId="9">#REF!</definedName>
    <definedName name="TDSal.IncChrgSal" localSheetId="6">#REF!</definedName>
    <definedName name="TDSal.IncChrgSal">#REF!</definedName>
    <definedName name="TDSal.PinCode" localSheetId="9">#REF!</definedName>
    <definedName name="TDSal.PinCode" localSheetId="6">#REF!</definedName>
    <definedName name="TDSal.PinCode">#REF!</definedName>
    <definedName name="TDSal.StateCode" localSheetId="9">#REF!</definedName>
    <definedName name="TDSal.StateCode" localSheetId="6">#REF!</definedName>
    <definedName name="TDSal.StateCode">#REF!</definedName>
    <definedName name="TDSal.TAN" localSheetId="9">#REF!</definedName>
    <definedName name="TDSal.TAN" localSheetId="6">#REF!</definedName>
    <definedName name="TDSal.TAN">#REF!</definedName>
    <definedName name="TDSal.TaxPayIncluSurchEdnCes" localSheetId="9">#REF!</definedName>
    <definedName name="TDSal.TaxPayIncluSurchEdnCes" localSheetId="6">#REF!</definedName>
    <definedName name="TDSal.TaxPayIncluSurchEdnCes">#REF!</definedName>
    <definedName name="TDSal.TaxPayRefund" localSheetId="9">#REF!</definedName>
    <definedName name="TDSal.TaxPayRefund" localSheetId="6">#REF!</definedName>
    <definedName name="TDSal.TaxPayRefund">#REF!</definedName>
    <definedName name="TDSal.TotalTDSSal" localSheetId="9">#REF!</definedName>
    <definedName name="TDSal.TotalTDSSal" localSheetId="6">#REF!</definedName>
    <definedName name="TDSal.TotalTDSSal">#REF!</definedName>
    <definedName name="TDSoth.AddrDetail" localSheetId="9">#REF!</definedName>
    <definedName name="TDSoth.AddrDetail" localSheetId="6">#REF!</definedName>
    <definedName name="TDSoth.AddrDetail">#REF!</definedName>
    <definedName name="TDSoth.AmtPaid" localSheetId="9">#REF!</definedName>
    <definedName name="TDSoth.AmtPaid" localSheetId="6">#REF!</definedName>
    <definedName name="TDSoth.AmtPaid">#REF!</definedName>
    <definedName name="TDSoth.CityOrTownOrDistrict" localSheetId="9">#REF!</definedName>
    <definedName name="TDSoth.CityOrTownOrDistrict" localSheetId="6">#REF!</definedName>
    <definedName name="TDSoth.CityOrTownOrDistrict">#REF!</definedName>
    <definedName name="TDSoth.ClaimOutOfTotTDSOnAmtPaid" localSheetId="9">#REF!</definedName>
    <definedName name="TDSoth.ClaimOutOfTotTDSOnAmtPaid" localSheetId="6">#REF!</definedName>
    <definedName name="TDSoth.ClaimOutOfTotTDSOnAmtPaid">#REF!</definedName>
    <definedName name="TDSoth.DatePayCred" localSheetId="9">#REF!</definedName>
    <definedName name="TDSoth.DatePayCred" localSheetId="6">#REF!</definedName>
    <definedName name="TDSoth.DatePayCred">#REF!</definedName>
    <definedName name="TDSoth.EmployerOrDeductorOrCollecterName" localSheetId="9">#REF!</definedName>
    <definedName name="TDSoth.EmployerOrDeductorOrCollecterName" localSheetId="6">#REF!</definedName>
    <definedName name="TDSoth.EmployerOrDeductorOrCollecterName">#REF!</definedName>
    <definedName name="TDSoth.PinCode" localSheetId="9">#REF!</definedName>
    <definedName name="TDSoth.PinCode" localSheetId="6">#REF!</definedName>
    <definedName name="TDSoth.PinCode">#REF!</definedName>
    <definedName name="TDSoth.StateCode" localSheetId="9">#REF!</definedName>
    <definedName name="TDSoth.StateCode" localSheetId="6">#REF!</definedName>
    <definedName name="TDSoth.StateCode">#REF!</definedName>
    <definedName name="TDSoth.TAN" localSheetId="9">#REF!</definedName>
    <definedName name="TDSoth.TAN" localSheetId="6">#REF!</definedName>
    <definedName name="TDSoth.TAN">#REF!</definedName>
    <definedName name="TDSoth.TotTDSOnAmtPaid" localSheetId="9">#REF!</definedName>
    <definedName name="TDSoth.TotTDSOnAmtPaid" localSheetId="6">#REF!</definedName>
    <definedName name="TDSoth.TotTDSOnAmtPaid">#REF!</definedName>
    <definedName name="tp" localSheetId="9">#REF!</definedName>
    <definedName name="tp" localSheetId="6">#REF!</definedName>
    <definedName name="tp">#REF!</definedName>
    <definedName name="Ver.AssesseeVerName" localSheetId="9">#REF!</definedName>
    <definedName name="Ver.AssesseeVerName" localSheetId="6">#REF!</definedName>
    <definedName name="Ver.AssesseeVerName">#REF!</definedName>
    <definedName name="Ver.Date" localSheetId="9">#REF!</definedName>
    <definedName name="Ver.Date" localSheetId="6">#REF!</definedName>
    <definedName name="Ver.Date">#REF!</definedName>
    <definedName name="Ver.FatherName" localSheetId="9">#REF!</definedName>
    <definedName name="Ver.FatherName" localSheetId="6">#REF!</definedName>
    <definedName name="Ver.FatherName">#REF!</definedName>
    <definedName name="Ver.IdentificationNoOfTRP" localSheetId="9">#REF!</definedName>
    <definedName name="Ver.IdentificationNoOfTRP" localSheetId="6">#REF!</definedName>
    <definedName name="Ver.IdentificationNoOfTRP">#REF!</definedName>
    <definedName name="Ver.NameOfTRP" localSheetId="9">#REF!</definedName>
    <definedName name="Ver.NameOfTRP" localSheetId="6">#REF!</definedName>
    <definedName name="Ver.NameOfTRP">#REF!</definedName>
    <definedName name="Ver.Place" localSheetId="9">#REF!</definedName>
    <definedName name="Ver.Place" localSheetId="6">#REF!</definedName>
    <definedName name="Ver.Place">#REF!</definedName>
    <definedName name="Ver.ReImbFrmGov" localSheetId="9">#REF!</definedName>
    <definedName name="Ver.ReImbFrmGov" localSheetId="6">#REF!</definedName>
    <definedName name="Ver.ReImbFrmGov">#REF!</definedName>
    <definedName name="Z_01E6FF9C_BB30_4C32_9D09_6DB93F11503E_.wvu.Cols" localSheetId="2" hidden="1">'GA-55'!$AD:$XFD</definedName>
    <definedName name="Z_01E6FF9C_BB30_4C32_9D09_6DB93F11503E_.wvu.Cols" localSheetId="3" hidden="1">'OTHER DEDUCTION'!$G:$XFD</definedName>
    <definedName name="Z_01E6FF9C_BB30_4C32_9D09_6DB93F11503E_.wvu.Cols" localSheetId="6" hidden="1">'TAX (NEW REGIME)'!$S:$XFD</definedName>
    <definedName name="Z_01E6FF9C_BB30_4C32_9D09_6DB93F11503E_.wvu.Cols" localSheetId="7" hidden="1">'TAX (OLD REGIME)'!$S:$XFD</definedName>
    <definedName name="Z_01E6FF9C_BB30_4C32_9D09_6DB93F11503E_.wvu.PrintArea" localSheetId="2" hidden="1">'GA-55'!$C$2:$AB$33</definedName>
    <definedName name="Z_01E6FF9C_BB30_4C32_9D09_6DB93F11503E_.wvu.PrintArea" localSheetId="6" hidden="1">'TAX (NEW REGIME)'!$B$1:$Q$60</definedName>
    <definedName name="Z_01E6FF9C_BB30_4C32_9D09_6DB93F11503E_.wvu.PrintArea" localSheetId="7" hidden="1">'TAX (OLD REGIME)'!$B$1:$Q$71</definedName>
    <definedName name="Z_01E6FF9C_BB30_4C32_9D09_6DB93F11503E_.wvu.Rows" localSheetId="2" hidden="1">'GA-55'!$946:$1048576,'GA-55'!$34:$945</definedName>
    <definedName name="Z_01E6FF9C_BB30_4C32_9D09_6DB93F11503E_.wvu.Rows" localSheetId="3" hidden="1">'OTHER DEDUCTION'!$570:$1048576,'OTHER DEDUCTION'!$26:$569</definedName>
    <definedName name="Z_01E6FF9C_BB30_4C32_9D09_6DB93F11503E_.wvu.Rows" localSheetId="6" hidden="1">'TAX (NEW REGIME)'!$61:$1048576,'TAX (NEW REGIME)'!#REF!</definedName>
    <definedName name="Z_01E6FF9C_BB30_4C32_9D09_6DB93F11503E_.wvu.Rows" localSheetId="7" hidden="1">'TAX (OLD REGIME)'!$77:$1048576,'TAX (OLD REGIME)'!$73:$76</definedName>
    <definedName name="Z_483AFC7C_A53B_4837_A853_31CBC6C9ED1B_.wvu.Cols" localSheetId="2" hidden="1">'GA-55'!$AD:$XFD</definedName>
    <definedName name="Z_483AFC7C_A53B_4837_A853_31CBC6C9ED1B_.wvu.Cols" localSheetId="3" hidden="1">'OTHER DEDUCTION'!$G:$XFD</definedName>
    <definedName name="Z_483AFC7C_A53B_4837_A853_31CBC6C9ED1B_.wvu.Cols" localSheetId="6" hidden="1">'TAX (NEW REGIME)'!$S:$XFD</definedName>
    <definedName name="Z_483AFC7C_A53B_4837_A853_31CBC6C9ED1B_.wvu.Cols" localSheetId="7" hidden="1">'TAX (OLD REGIME)'!$S:$XFD</definedName>
    <definedName name="Z_483AFC7C_A53B_4837_A853_31CBC6C9ED1B_.wvu.PrintArea" localSheetId="2" hidden="1">'GA-55'!$C$2:$AB$33</definedName>
    <definedName name="Z_483AFC7C_A53B_4837_A853_31CBC6C9ED1B_.wvu.PrintArea" localSheetId="6" hidden="1">'TAX (NEW REGIME)'!$B$1:$Q$60</definedName>
    <definedName name="Z_483AFC7C_A53B_4837_A853_31CBC6C9ED1B_.wvu.PrintArea" localSheetId="7" hidden="1">'TAX (OLD REGIME)'!$B$1:$Q$71</definedName>
    <definedName name="Z_483AFC7C_A53B_4837_A853_31CBC6C9ED1B_.wvu.Rows" localSheetId="2" hidden="1">'GA-55'!$946:$1048576,'GA-55'!$34:$945</definedName>
    <definedName name="Z_483AFC7C_A53B_4837_A853_31CBC6C9ED1B_.wvu.Rows" localSheetId="3" hidden="1">'OTHER DEDUCTION'!$570:$1048576,'OTHER DEDUCTION'!$26:$569</definedName>
    <definedName name="Z_483AFC7C_A53B_4837_A853_31CBC6C9ED1B_.wvu.Rows" localSheetId="6" hidden="1">'TAX (NEW REGIME)'!$61:$1048576,'TAX (NEW REGIME)'!#REF!</definedName>
    <definedName name="Z_483AFC7C_A53B_4837_A853_31CBC6C9ED1B_.wvu.Rows" localSheetId="7" hidden="1">'TAX (OLD REGIME)'!$77:$1048576,'TAX (OLD REGIME)'!$73:$76</definedName>
    <definedName name="_xlnm._FilterDatabase" localSheetId="1" hidden="1">'MASTER DATA SHEET'!$B$2:$E$20</definedName>
  </definedNames>
  <calcPr calcId="145621"/>
</workbook>
</file>

<file path=xl/comments3.xml><?xml version="1.0" encoding="utf-8"?>
<comments xmlns="http://schemas.openxmlformats.org/spreadsheetml/2006/main">
  <authors>
    <author>Admin</author>
  </authors>
  <commentList>
    <comment ref="L7" authorId="0">
      <text>
        <r>
          <rPr>
            <b/>
            <sz val="12"/>
            <color indexed="33"/>
            <rFont val="Tahoma"/>
            <family val="2"/>
          </rPr>
          <t xml:space="preserve">BHAGIRATH MA</t>
        </r>
        <r>
          <rPr>
            <b/>
            <sz val="12"/>
            <color indexed="81"/>
            <rFont val="Tahoma"/>
            <family val="2"/>
          </rPr>
          <t xml:space="preserve">L</t>
        </r>
        <r>
          <rPr>
            <b/>
            <sz val="9"/>
            <color indexed="81"/>
            <rFont val="Tahoma"/>
            <family val="2"/>
          </rPr>
          <t xml:space="preserve">
</t>
        </r>
        <r>
          <rPr>
            <b/>
            <sz val="11"/>
            <color indexed="39"/>
            <rFont val="Tahoma"/>
            <family val="2"/>
          </rPr>
          <t xml:space="preserve">ALLOWANCE RANGE PASSWORD</t>
        </r>
        <r>
          <rPr>
            <sz val="9"/>
            <color indexed="39"/>
            <rFont val="Tahoma"/>
            <family val="2"/>
          </rPr>
          <t xml:space="preserve">
</t>
        </r>
        <r>
          <rPr>
            <sz val="22"/>
            <color indexed="10"/>
            <rFont val="Tahoma"/>
            <family val="2"/>
          </rPr>
          <t xml:space="preserve">ALLOW2024</t>
        </r>
      </text>
    </comment>
  </commentList>
</comments>
</file>

<file path=xl/comments5.xml><?xml version="1.0" encoding="utf-8"?>
<comments xmlns="http://schemas.openxmlformats.org/spreadsheetml/2006/main">
  <authors>
    <author>Admin</author>
  </authors>
  <commentList>
    <comment ref="C5" authorId="0">
      <text>
        <r>
          <rPr>
            <b/>
            <sz val="11"/>
            <color indexed="33"/>
            <rFont val="Tahoma"/>
            <family val="2"/>
          </rPr>
          <t xml:space="preserve">भागीरथ मल</t>
        </r>
        <r>
          <rPr>
            <b/>
            <sz val="9"/>
            <color indexed="81"/>
            <rFont val="Tahoma"/>
            <family val="2"/>
          </rPr>
          <t xml:space="preserve">
</t>
        </r>
        <r>
          <rPr>
            <b/>
            <sz val="10"/>
            <color indexed="81"/>
            <rFont val="Tahoma"/>
            <family val="2"/>
          </rPr>
          <t xml:space="preserve">अगर माह का किराया  भुगतान किया तो ड्राप डाउन से "YES" चयन करे  यदि किराया भुगतान नहीं किया तो NO चयन करे I</t>
        </r>
      </text>
    </comment>
  </commentList>
</comments>
</file>

<file path=xl/comments8.xml><?xml version="1.0" encoding="utf-8"?>
<comments xmlns="http://schemas.openxmlformats.org/spreadsheetml/2006/main">
  <authors>
    <author>Admin</author>
  </authors>
  <commentList>
    <comment ref="N21" authorId="0">
      <text>
        <r>
          <rPr>
            <sz val="9"/>
            <color indexed="81"/>
            <rFont val="Tahoma"/>
            <family val="2"/>
          </rPr>
          <t xml:space="preserve">भागीरथ
अन्य कोई कटोती जो नियमो के अंतर्गत आती हो तो यंहा लिखे जोड़कर </t>
        </r>
      </text>
    </comment>
  </commentList>
</comments>
</file>

<file path=xl/sharedStrings.xml><?xml version="1.0" encoding="utf-8"?>
<sst xmlns="http://schemas.openxmlformats.org/spreadsheetml/2006/main" uniqueCount="614" count="614">
  <si>
    <t>LIC</t>
  </si>
  <si>
    <t>edku fdjk;k NwV ds fy, jlhn dh vko';drk</t>
  </si>
  <si>
    <t>uke deZpkjh %</t>
  </si>
  <si>
    <t xml:space="preserve"> x`g _.k ij C;kt</t>
  </si>
  <si>
    <t>jk"Vªh; cpr i= ij vnr C;kt</t>
  </si>
  <si>
    <t>D.A.</t>
  </si>
  <si>
    <t>vU; vk;</t>
  </si>
  <si>
    <t>PAN :</t>
  </si>
  <si>
    <t xml:space="preserve"> in %</t>
  </si>
  <si>
    <t xml:space="preserve">                                                              'ks"k ¼2&amp;3½</t>
  </si>
  <si>
    <t>¼2½ izkIr fdjk;k #-</t>
  </si>
  <si>
    <t xml:space="preserve">¼c½ ?kVk;sa </t>
  </si>
  <si>
    <t xml:space="preserve"> x`gdj </t>
  </si>
  <si>
    <t>(i)</t>
  </si>
  <si>
    <t>(x)</t>
  </si>
  <si>
    <t>(ii)</t>
  </si>
  <si>
    <t>(xi)</t>
  </si>
  <si>
    <t>(iii)</t>
  </si>
  <si>
    <t>(xii)</t>
  </si>
  <si>
    <t>(iv)</t>
  </si>
  <si>
    <t>(xiii)</t>
  </si>
  <si>
    <t>(v)</t>
  </si>
  <si>
    <t>(xiv)</t>
  </si>
  <si>
    <t>(vi)</t>
  </si>
  <si>
    <t>(xv)</t>
  </si>
  <si>
    <t>(vii)</t>
  </si>
  <si>
    <t>(xvi)</t>
  </si>
  <si>
    <t>(viii)</t>
  </si>
  <si>
    <t>(xvii)</t>
  </si>
  <si>
    <t>(ix)</t>
  </si>
  <si>
    <t>Nil</t>
  </si>
  <si>
    <t>2,50,001-5,00,000</t>
  </si>
  <si>
    <t>5,00,001-10,00,000</t>
  </si>
  <si>
    <t xml:space="preserve"> vk;dj dVkSrh
 dk fooj.k</t>
  </si>
  <si>
    <t>TOTAL</t>
  </si>
  <si>
    <t>Signature of Employee</t>
  </si>
  <si>
    <t>Signature of DDO</t>
  </si>
  <si>
    <t xml:space="preserve">  ;ksx 7¼c½</t>
  </si>
  <si>
    <t>¼1½ ;ksx vk;dj</t>
  </si>
  <si>
    <t>Tax Deposited</t>
  </si>
  <si>
    <t>,d O;fDr dj nkrk</t>
  </si>
  <si>
    <t>dqy 'ks"k vk;dj</t>
  </si>
  <si>
    <t>Vh-Mh-,l-
:Ik;s</t>
  </si>
  <si>
    <t>3,00,001-5,00,000</t>
  </si>
  <si>
    <t>¼3½ 'ks"k vk;dj ¼1&amp;2½</t>
  </si>
  <si>
    <t xml:space="preserve">V;w'ku Qhl </t>
  </si>
  <si>
    <t>bfDoVh fyad lsfoax Ldhe</t>
  </si>
  <si>
    <t xml:space="preserve"> vU; dVkSfr;k¡</t>
  </si>
  <si>
    <t>1- edku fdjk;k HkRrk ¼ NwV tks ysuh gS½</t>
  </si>
  <si>
    <t>4- x`g lEifr ls izkIr fdjk;k &amp; vk;</t>
  </si>
  <si>
    <t xml:space="preserve">5- x`gdj </t>
  </si>
  <si>
    <t>11- ;w- ,y- vkbZ- ih-@okf"kZd Iyku</t>
  </si>
  <si>
    <t>13- jk"Vªh; cpr i= ij vnr C;kt</t>
  </si>
  <si>
    <t>H.R.A.</t>
  </si>
  <si>
    <t>osru ds vfrfjDr dVkSfr;k¡] vk;@tek jkf'k ,oa NwV dk fooj.k</t>
  </si>
  <si>
    <r>
      <t xml:space="preserve">vkidks ftrus dkfeZdksa dh vk;dj x.kuk djuh gS] loZizFke mruh ckj odZcqd dks muds uke ls </t>
    </r>
    <r>
      <rPr>
        <sz val="12"/>
        <rFont val="Calibri"/>
      </rPr>
      <t xml:space="preserve">Save as </t>
    </r>
    <r>
      <rPr>
        <sz val="14"/>
        <rFont val="DevLys 010"/>
      </rPr>
      <t>dj ysosaA</t>
    </r>
  </si>
  <si>
    <t>(xviii)</t>
  </si>
  <si>
    <t>lqdU;k le`f) ;kstuk esa tek jkf'k</t>
  </si>
  <si>
    <t>(xix)</t>
  </si>
  <si>
    <t>17- bfDoVh fyad lsfoax Ldhe</t>
  </si>
  <si>
    <t>vU; tek jkf'k ¼/kkjk 80 lh ds vUrxZr½</t>
  </si>
  <si>
    <t>21- ,QMh vkfn vU; tek jkf'k ij izkIr dqy C;kt ¼ihih,Q dks NksM+dj½</t>
  </si>
  <si>
    <r>
      <t>19- LVs.MMZ fMMsD'ku :i;s</t>
    </r>
    <r>
      <rPr>
        <sz val="13"/>
        <rFont val="Times New Roman"/>
      </rPr>
      <t xml:space="preserve">  </t>
    </r>
    <r>
      <rPr>
        <sz val="11"/>
        <rFont val="Times New Roman"/>
      </rPr>
      <t>50,000</t>
    </r>
    <r>
      <rPr>
        <sz val="13"/>
        <rFont val="DevLys 010"/>
      </rPr>
      <t xml:space="preserve"> ¼vf/kdre½ /kkjk </t>
    </r>
    <r>
      <rPr>
        <sz val="11"/>
        <rFont val="Times New Roman"/>
      </rPr>
      <t>16 (ia)</t>
    </r>
  </si>
  <si>
    <t>23- /kkjk 80 lh ds vUrxZr vU; en esa tek djk;h x;h jkf'k</t>
  </si>
  <si>
    <t>34- jkgr /kkjk 89 ds vUrxZr</t>
  </si>
  <si>
    <r>
      <t xml:space="preserve">35- osru fcy ds vykok tek djk;k x;k aavk;dj </t>
    </r>
    <r>
      <rPr>
        <sz val="11"/>
        <rFont val="Times New Roman"/>
      </rPr>
      <t>(TDS)</t>
    </r>
  </si>
  <si>
    <t>22- vU; fofHkUu L=ks+= ¼C;kt ds vykok½ ls dqy vk;</t>
  </si>
  <si>
    <t>36- /kkjk 10¼14½ ds vUrxZr HkÙks tks djeqDr gS</t>
  </si>
  <si>
    <t>?kVkb;s dVkSSfr;k¡ %&amp;</t>
  </si>
  <si>
    <t>dqy ;ksx 12 ¼ 1 ls 9 rd ½</t>
  </si>
  <si>
    <t>NO</t>
  </si>
  <si>
    <r>
      <t xml:space="preserve">is eSustj ls th-,- 55 fudkydj vFkok is iksfLVax ls </t>
    </r>
    <r>
      <rPr>
        <sz val="12"/>
        <rFont val="Calibri"/>
      </rPr>
      <t xml:space="preserve">Gross Salary, Total Deduction, Net Payment </t>
    </r>
    <r>
      <rPr>
        <sz val="14"/>
        <rFont val="DevLys 010"/>
      </rPr>
      <t>dk feyku dj ysosaA vUrj vkus ij esU;wvy :Ik ls MkVk cny ysaA</t>
    </r>
  </si>
  <si>
    <t>6- x`g _.k fdLr ewy/ku</t>
  </si>
  <si>
    <t>7- x`g _.k fdLr C;kt</t>
  </si>
  <si>
    <t>;g odZcqd fo'ks"kdj jktLFkku ds f'k{kdksa dh mi;ksfxrk ds fy, rS;kj dh xbZ gSA ladyu ,oa x.kuk esa iw.kZ lko/kkuh j[kh xbZ gSA fQj Hkh =qfV @ fdlh Hkh izdkj dh fofHkUurk dh fLFkfr esa vk;dj foHkkx ds fu;e gh ekU; gSA rS;kjdrkZ dk dksbZ mRrjnkf;Ro ugha gksxkA</t>
  </si>
  <si>
    <t>BASIC</t>
  </si>
  <si>
    <t>DA</t>
  </si>
  <si>
    <t>L-14</t>
  </si>
  <si>
    <t>T</t>
  </si>
  <si>
    <t>A</t>
  </si>
  <si>
    <t>X</t>
  </si>
  <si>
    <t>TOTAL TAX</t>
  </si>
  <si>
    <t>GROSS SALARY</t>
  </si>
  <si>
    <t>HRA</t>
  </si>
  <si>
    <t>Amount of Exempted HRA</t>
  </si>
  <si>
    <t>HRA Chargeable to Tax</t>
  </si>
  <si>
    <t xml:space="preserve"> Excess of Rent paid over 10% of Salary</t>
  </si>
  <si>
    <r>
      <t xml:space="preserve">9- /kkjk </t>
    </r>
    <r>
      <rPr>
        <sz val="10"/>
        <color rgb="FF002060"/>
        <rFont val="Calibri"/>
      </rPr>
      <t>80 GGA</t>
    </r>
    <r>
      <rPr>
        <sz val="12"/>
        <color rgb="FF002060"/>
        <rFont val="DevLys 010"/>
      </rPr>
      <t xml:space="preserve"> vuqeksfnr oSKkfud] lkekftd] xzkeh.k fodkl vkfn gsrq fn;k x;k nku</t>
    </r>
  </si>
  <si>
    <r>
      <t xml:space="preserve"> fdjk;s dk </t>
    </r>
    <r>
      <rPr>
        <sz val="10"/>
        <color rgb="FF002060"/>
        <rFont val="Calibri"/>
      </rPr>
      <t>30%</t>
    </r>
  </si>
  <si>
    <r>
      <t xml:space="preserve"> ¼</t>
    </r>
    <r>
      <rPr>
        <sz val="12"/>
        <color rgb="FF002060"/>
        <rFont val="Calibri"/>
      </rPr>
      <t>i</t>
    </r>
    <r>
      <rPr>
        <sz val="12"/>
        <color rgb="FF002060"/>
        <rFont val="DevLys 010"/>
      </rPr>
      <t xml:space="preserve">½ LVs.MMZ fMMsD'ku </t>
    </r>
    <r>
      <rPr>
        <sz val="10"/>
        <color rgb="FF002060"/>
        <rFont val="Times New Roman"/>
      </rPr>
      <t>(Standard Deduction)  50,000</t>
    </r>
    <r>
      <rPr>
        <sz val="12"/>
        <color rgb="FF002060"/>
        <rFont val="DevLys 010"/>
      </rPr>
      <t xml:space="preserve"> ¼vf/kdre½ /kkjk 16 </t>
    </r>
    <r>
      <rPr>
        <sz val="11"/>
        <color rgb="FF002060"/>
        <rFont val="Calibri"/>
      </rPr>
      <t>(ia)</t>
    </r>
  </si>
  <si>
    <r>
      <t xml:space="preserve">x`g fdjk;k] /kkjk </t>
    </r>
    <r>
      <rPr>
        <sz val="10"/>
        <color rgb="FF002060"/>
        <rFont val="Calibri"/>
      </rPr>
      <t>10(13 A)</t>
    </r>
    <r>
      <rPr>
        <sz val="12"/>
        <color rgb="FF002060"/>
        <rFont val="DevLys 010"/>
      </rPr>
      <t xml:space="preserve"> ds vUrxrZ ,oa /kkjk </t>
    </r>
    <r>
      <rPr>
        <sz val="10"/>
        <color rgb="FF002060"/>
        <rFont val="Calibri"/>
      </rPr>
      <t xml:space="preserve">10(14) </t>
    </r>
    <r>
      <rPr>
        <sz val="12"/>
        <color rgb="FF002060"/>
        <rFont val="DevLys 010"/>
      </rPr>
      <t>ds vUrxrZ vU; Hkrs tks dj eqDÙk gSA</t>
    </r>
  </si>
  <si>
    <r>
      <t xml:space="preserve"> ¼</t>
    </r>
    <r>
      <rPr>
        <sz val="12"/>
        <color rgb="FF002060"/>
        <rFont val="Calibri"/>
      </rPr>
      <t>ii</t>
    </r>
    <r>
      <rPr>
        <sz val="12"/>
        <color rgb="FF002060"/>
        <rFont val="DevLys 010"/>
      </rPr>
      <t xml:space="preserve">½euksjatu Hkrk /kkjk </t>
    </r>
    <r>
      <rPr>
        <sz val="10"/>
        <color rgb="FF002060"/>
        <rFont val="Calibri"/>
      </rPr>
      <t>16 (ii)</t>
    </r>
    <r>
      <rPr>
        <sz val="12"/>
        <color rgb="FF002060"/>
        <rFont val="DevLys 010"/>
      </rPr>
      <t xml:space="preserve"> ds vUrxrZ ¼ vf/kdre lhek : </t>
    </r>
    <r>
      <rPr>
        <sz val="10"/>
        <color rgb="FF002060"/>
        <rFont val="Calibri"/>
      </rPr>
      <t>5000</t>
    </r>
    <r>
      <rPr>
        <sz val="12"/>
        <color rgb="FF002060"/>
        <rFont val="DevLys 010"/>
      </rPr>
      <t xml:space="preserve"> ½</t>
    </r>
  </si>
  <si>
    <r>
      <t xml:space="preserve"> ¼</t>
    </r>
    <r>
      <rPr>
        <sz val="12"/>
        <color rgb="FF002060"/>
        <rFont val="Calibri"/>
      </rPr>
      <t>iii</t>
    </r>
    <r>
      <rPr>
        <sz val="12"/>
        <color rgb="FF002060"/>
        <rFont val="DevLys 010"/>
      </rPr>
      <t xml:space="preserve">½ O;olk; dj /kkjk </t>
    </r>
    <r>
      <rPr>
        <sz val="10"/>
        <color rgb="FF002060"/>
        <rFont val="Calibri"/>
      </rPr>
      <t>16 (iii)</t>
    </r>
    <r>
      <rPr>
        <sz val="12"/>
        <color rgb="FF002060"/>
        <rFont val="DevLys 010"/>
      </rPr>
      <t xml:space="preserve"> ds vUrxrZ </t>
    </r>
  </si>
  <si>
    <r>
      <rPr>
        <sz val="10"/>
        <color rgb="FF002060"/>
        <rFont val="Arial"/>
      </rPr>
      <t>(C)</t>
    </r>
    <r>
      <rPr>
        <sz val="12"/>
        <color rgb="FF002060"/>
        <rFont val="Arial"/>
      </rPr>
      <t xml:space="preserve"> </t>
    </r>
    <r>
      <rPr>
        <sz val="12"/>
        <color rgb="FF002060"/>
        <rFont val="DevLys 010"/>
      </rPr>
      <t>?kVkb;s &amp; /kkjk</t>
    </r>
    <r>
      <rPr>
        <sz val="12"/>
        <color rgb="FF002060"/>
        <rFont val="Calibri"/>
      </rPr>
      <t xml:space="preserve"> </t>
    </r>
    <r>
      <rPr>
        <sz val="10"/>
        <color rgb="FF002060"/>
        <rFont val="Calibri"/>
      </rPr>
      <t>80CCD (1B)</t>
    </r>
    <r>
      <rPr>
        <sz val="12"/>
        <color rgb="FF002060"/>
        <rFont val="Arial"/>
      </rPr>
      <t xml:space="preserve"> </t>
    </r>
    <r>
      <rPr>
        <sz val="12"/>
        <color rgb="FF002060"/>
        <rFont val="DevLys 010"/>
      </rPr>
      <t xml:space="preserve">uohu isa'ku ;kstuk esa vfrfjDr va'knku ¼vf/kdre :- </t>
    </r>
    <r>
      <rPr>
        <sz val="10"/>
        <color rgb="FF002060"/>
        <rFont val="Calibri"/>
      </rPr>
      <t>50,000</t>
    </r>
    <r>
      <rPr>
        <sz val="12"/>
        <color rgb="FF002060"/>
        <rFont val="Arial"/>
      </rPr>
      <t>)</t>
    </r>
  </si>
  <si>
    <r>
      <rPr>
        <sz val="10"/>
        <color rgb="FF002060"/>
        <rFont val="Calibri"/>
      </rPr>
      <t>(A)</t>
    </r>
    <r>
      <rPr>
        <sz val="12"/>
        <color rgb="FF002060"/>
        <rFont val="Arial"/>
      </rPr>
      <t xml:space="preserve"> </t>
    </r>
    <r>
      <rPr>
        <sz val="12"/>
        <color rgb="FF002060"/>
        <rFont val="DevLys 010"/>
      </rPr>
      <t>/kkjk</t>
    </r>
    <r>
      <rPr>
        <sz val="10"/>
        <color rgb="FF002060"/>
        <rFont val="Calibri"/>
      </rPr>
      <t xml:space="preserve">  US 80C, 80CCC,80CCD (1) </t>
    </r>
    <r>
      <rPr>
        <sz val="12"/>
        <color rgb="FF002060"/>
        <rFont val="DevLys 010"/>
      </rPr>
      <t xml:space="preserve">vf/kdre dVkSrh dh jkf'k </t>
    </r>
  </si>
  <si>
    <r>
      <rPr>
        <sz val="10"/>
        <color rgb="FF002060"/>
        <rFont val="Calibri"/>
      </rPr>
      <t>(B)</t>
    </r>
    <r>
      <rPr>
        <sz val="12"/>
        <color rgb="FF002060"/>
        <rFont val="Arial"/>
      </rPr>
      <t xml:space="preserve"> </t>
    </r>
    <r>
      <rPr>
        <sz val="12"/>
        <color rgb="FF002060"/>
        <rFont val="DevLys 010"/>
      </rPr>
      <t xml:space="preserve">?kVkb;s&amp; /kkjk </t>
    </r>
    <r>
      <rPr>
        <sz val="10"/>
        <color rgb="FF002060"/>
        <rFont val="Calibri"/>
      </rPr>
      <t>80CCD(2)</t>
    </r>
    <r>
      <rPr>
        <sz val="12"/>
        <color rgb="FF002060"/>
        <rFont val="DevLys 010"/>
      </rPr>
      <t xml:space="preserve"> fu;ksDrk }kjk isa'ku va'knku dh jkf'k ¼vf/kdre osru dk 10</t>
    </r>
    <r>
      <rPr>
        <sz val="9"/>
        <color rgb="FF002060"/>
        <rFont val="Arial"/>
      </rPr>
      <t>%</t>
    </r>
    <r>
      <rPr>
        <sz val="12"/>
        <color rgb="FF002060"/>
        <rFont val="Arial"/>
      </rPr>
      <t xml:space="preserve">) </t>
    </r>
    <r>
      <rPr>
        <sz val="12"/>
        <color rgb="FF002060"/>
        <rFont val="DevLys 010"/>
      </rPr>
      <t>i`Fkd ls NwV</t>
    </r>
  </si>
  <si>
    <r>
      <rPr>
        <sz val="10"/>
        <color rgb="FF002060"/>
        <rFont val="Calibri"/>
      </rPr>
      <t>(C)</t>
    </r>
    <r>
      <rPr>
        <sz val="12"/>
        <color rgb="FF002060"/>
        <rFont val="Arial"/>
      </rPr>
      <t xml:space="preserve"> </t>
    </r>
    <r>
      <rPr>
        <sz val="12"/>
        <color rgb="FF002060"/>
        <rFont val="DevLys 010"/>
      </rPr>
      <t>?kVkb;s &amp; /kkjk</t>
    </r>
    <r>
      <rPr>
        <sz val="12"/>
        <color rgb="FF002060"/>
        <rFont val="Calibri"/>
      </rPr>
      <t xml:space="preserve"> </t>
    </r>
    <r>
      <rPr>
        <sz val="10"/>
        <color rgb="FF002060"/>
        <rFont val="Calibri"/>
      </rPr>
      <t>80CCD (1B)</t>
    </r>
    <r>
      <rPr>
        <sz val="12"/>
        <color rgb="FF002060"/>
        <rFont val="Arial"/>
      </rPr>
      <t xml:space="preserve"> </t>
    </r>
    <r>
      <rPr>
        <sz val="12"/>
        <color rgb="FF002060"/>
        <rFont val="DevLys 010"/>
      </rPr>
      <t xml:space="preserve">uohu isa'ku ;kstuk esa vfrfjDr va'knku ¼vf/kdre :- </t>
    </r>
    <r>
      <rPr>
        <sz val="10"/>
        <color rgb="FF002060"/>
        <rFont val="Calibri"/>
      </rPr>
      <t>50,000</t>
    </r>
    <r>
      <rPr>
        <sz val="12"/>
        <color rgb="FF002060"/>
        <rFont val="Arial"/>
      </rPr>
      <t>)</t>
    </r>
  </si>
  <si>
    <r>
      <t xml:space="preserve">2- /kkjk </t>
    </r>
    <r>
      <rPr>
        <sz val="10"/>
        <color rgb="FF002060"/>
        <rFont val="Calibri"/>
      </rPr>
      <t>80DD</t>
    </r>
    <r>
      <rPr>
        <sz val="12"/>
        <color rgb="FF002060"/>
        <rFont val="Arial"/>
      </rPr>
      <t xml:space="preserve"> </t>
    </r>
    <r>
      <rPr>
        <sz val="12"/>
        <color rgb="FF002060"/>
        <rFont val="DevLys 010"/>
      </rPr>
      <t xml:space="preserve">fodykax vkfJrksa ds fpfdRlk mipkj </t>
    </r>
    <r>
      <rPr>
        <sz val="11"/>
        <color rgb="FF002060"/>
        <rFont val="DevLys 010"/>
      </rPr>
      <t xml:space="preserve">¼vf/kdre </t>
    </r>
    <r>
      <rPr>
        <sz val="9"/>
        <color rgb="FF002060"/>
        <rFont val="Calibri"/>
      </rPr>
      <t>75,000</t>
    </r>
    <r>
      <rPr>
        <sz val="11"/>
        <color rgb="FF002060"/>
        <rFont val="DevLys 010"/>
      </rPr>
      <t xml:space="preserve"> rFkk </t>
    </r>
    <r>
      <rPr>
        <sz val="10"/>
        <color rgb="FF002060"/>
        <rFont val="Times New Roman"/>
      </rPr>
      <t>80%</t>
    </r>
    <r>
      <rPr>
        <sz val="11"/>
        <color rgb="FF002060"/>
        <rFont val="Times New Roman"/>
      </rPr>
      <t xml:space="preserve"> </t>
    </r>
    <r>
      <rPr>
        <sz val="11"/>
        <color rgb="FF002060"/>
        <rFont val="DevLys 010"/>
      </rPr>
      <t xml:space="preserve">;k vf/kd fodykaxrk </t>
    </r>
    <r>
      <rPr>
        <sz val="9"/>
        <color rgb="FF002060"/>
        <rFont val="Calibri"/>
      </rPr>
      <t>125,000</t>
    </r>
    <r>
      <rPr>
        <sz val="11"/>
        <color rgb="FF002060"/>
        <rFont val="DevLys 010"/>
      </rPr>
      <t>½</t>
    </r>
  </si>
  <si>
    <r>
      <t xml:space="preserve">5- /kkjk </t>
    </r>
    <r>
      <rPr>
        <sz val="10"/>
        <color rgb="FF002060"/>
        <rFont val="Calibri"/>
      </rPr>
      <t>80G</t>
    </r>
    <r>
      <rPr>
        <sz val="12"/>
        <color rgb="FF002060"/>
        <rFont val="DevLys 010"/>
      </rPr>
      <t xml:space="preserve"> /kekZFkZ laLFkkvksa vkfn dks fn;s nku </t>
    </r>
    <r>
      <rPr>
        <sz val="11"/>
        <color rgb="FF002060"/>
        <rFont val="DevLys 010"/>
      </rPr>
      <t xml:space="preserve">¼ d Js.kh esa </t>
    </r>
    <r>
      <rPr>
        <sz val="9"/>
        <color rgb="FF002060"/>
        <rFont val="Calibri"/>
      </rPr>
      <t>100</t>
    </r>
    <r>
      <rPr>
        <sz val="11"/>
        <color rgb="FF002060"/>
        <rFont val="DevLys 010"/>
      </rPr>
      <t xml:space="preserve"> izfr'kr ,oa [k Js.kh esa 50 izfr'kr½</t>
    </r>
  </si>
  <si>
    <r>
      <t xml:space="preserve">6- /kkjk </t>
    </r>
    <r>
      <rPr>
        <sz val="10"/>
        <color rgb="FF002060"/>
        <rFont val="Calibri"/>
      </rPr>
      <t>80U</t>
    </r>
    <r>
      <rPr>
        <sz val="12"/>
        <color rgb="FF002060"/>
        <rFont val="DevLys 010"/>
      </rPr>
      <t xml:space="preserve"> LFkkbZ :i ls 'kkjhfjd vleFkZrrk dh n'kk esa </t>
    </r>
    <r>
      <rPr>
        <sz val="10"/>
        <color rgb="FF002060"/>
        <rFont val="DevLys 010"/>
      </rPr>
      <t xml:space="preserve">¼vf/kdre </t>
    </r>
    <r>
      <rPr>
        <sz val="8"/>
        <color rgb="FF002060"/>
        <rFont val="Calibri"/>
      </rPr>
      <t>75,000</t>
    </r>
    <r>
      <rPr>
        <sz val="10"/>
        <color rgb="FF002060"/>
        <rFont val="DevLys 010"/>
      </rPr>
      <t xml:space="preserve"> rFkk  vf/kfu;e </t>
    </r>
    <r>
      <rPr>
        <sz val="8"/>
        <color rgb="FF002060"/>
        <rFont val="Calibri"/>
      </rPr>
      <t>1995</t>
    </r>
    <r>
      <rPr>
        <sz val="10"/>
        <color rgb="FF002060"/>
        <rFont val="DevLys 010"/>
      </rPr>
      <t xml:space="preserve"> ds vuqlkj </t>
    </r>
    <r>
      <rPr>
        <sz val="8"/>
        <color rgb="FF002060"/>
        <rFont val="Calibri"/>
      </rPr>
      <t>125,000</t>
    </r>
    <r>
      <rPr>
        <sz val="10"/>
        <color rgb="FF002060"/>
        <rFont val="DevLys 010"/>
      </rPr>
      <t>½</t>
    </r>
  </si>
  <si>
    <r>
      <t xml:space="preserve">7- /kkjk </t>
    </r>
    <r>
      <rPr>
        <sz val="10"/>
        <color rgb="FF002060"/>
        <rFont val="Calibri"/>
      </rPr>
      <t>80 TTA</t>
    </r>
    <r>
      <rPr>
        <sz val="12"/>
        <color rgb="FF002060"/>
        <rFont val="DevLys 010"/>
      </rPr>
      <t xml:space="preserve"> cpr [kkrs ij C;kt dh vf/kdre NwV :-</t>
    </r>
    <r>
      <rPr>
        <sz val="10"/>
        <color rgb="FF002060"/>
        <rFont val="Calibri"/>
      </rPr>
      <t xml:space="preserve"> 10,000</t>
    </r>
    <r>
      <rPr>
        <sz val="12"/>
        <color rgb="FF002060"/>
        <rFont val="DevLys 010"/>
      </rPr>
      <t xml:space="preserve">          </t>
    </r>
    <r>
      <rPr>
        <sz val="10"/>
        <color rgb="FF002060"/>
        <rFont val="Calibri"/>
      </rPr>
      <t xml:space="preserve"> U/S 194(IA)</t>
    </r>
  </si>
  <si>
    <r>
      <t xml:space="preserve">8- /kkjk </t>
    </r>
    <r>
      <rPr>
        <sz val="10"/>
        <color rgb="FF002060"/>
        <rFont val="Calibri"/>
      </rPr>
      <t xml:space="preserve">80 TTB - </t>
    </r>
    <r>
      <rPr>
        <sz val="12"/>
        <color rgb="FF002060"/>
        <rFont val="DevLys 010"/>
      </rPr>
      <t xml:space="preserve">aofj"B ukxfjdksa dks lHkh izdkj ds C;kt ij vf/kdre NwV&amp;  </t>
    </r>
    <r>
      <rPr>
        <sz val="10"/>
        <color rgb="FF002060"/>
        <rFont val="Calibri"/>
      </rPr>
      <t>50000</t>
    </r>
    <r>
      <rPr>
        <sz val="12"/>
        <color rgb="FF002060"/>
        <rFont val="DevLys 010"/>
      </rPr>
      <t xml:space="preserve"> :-      </t>
    </r>
    <r>
      <rPr>
        <sz val="10"/>
        <color rgb="FF002060"/>
        <rFont val="Calibri"/>
      </rPr>
      <t xml:space="preserve"> U/S 194(A)</t>
    </r>
  </si>
  <si>
    <r>
      <t xml:space="preserve"> vk;dj dh x.kuk  mijksDr dkWye </t>
    </r>
    <r>
      <rPr>
        <sz val="10"/>
        <color rgb="FF002060"/>
        <rFont val="Calibri"/>
      </rPr>
      <t>15</t>
    </r>
    <r>
      <rPr>
        <sz val="12"/>
        <color rgb="FF002060"/>
        <rFont val="DevLys 010"/>
      </rPr>
      <t xml:space="preserve"> ds vk/kkj ij</t>
    </r>
  </si>
  <si>
    <r>
      <t xml:space="preserve">¼4½ </t>
    </r>
    <r>
      <rPr>
        <sz val="12"/>
        <color rgb="FF002060"/>
        <rFont val="DevLys 010"/>
      </rPr>
      <t xml:space="preserve">f'k{kk midj </t>
    </r>
    <r>
      <rPr>
        <sz val="10"/>
        <color rgb="FF002060"/>
        <rFont val="Times New Roman"/>
      </rPr>
      <t>2</t>
    </r>
    <r>
      <rPr>
        <sz val="10"/>
        <color rgb="FF002060"/>
        <rFont val="Arial"/>
      </rPr>
      <t>%</t>
    </r>
    <r>
      <rPr>
        <sz val="12"/>
        <color rgb="FF002060"/>
        <rFont val="DevLys 010"/>
      </rPr>
      <t xml:space="preserve"> ,oa mPp f'k{kk ds fy, vf/kHkkj </t>
    </r>
    <r>
      <rPr>
        <sz val="10"/>
        <color rgb="FF002060"/>
        <rFont val="Times New Roman"/>
      </rPr>
      <t>2</t>
    </r>
    <r>
      <rPr>
        <sz val="10"/>
        <color rgb="FF002060"/>
        <rFont val="Arial"/>
      </rPr>
      <t>%  (</t>
    </r>
    <r>
      <rPr>
        <sz val="12"/>
        <color rgb="FF002060"/>
        <rFont val="DevLys 010"/>
      </rPr>
      <t xml:space="preserve">;ksx </t>
    </r>
    <r>
      <rPr>
        <sz val="10"/>
        <color rgb="FF002060"/>
        <rFont val="Times New Roman"/>
      </rPr>
      <t>4</t>
    </r>
    <r>
      <rPr>
        <sz val="10"/>
        <color rgb="FF002060"/>
        <rFont val="Arial"/>
      </rPr>
      <t>%</t>
    </r>
    <r>
      <rPr>
        <sz val="12"/>
        <color rgb="FF002060"/>
        <rFont val="Arial"/>
      </rPr>
      <t>)</t>
    </r>
  </si>
  <si>
    <r>
      <t xml:space="preserve">?kVkb;s  %&amp; jkgr /kkjk </t>
    </r>
    <r>
      <rPr>
        <sz val="10"/>
        <color rgb="FF002060"/>
        <rFont val="Calibri"/>
      </rPr>
      <t>89</t>
    </r>
    <r>
      <rPr>
        <sz val="12"/>
        <color rgb="FF002060"/>
        <rFont val="DevLys 010"/>
      </rPr>
      <t xml:space="preserve"> ds rgr </t>
    </r>
  </si>
  <si>
    <r>
      <t xml:space="preserve">dqy VSDl dVkSrh
;ksx dkWye </t>
    </r>
    <r>
      <rPr>
        <b/>
        <sz val="11"/>
        <color rgb="FF002060"/>
        <rFont val="Calibri"/>
      </rPr>
      <t>19</t>
    </r>
  </si>
  <si>
    <t>¼v½ x`g lEifr ls vk;% ¼1½ Loa; ds mi;ksx esa &amp;'kwU;</t>
  </si>
  <si>
    <r>
      <t xml:space="preserve">¼3½ 'ks"k vk;dj </t>
    </r>
    <r>
      <rPr>
        <b/>
        <sz val="11"/>
        <color rgb="FFC00000"/>
        <rFont val="Calibri"/>
      </rPr>
      <t>(1-2)</t>
    </r>
  </si>
  <si>
    <r>
      <t xml:space="preserve">¼4½ f'k{kk midj </t>
    </r>
    <r>
      <rPr>
        <b/>
        <sz val="11"/>
        <color rgb="FF002060"/>
        <rFont val="Times New Roman"/>
      </rPr>
      <t>2</t>
    </r>
    <r>
      <rPr>
        <b/>
        <sz val="10"/>
        <color rgb="FF002060"/>
        <rFont val="Arial"/>
      </rPr>
      <t>%</t>
    </r>
    <r>
      <rPr>
        <b/>
        <sz val="12"/>
        <color rgb="FF002060"/>
        <rFont val="DevLys 010"/>
      </rPr>
      <t xml:space="preserve"> ,oa mPp f'k{kk ds fy, vf/kHkkj </t>
    </r>
    <r>
      <rPr>
        <b/>
        <sz val="12"/>
        <color rgb="FF002060"/>
        <rFont val="Times New Roman"/>
      </rPr>
      <t>2</t>
    </r>
    <r>
      <rPr>
        <b/>
        <sz val="10"/>
        <color rgb="FF002060"/>
        <rFont val="Arial"/>
      </rPr>
      <t>%  (</t>
    </r>
    <r>
      <rPr>
        <b/>
        <sz val="12"/>
        <color rgb="FF002060"/>
        <rFont val="DevLys 010"/>
      </rPr>
      <t xml:space="preserve">;ksx </t>
    </r>
    <r>
      <rPr>
        <b/>
        <sz val="11"/>
        <color rgb="FF002060"/>
        <rFont val="Times New Roman"/>
      </rPr>
      <t>4</t>
    </r>
    <r>
      <rPr>
        <b/>
        <sz val="10"/>
        <color rgb="FF002060"/>
        <rFont val="Arial"/>
      </rPr>
      <t>%</t>
    </r>
    <r>
      <rPr>
        <b/>
        <sz val="12"/>
        <color rgb="FF002060"/>
        <rFont val="Arial"/>
      </rPr>
      <t>)</t>
    </r>
  </si>
  <si>
    <r>
      <t xml:space="preserve">x`g fdjk;k] /kkjk </t>
    </r>
    <r>
      <rPr>
        <sz val="10"/>
        <color rgb="FF002060"/>
        <rFont val="Calibri"/>
      </rPr>
      <t>10 (13A)</t>
    </r>
    <r>
      <rPr>
        <sz val="12"/>
        <color rgb="FF002060"/>
        <rFont val="DevLys 010"/>
      </rPr>
      <t xml:space="preserve"> ds vUrxrZ ,oa /kkjk </t>
    </r>
    <r>
      <rPr>
        <sz val="10"/>
        <color rgb="FF002060"/>
        <rFont val="Calibri"/>
      </rPr>
      <t xml:space="preserve">10 (14) </t>
    </r>
    <r>
      <rPr>
        <sz val="12"/>
        <color rgb="FF002060"/>
        <rFont val="DevLys 010"/>
      </rPr>
      <t>ds vUrxrZ vU; Hkrs tks dj eqDÙk gSA</t>
    </r>
  </si>
  <si>
    <r>
      <t xml:space="preserve"> ¼</t>
    </r>
    <r>
      <rPr>
        <sz val="12"/>
        <color rgb="FF002060"/>
        <rFont val="Calibri"/>
      </rPr>
      <t>ii</t>
    </r>
    <r>
      <rPr>
        <sz val="12"/>
        <color rgb="FF002060"/>
        <rFont val="DevLys 010"/>
      </rPr>
      <t xml:space="preserve">½ euksjatu Hkrk /kkjk </t>
    </r>
    <r>
      <rPr>
        <sz val="10"/>
        <color rgb="FF002060"/>
        <rFont val="Calibri"/>
      </rPr>
      <t>16</t>
    </r>
    <r>
      <rPr>
        <sz val="12"/>
        <color rgb="FF002060"/>
        <rFont val="DevLys 010"/>
      </rPr>
      <t xml:space="preserve"> </t>
    </r>
    <r>
      <rPr>
        <sz val="11"/>
        <color rgb="FF002060"/>
        <rFont val="Calibri"/>
      </rPr>
      <t>(ii)</t>
    </r>
    <r>
      <rPr>
        <sz val="12"/>
        <color rgb="FF002060"/>
        <rFont val="DevLys 010"/>
      </rPr>
      <t xml:space="preserve"> ds vUrxrZ ¼ vf/kdre lhek : </t>
    </r>
    <r>
      <rPr>
        <sz val="10"/>
        <color rgb="FF002060"/>
        <rFont val="Calibri"/>
      </rPr>
      <t>5,000</t>
    </r>
    <r>
      <rPr>
        <sz val="12"/>
        <color rgb="FF002060"/>
        <rFont val="DevLys 010"/>
      </rPr>
      <t xml:space="preserve"> ½</t>
    </r>
  </si>
  <si>
    <r>
      <t xml:space="preserve"> ¼</t>
    </r>
    <r>
      <rPr>
        <sz val="12"/>
        <color rgb="FF002060"/>
        <rFont val="Calibri"/>
      </rPr>
      <t>iii</t>
    </r>
    <r>
      <rPr>
        <sz val="12"/>
        <color rgb="FF002060"/>
        <rFont val="DevLys 010"/>
      </rPr>
      <t xml:space="preserve">½ O;olk; dj /kkjk </t>
    </r>
    <r>
      <rPr>
        <sz val="10"/>
        <color rgb="FF002060"/>
        <rFont val="Calibri"/>
      </rPr>
      <t>16</t>
    </r>
    <r>
      <rPr>
        <sz val="12"/>
        <color rgb="FF002060"/>
        <rFont val="DevLys 010"/>
      </rPr>
      <t xml:space="preserve"> </t>
    </r>
    <r>
      <rPr>
        <sz val="10"/>
        <color rgb="FF002060"/>
        <rFont val="Calibri"/>
      </rPr>
      <t>(iii)</t>
    </r>
    <r>
      <rPr>
        <sz val="12"/>
        <color rgb="FF002060"/>
        <rFont val="DevLys 010"/>
      </rPr>
      <t xml:space="preserve"> ds vUrxrZ </t>
    </r>
  </si>
  <si>
    <r>
      <rPr>
        <sz val="10"/>
        <color rgb="FF002060"/>
        <rFont val="Arial"/>
      </rPr>
      <t>(A)</t>
    </r>
    <r>
      <rPr>
        <sz val="12"/>
        <color rgb="FF002060"/>
        <rFont val="Arial"/>
      </rPr>
      <t xml:space="preserve"> </t>
    </r>
    <r>
      <rPr>
        <sz val="12"/>
        <color rgb="FF002060"/>
        <rFont val="DevLys 010"/>
      </rPr>
      <t xml:space="preserve">vf/kdre lhek 1]50]000@&amp; ¼/kkjk </t>
    </r>
    <r>
      <rPr>
        <sz val="10"/>
        <color rgb="FF002060"/>
        <rFont val="Calibri"/>
      </rPr>
      <t>80CCE</t>
    </r>
    <r>
      <rPr>
        <sz val="12"/>
        <color rgb="FF002060"/>
        <rFont val="DevLys 010"/>
      </rPr>
      <t xml:space="preserve"> ½ ] ¼/kkjk </t>
    </r>
    <r>
      <rPr>
        <sz val="10"/>
        <color rgb="FF002060"/>
        <rFont val="Calibri"/>
      </rPr>
      <t>80CCD (2)</t>
    </r>
    <r>
      <rPr>
        <sz val="10"/>
        <color rgb="FF002060"/>
        <rFont val="Arial"/>
      </rPr>
      <t>,</t>
    </r>
    <r>
      <rPr>
        <sz val="12"/>
        <color rgb="FF002060"/>
        <rFont val="Arial"/>
      </rPr>
      <t xml:space="preserve"> </t>
    </r>
    <r>
      <rPr>
        <sz val="12"/>
        <color rgb="FF002060"/>
        <rFont val="DevLys 010"/>
      </rPr>
      <t>ds vykok</t>
    </r>
  </si>
  <si>
    <r>
      <t>thou chek izhfe;e ¼</t>
    </r>
    <r>
      <rPr>
        <sz val="12"/>
        <color rgb="FF002060"/>
        <rFont val="Calibri"/>
      </rPr>
      <t>LIC)</t>
    </r>
  </si>
  <si>
    <r>
      <t>jk"Vªh; cpr i= ¼</t>
    </r>
    <r>
      <rPr>
        <sz val="12"/>
        <color rgb="FF002060"/>
        <rFont val="Calibri"/>
      </rPr>
      <t>NSC)</t>
    </r>
  </si>
  <si>
    <r>
      <t xml:space="preserve">isa'ku Iyku gsrq va'knku ¼/kkjk </t>
    </r>
    <r>
      <rPr>
        <sz val="10"/>
        <color rgb="FF002060"/>
        <rFont val="Calibri"/>
      </rPr>
      <t>80CCC</t>
    </r>
    <r>
      <rPr>
        <sz val="12"/>
        <color rgb="FF002060"/>
        <rFont val="DevLys 010"/>
      </rPr>
      <t>½</t>
    </r>
  </si>
  <si>
    <r>
      <t>yksd Hkfo"; fuf/k ¼</t>
    </r>
    <r>
      <rPr>
        <sz val="12"/>
        <color rgb="FF002060"/>
        <rFont val="Calibri"/>
      </rPr>
      <t>PPF)</t>
    </r>
  </si>
  <si>
    <r>
      <t>jk"Vªh; cpr Ldhe ¼</t>
    </r>
    <r>
      <rPr>
        <sz val="12"/>
        <color rgb="FF002060"/>
        <rFont val="Calibri"/>
      </rPr>
      <t>NSS)</t>
    </r>
  </si>
  <si>
    <r>
      <t>LFkfxr okf"kZdh ¼</t>
    </r>
    <r>
      <rPr>
        <sz val="10"/>
        <color rgb="FF002060"/>
        <rFont val="Calibri"/>
      </rPr>
      <t>Defferred Annuty)</t>
    </r>
  </si>
  <si>
    <r>
      <t xml:space="preserve">ih-,y-vkbZ- </t>
    </r>
    <r>
      <rPr>
        <sz val="10"/>
        <color rgb="FF002060"/>
        <rFont val="DevLys 010"/>
      </rPr>
      <t>¼</t>
    </r>
    <r>
      <rPr>
        <sz val="10"/>
        <color rgb="FF002060"/>
        <rFont val="Calibri"/>
      </rPr>
      <t>PLI)</t>
    </r>
  </si>
  <si>
    <r>
      <t xml:space="preserve">x`g _.k fdLr </t>
    </r>
    <r>
      <rPr>
        <sz val="10"/>
        <color rgb="FF002060"/>
        <rFont val="DevLys 010"/>
      </rPr>
      <t>¼</t>
    </r>
    <r>
      <rPr>
        <sz val="10"/>
        <color rgb="FF002060"/>
        <rFont val="Calibri"/>
      </rPr>
      <t>HBA Premium)</t>
    </r>
  </si>
  <si>
    <r>
      <t xml:space="preserve">dqy dVkSrh </t>
    </r>
    <r>
      <rPr>
        <b/>
        <sz val="10"/>
        <color rgb="FF002060"/>
        <rFont val="Calibri"/>
      </rPr>
      <t>( 11 + 12)</t>
    </r>
  </si>
  <si>
    <r>
      <t xml:space="preserve">dj ;ksX; vk; </t>
    </r>
    <r>
      <rPr>
        <b/>
        <sz val="10"/>
        <color rgb="FF002060"/>
        <rFont val="Calibri"/>
      </rPr>
      <t>( 10 - 13 )</t>
    </r>
  </si>
  <si>
    <r>
      <t xml:space="preserve"> vk;dj dh x.kuk mijksDr dkWye </t>
    </r>
    <r>
      <rPr>
        <b/>
        <sz val="11"/>
        <color rgb="FF002060"/>
        <rFont val="Calibri"/>
      </rPr>
      <t>15</t>
    </r>
    <r>
      <rPr>
        <b/>
        <sz val="12"/>
        <color rgb="FF002060"/>
        <rFont val="DevLys 010"/>
      </rPr>
      <t xml:space="preserve"> ds vk/kkj ij</t>
    </r>
  </si>
  <si>
    <r>
      <t xml:space="preserve">ofj"B ukxfjd </t>
    </r>
    <r>
      <rPr>
        <b/>
        <sz val="10"/>
        <color rgb="FF002060"/>
        <rFont val="DevLys 010"/>
      </rPr>
      <t>¼</t>
    </r>
    <r>
      <rPr>
        <b/>
        <sz val="10"/>
        <color rgb="FF002060"/>
        <rFont val="Calibri"/>
      </rPr>
      <t>60</t>
    </r>
    <r>
      <rPr>
        <b/>
        <sz val="11"/>
        <color rgb="FF002060"/>
        <rFont val="DevLys 010"/>
      </rPr>
      <t xml:space="preserve"> ls </t>
    </r>
    <r>
      <rPr>
        <b/>
        <sz val="10"/>
        <color rgb="FF002060"/>
        <rFont val="Calibri"/>
      </rPr>
      <t>80</t>
    </r>
    <r>
      <rPr>
        <b/>
        <sz val="11"/>
        <color rgb="FF002060"/>
        <rFont val="DevLys 010"/>
      </rPr>
      <t xml:space="preserve"> o"kZ rd½</t>
    </r>
  </si>
  <si>
    <r>
      <t xml:space="preserve">?kVkb;s  %&amp; jkgr /kkjk </t>
    </r>
    <r>
      <rPr>
        <b/>
        <sz val="10"/>
        <color rgb="FF002060"/>
        <rFont val="Calibri"/>
      </rPr>
      <t>89</t>
    </r>
    <r>
      <rPr>
        <b/>
        <sz val="12"/>
        <color rgb="FF002060"/>
        <rFont val="DevLys 010"/>
      </rPr>
      <t xml:space="preserve"> ds rgr </t>
    </r>
  </si>
  <si>
    <r>
      <t xml:space="preserve">dqy VSDl dVkSrh
;ksx dkWye </t>
    </r>
    <r>
      <rPr>
        <b/>
        <sz val="13"/>
        <rFont val="Calibri"/>
      </rPr>
      <t>19</t>
    </r>
  </si>
  <si>
    <t>80 c &amp; ccd</t>
  </si>
  <si>
    <t>NA</t>
  </si>
  <si>
    <t>RGHS</t>
  </si>
  <si>
    <t>Other Deduction 2</t>
  </si>
  <si>
    <r>
      <t xml:space="preserve">3,00,000  </t>
    </r>
    <r>
      <rPr>
        <sz val="11"/>
        <color rgb="FF002060"/>
        <rFont val="DevLys 010"/>
      </rPr>
      <t>rd</t>
    </r>
  </si>
  <si>
    <t>12,00,001 - 15,00,000</t>
  </si>
  <si>
    <r>
      <t xml:space="preserve">15,00,000 </t>
    </r>
    <r>
      <rPr>
        <sz val="12"/>
        <color rgb="FF002060"/>
        <rFont val="DevLys 010"/>
      </rPr>
      <t>ls vf/kd</t>
    </r>
  </si>
  <si>
    <r>
      <t xml:space="preserve">flrEcj </t>
    </r>
    <r>
      <rPr>
        <b/>
        <sz val="11"/>
        <color rgb="FF002060"/>
        <rFont val="Calibri"/>
      </rPr>
      <t>2023</t>
    </r>
    <r>
      <rPr>
        <b/>
        <sz val="12"/>
        <color rgb="FF002060"/>
        <rFont val="DevLys 010"/>
      </rPr>
      <t xml:space="preserve">
rd  :i;s</t>
    </r>
  </si>
  <si>
    <r>
      <t xml:space="preserve">vDVwcj ls fnlEcj
</t>
    </r>
    <r>
      <rPr>
        <b/>
        <sz val="11"/>
        <color rgb="FF002060"/>
        <rFont val="Calibri"/>
      </rPr>
      <t>2023</t>
    </r>
    <r>
      <rPr>
        <b/>
        <sz val="12"/>
        <color rgb="FF002060"/>
        <rFont val="DevLys 010"/>
      </rPr>
      <t xml:space="preserve"> :i;s</t>
    </r>
  </si>
  <si>
    <r>
      <t xml:space="preserve">tuojh </t>
    </r>
    <r>
      <rPr>
        <b/>
        <sz val="11"/>
        <color rgb="FF002060"/>
        <rFont val="Calibri"/>
      </rPr>
      <t>2024</t>
    </r>
    <r>
      <rPr>
        <b/>
        <sz val="12"/>
        <color rgb="FF002060"/>
        <rFont val="DevLys 010"/>
      </rPr>
      <t xml:space="preserve">
:i;s</t>
    </r>
  </si>
  <si>
    <r>
      <t xml:space="preserve">Qjojh </t>
    </r>
    <r>
      <rPr>
        <b/>
        <sz val="11"/>
        <color rgb="FF002060"/>
        <rFont val="Calibri"/>
      </rPr>
      <t>2024</t>
    </r>
    <r>
      <rPr>
        <b/>
        <sz val="12"/>
        <color rgb="FF002060"/>
        <rFont val="DevLys 010"/>
      </rPr>
      <t xml:space="preserve">
:i;s</t>
    </r>
  </si>
  <si>
    <r>
      <t xml:space="preserve">25- ljdkjh isa'ku ;kstuk esa deZpkjh dk va'knku </t>
    </r>
    <r>
      <rPr>
        <sz val="10"/>
        <rFont val="DevLys 010"/>
      </rPr>
      <t xml:space="preserve">vf/kdre osru dk </t>
    </r>
    <r>
      <rPr>
        <sz val="10"/>
        <rFont val="Times New Roman"/>
      </rPr>
      <t>10%</t>
    </r>
    <r>
      <rPr>
        <sz val="10"/>
        <rFont val="DevLys 010"/>
      </rPr>
      <t xml:space="preserve"> /kkjk </t>
    </r>
    <r>
      <rPr>
        <sz val="10"/>
        <rFont val="Times New Roman"/>
      </rPr>
      <t>80CCD(1)</t>
    </r>
  </si>
  <si>
    <r>
      <t xml:space="preserve">10,00,000 </t>
    </r>
    <r>
      <rPr>
        <sz val="14"/>
        <color rgb="FF002060"/>
        <rFont val="DevLys 010"/>
      </rPr>
      <t>ls vf/kd</t>
    </r>
  </si>
  <si>
    <r>
      <t xml:space="preserve">3,00,000 </t>
    </r>
    <r>
      <rPr>
        <sz val="14"/>
        <color rgb="FF002060"/>
        <rFont val="DevLys 010"/>
      </rPr>
      <t>rd</t>
    </r>
  </si>
  <si>
    <r>
      <rPr>
        <sz val="11"/>
        <color rgb="FF002060"/>
        <rFont val="Calibri"/>
      </rPr>
      <t>10,00,000</t>
    </r>
    <r>
      <rPr>
        <sz val="11"/>
        <color rgb="FF002060"/>
        <rFont val="DevLys 010"/>
      </rPr>
      <t xml:space="preserve"> </t>
    </r>
    <r>
      <rPr>
        <sz val="14"/>
        <color rgb="FF002060"/>
        <rFont val="DevLys 010"/>
      </rPr>
      <t>ls vf/kd</t>
    </r>
  </si>
  <si>
    <r>
      <t xml:space="preserve">2,50,000 </t>
    </r>
    <r>
      <rPr>
        <sz val="14"/>
        <color rgb="FF002060"/>
        <rFont val="DevLys 010"/>
      </rPr>
      <t>rd</t>
    </r>
  </si>
  <si>
    <t>80 o"kZ ;k vf/kd vk;q</t>
  </si>
  <si>
    <t>YES</t>
  </si>
  <si>
    <r>
      <t xml:space="preserve">flrEcj </t>
    </r>
    <r>
      <rPr>
        <b/>
        <sz val="10"/>
        <color rgb="FF002060"/>
        <rFont val="Calibri"/>
      </rPr>
      <t>2023</t>
    </r>
    <r>
      <rPr>
        <b/>
        <sz val="12"/>
        <color rgb="FF002060"/>
        <rFont val="DevLys 010"/>
      </rPr>
      <t xml:space="preserve">
rd  :i;s</t>
    </r>
  </si>
  <si>
    <r>
      <t xml:space="preserve">vDVwcj ls fnlEcj
</t>
    </r>
    <r>
      <rPr>
        <b/>
        <sz val="10"/>
        <color rgb="FF002060"/>
        <rFont val="Calibri"/>
      </rPr>
      <t>2023</t>
    </r>
    <r>
      <rPr>
        <b/>
        <sz val="12"/>
        <color rgb="FF002060"/>
        <rFont val="DevLys 010"/>
      </rPr>
      <t xml:space="preserve"> :i;s</t>
    </r>
  </si>
  <si>
    <r>
      <t xml:space="preserve">tuojh </t>
    </r>
    <r>
      <rPr>
        <b/>
        <sz val="10"/>
        <color rgb="FF002060"/>
        <rFont val="Calibri"/>
      </rPr>
      <t>2024</t>
    </r>
    <r>
      <rPr>
        <b/>
        <sz val="12"/>
        <color rgb="FF002060"/>
        <rFont val="DevLys 010"/>
      </rPr>
      <t xml:space="preserve">
:i;s</t>
    </r>
  </si>
  <si>
    <r>
      <t xml:space="preserve">Qjojh </t>
    </r>
    <r>
      <rPr>
        <b/>
        <sz val="10"/>
        <color rgb="FF002060"/>
        <rFont val="Calibri"/>
      </rPr>
      <t>2024</t>
    </r>
    <r>
      <rPr>
        <b/>
        <sz val="12"/>
        <color rgb="FF002060"/>
        <rFont val="DevLys 010"/>
      </rPr>
      <t xml:space="preserve">
:i;s</t>
    </r>
  </si>
  <si>
    <t>BHAGIRATH MAL</t>
  </si>
  <si>
    <r>
      <t>ofj"B ukxfjd ¼</t>
    </r>
    <r>
      <rPr>
        <b/>
        <sz val="10"/>
        <rFont val="Calibri"/>
      </rPr>
      <t>60</t>
    </r>
    <r>
      <rPr>
        <b/>
        <sz val="11"/>
        <rFont val="DevLys 010"/>
      </rPr>
      <t xml:space="preserve"> ls</t>
    </r>
    <r>
      <rPr>
        <b/>
        <sz val="10"/>
        <rFont val="Calibri"/>
      </rPr>
      <t xml:space="preserve"> 80</t>
    </r>
    <r>
      <rPr>
        <b/>
        <sz val="11"/>
        <rFont val="DevLys 010"/>
      </rPr>
      <t xml:space="preserve"> o"kZ rd½</t>
    </r>
  </si>
  <si>
    <r>
      <t xml:space="preserve">,d O;fDr dj nkrk ¼vk;q </t>
    </r>
    <r>
      <rPr>
        <b/>
        <sz val="10"/>
        <rFont val="Calibri"/>
      </rPr>
      <t>60</t>
    </r>
    <r>
      <rPr>
        <b/>
        <sz val="11"/>
        <rFont val="DevLys 010"/>
      </rPr>
      <t xml:space="preserve"> o"kZ rd½</t>
    </r>
  </si>
  <si>
    <r>
      <rPr>
        <b/>
        <sz val="10"/>
        <rFont val="Calibri"/>
      </rPr>
      <t>80</t>
    </r>
    <r>
      <rPr>
        <b/>
        <sz val="11"/>
        <rFont val="DevLys 010"/>
      </rPr>
      <t xml:space="preserve"> o"kZ ;k vf/kd vk;q</t>
    </r>
  </si>
  <si>
    <t>ABCD</t>
  </si>
  <si>
    <t>8XXXXX8</t>
  </si>
  <si>
    <t>9XXXXXXXX1</t>
  </si>
  <si>
    <t>AAAAAXXXXA</t>
  </si>
  <si>
    <t>74XXX7</t>
  </si>
  <si>
    <t>NAME :-</t>
  </si>
  <si>
    <t xml:space="preserve">     TAN NO :-</t>
  </si>
  <si>
    <t>SI NO :-</t>
  </si>
  <si>
    <t>PAN NO :-</t>
  </si>
  <si>
    <t>MOBILE NO. :-</t>
  </si>
  <si>
    <t>SALARY AND DEDUCTION FINANCIAL YEAR 2024-25</t>
  </si>
  <si>
    <t>MONTH</t>
  </si>
  <si>
    <t>BASIC PAY</t>
  </si>
  <si>
    <t>WASHING ALLOW.</t>
  </si>
  <si>
    <t>SUBORTINATE</t>
  </si>
  <si>
    <t>0XXXXXXXXXXXXX5</t>
  </si>
  <si>
    <t>dk;kZy; dk uke %&amp;</t>
  </si>
  <si>
    <t>dkfeZd dk uke %&amp;</t>
  </si>
  <si>
    <t xml:space="preserve"> is ysoy %&amp;</t>
  </si>
  <si>
    <r>
      <t xml:space="preserve">dkfeZd dk </t>
    </r>
    <r>
      <rPr>
        <b/>
        <sz val="12"/>
        <color rgb="FFFFFFFF"/>
        <rFont val="Calibri"/>
      </rPr>
      <t>PAN</t>
    </r>
    <r>
      <rPr>
        <b/>
        <sz val="14"/>
        <color rgb="FFFFFFFF"/>
        <rFont val="DevLys 010"/>
      </rPr>
      <t xml:space="preserve"> %&amp;</t>
    </r>
  </si>
  <si>
    <r>
      <t xml:space="preserve">dk;kZy; dk </t>
    </r>
    <r>
      <rPr>
        <b/>
        <sz val="12"/>
        <color rgb="FFFFFFFF"/>
        <rFont val="Calibri"/>
      </rPr>
      <t>TAN</t>
    </r>
    <r>
      <rPr>
        <b/>
        <sz val="14"/>
        <color rgb="FFFFFFFF"/>
        <rFont val="DevLys 010"/>
      </rPr>
      <t xml:space="preserve"> % &amp;</t>
    </r>
  </si>
  <si>
    <t>SI Number : -</t>
  </si>
  <si>
    <t>jkT; chek ekfld dVkSrh % &amp;</t>
  </si>
  <si>
    <r>
      <t xml:space="preserve">ekpZ </t>
    </r>
    <r>
      <rPr>
        <b/>
        <sz val="12"/>
        <color rgb="FFFFFFFF"/>
        <rFont val="Calibri"/>
      </rPr>
      <t>2024</t>
    </r>
    <r>
      <rPr>
        <b/>
        <sz val="14"/>
        <color rgb="FFFFFFFF"/>
        <rFont val="DevLys 010"/>
      </rPr>
      <t xml:space="preserve"> dk ewy osru % &amp;</t>
    </r>
  </si>
  <si>
    <t xml:space="preserve">D;k vkius fofÙk; o"kZ 2024&amp;25 esa lefZiZr fy;k &amp; </t>
  </si>
  <si>
    <t>D;k vkidks cksul feyk % &amp;</t>
  </si>
  <si>
    <t>D;k vki ofj"B ukxfjd ¼60&amp;80 vk;qoxZ½ esa vkrs % &amp;</t>
  </si>
  <si>
    <t xml:space="preserve"> LIC प्रीमियम कटौती वेतन से : -</t>
  </si>
  <si>
    <t>क्या आप प्रोबेशन में है :-</t>
  </si>
  <si>
    <t>dkfeZd dk in % &amp;</t>
  </si>
  <si>
    <t>lsok dk uke ¼dSMj@laoxZ½ % &amp;</t>
  </si>
  <si>
    <t>cSad [kkrk la[;k % &amp;</t>
  </si>
  <si>
    <r>
      <t xml:space="preserve"> </t>
    </r>
    <r>
      <rPr>
        <b/>
        <sz val="12"/>
        <color rgb="FFFFFFFF"/>
        <rFont val="Calibri"/>
      </rPr>
      <t>DDO</t>
    </r>
    <r>
      <rPr>
        <b/>
        <sz val="14"/>
        <color rgb="FFFFFFFF"/>
        <rFont val="DevLys 010"/>
      </rPr>
      <t xml:space="preserve"> dk uke %&amp;</t>
    </r>
  </si>
  <si>
    <t>MOBILE NO :-</t>
  </si>
  <si>
    <t xml:space="preserve"> RATE OF HRA :- </t>
  </si>
  <si>
    <t>lefZiZr fcy cukus dk ekg % &amp;</t>
  </si>
  <si>
    <t xml:space="preserve">fgrdkjh fuf/k dVkSfr djuh gS % </t>
  </si>
  <si>
    <t>lewg nq?kZVuk chek izhfe;e % &amp;</t>
  </si>
  <si>
    <t>कार्मिक ID :-</t>
  </si>
  <si>
    <t>RJXXXXXXXXXXXXXXX</t>
  </si>
  <si>
    <t>BANK A/C NO</t>
  </si>
  <si>
    <t>DDO NAME</t>
  </si>
  <si>
    <t>EMP. ID</t>
  </si>
  <si>
    <t>BONUS</t>
  </si>
  <si>
    <t>CCA ALLOW.</t>
  </si>
  <si>
    <t>HANDICAPED ALLOW.</t>
  </si>
  <si>
    <t>SIP</t>
  </si>
  <si>
    <t xml:space="preserve">SIP LOAN </t>
  </si>
  <si>
    <t>SIP LOAN INTREST</t>
  </si>
  <si>
    <t>DA Arrear 1/24 to 2/24</t>
  </si>
  <si>
    <t>DA Arrear 7/24 to 10/24</t>
  </si>
  <si>
    <t>Surender
2024-25</t>
  </si>
  <si>
    <t>GPF/GPF2004 :-</t>
  </si>
  <si>
    <t>DDO CODE</t>
  </si>
  <si>
    <t>DDO CODE:-</t>
  </si>
  <si>
    <t>DA PAID JAN 24 से</t>
  </si>
  <si>
    <t>DA PAID JULY 24 से</t>
  </si>
  <si>
    <t>DA ARREAR JAN 24 TO FEB 24</t>
  </si>
  <si>
    <t>DA ARREAR JULY 24 TO OCT 24</t>
  </si>
  <si>
    <t>बोनस कितना मिला :-</t>
  </si>
  <si>
    <t>Bonus
2023-24</t>
  </si>
  <si>
    <t>Surender Arrear</t>
  </si>
  <si>
    <t>Salary Arrear 1</t>
  </si>
  <si>
    <t>Salary Arrear 2</t>
  </si>
  <si>
    <t>Fixation Arrear</t>
  </si>
  <si>
    <t>WASHING ALL  AMOUNT:-</t>
  </si>
  <si>
    <t>HANDICAPED ALLOW AMOUNT</t>
  </si>
  <si>
    <t>CCA AMOUNT</t>
  </si>
  <si>
    <r>
      <t xml:space="preserve">D;k vkidks osru </t>
    </r>
    <r>
      <rPr>
        <b/>
        <sz val="14"/>
        <color rgb="FFFFFFFF"/>
        <rFont val="Calibri"/>
      </rPr>
      <t>PD</t>
    </r>
    <r>
      <rPr>
        <b/>
        <sz val="14"/>
        <color rgb="FFFFFFFF"/>
        <rFont val="DevLys 010"/>
      </rPr>
      <t xml:space="preserve"> gsM ls feyrk gS </t>
    </r>
    <r>
      <rPr>
        <b/>
        <sz val="14"/>
        <color rgb="FFFFFFFF"/>
        <rFont val="Calibri"/>
      </rPr>
      <t>:-</t>
    </r>
  </si>
  <si>
    <r>
      <t xml:space="preserve">D;k vki </t>
    </r>
    <r>
      <rPr>
        <b/>
        <sz val="14"/>
        <color rgb="FFFFFFFF"/>
        <rFont val="Calibri"/>
      </rPr>
      <t>NPS</t>
    </r>
    <r>
      <rPr>
        <b/>
        <sz val="12"/>
        <color rgb="FFFFFFFF"/>
        <rFont val="Calibri"/>
      </rPr>
      <t xml:space="preserve"> </t>
    </r>
    <r>
      <rPr>
        <b/>
        <sz val="10"/>
        <color rgb="FFFFFFFF"/>
        <rFont val="Calibri"/>
      </rPr>
      <t>कार्मिक</t>
    </r>
    <r>
      <rPr>
        <b/>
        <sz val="14"/>
        <color rgb="FFFFFFFF"/>
        <rFont val="DevLys 010"/>
      </rPr>
      <t xml:space="preserve"> gS </t>
    </r>
    <r>
      <rPr>
        <b/>
        <sz val="14"/>
        <color rgb="FFFFFFFF"/>
        <rFont val="Calibri"/>
      </rPr>
      <t>:-</t>
    </r>
  </si>
  <si>
    <r>
      <t>2- euksjatu Hkrk /kkjk 16 ¼</t>
    </r>
    <r>
      <rPr>
        <sz val="14"/>
        <color rgb="FFFFFFFF"/>
        <rFont val="Times New Roman"/>
      </rPr>
      <t>ii</t>
    </r>
    <r>
      <rPr>
        <sz val="14"/>
        <color rgb="FFFFFFFF"/>
        <rFont val="DevLys 010"/>
      </rPr>
      <t xml:space="preserve">½ ds vUrxZr </t>
    </r>
  </si>
  <si>
    <r>
      <t>3- O;o;k; dj /kkjk 16 ¼</t>
    </r>
    <r>
      <rPr>
        <sz val="14"/>
        <color rgb="FFFFFFFF"/>
        <rFont val="Calibri"/>
      </rPr>
      <t>iii</t>
    </r>
    <r>
      <rPr>
        <sz val="14"/>
        <color rgb="FFFFFFFF"/>
        <rFont val="DevLys 010"/>
      </rPr>
      <t xml:space="preserve">½ ds vUrxrZ </t>
    </r>
  </si>
  <si>
    <r>
      <t xml:space="preserve">8- thou chek izhfe;e ¼tks osru ls ugh dkVk x;k½ </t>
    </r>
    <r>
      <rPr>
        <sz val="14"/>
        <color rgb="FFFFFFFF"/>
        <rFont val="Calibri"/>
      </rPr>
      <t>LIC</t>
    </r>
  </si>
  <si>
    <r>
      <t xml:space="preserve">9- ih-,y-vkbZ- </t>
    </r>
    <r>
      <rPr>
        <sz val="14"/>
        <color rgb="FFFFFFFF"/>
        <rFont val="Calibri"/>
      </rPr>
      <t>(PLI)</t>
    </r>
  </si>
  <si>
    <r>
      <t xml:space="preserve">10- V;w'ku Qhl </t>
    </r>
    <r>
      <rPr>
        <sz val="14"/>
        <color rgb="FFFFFFFF"/>
        <rFont val="Calibri"/>
      </rPr>
      <t>(Tution Fees)</t>
    </r>
  </si>
  <si>
    <r>
      <t xml:space="preserve">12- jk"Vªh; cpr i= </t>
    </r>
    <r>
      <rPr>
        <sz val="14"/>
        <color rgb="FFFFFFFF"/>
        <rFont val="Calibri"/>
      </rPr>
      <t>(NSC)</t>
    </r>
  </si>
  <si>
    <r>
      <t xml:space="preserve">14- yksd Hkfo"; fuf/k </t>
    </r>
    <r>
      <rPr>
        <sz val="14"/>
        <color rgb="FFFFFFFF"/>
        <rFont val="Calibri"/>
      </rPr>
      <t>(PPF)</t>
    </r>
  </si>
  <si>
    <r>
      <t xml:space="preserve">15- jk"Vªh; cpr Ldhe </t>
    </r>
    <r>
      <rPr>
        <sz val="14"/>
        <color rgb="FFFFFFFF"/>
        <rFont val="Times New Roman"/>
      </rPr>
      <t>(NSS)</t>
    </r>
  </si>
  <si>
    <r>
      <t xml:space="preserve">16- lqdU;k le`f) ;kstuk </t>
    </r>
    <r>
      <rPr>
        <sz val="14"/>
        <color rgb="FFFFFFFF"/>
        <rFont val="Calibri"/>
      </rPr>
      <t>(SSY)</t>
    </r>
  </si>
  <si>
    <r>
      <t xml:space="preserve">18- LFkfxr okf"kZdh </t>
    </r>
    <r>
      <rPr>
        <sz val="14"/>
        <color rgb="FFFFFFFF"/>
        <rFont val="Calibri"/>
      </rPr>
      <t>(Defferred Annuty)</t>
    </r>
  </si>
  <si>
    <r>
      <t xml:space="preserve">26- /kkjk </t>
    </r>
    <r>
      <rPr>
        <sz val="11"/>
        <color rgb="FFFFFFFF"/>
        <rFont val="Times New Roman"/>
      </rPr>
      <t>80CCD(1B)</t>
    </r>
    <r>
      <rPr>
        <sz val="13"/>
        <color rgb="FFFFFFFF"/>
        <rFont val="DevLys 010"/>
      </rPr>
      <t xml:space="preserve"> uohu isa'ku ;kstuk esa vfrfjDr va'knku ¼vf/kdre :- 50]000½</t>
    </r>
  </si>
  <si>
    <r>
      <t xml:space="preserve">27- /kkjk </t>
    </r>
    <r>
      <rPr>
        <sz val="11"/>
        <color rgb="FFFFFFFF"/>
        <rFont val="Times New Roman"/>
      </rPr>
      <t>80D -</t>
    </r>
    <r>
      <rPr>
        <sz val="13"/>
        <color rgb="FFFFFFFF"/>
        <rFont val="DevLys 010"/>
      </rPr>
      <t xml:space="preserve"> fpfdRlk chek izhfe;e ¼lkekU; 25000] ofj"B ukxfjd 50000½</t>
    </r>
  </si>
  <si>
    <r>
      <t xml:space="preserve">28- /kkjk </t>
    </r>
    <r>
      <rPr>
        <sz val="11"/>
        <color rgb="FFFFFFFF"/>
        <rFont val="Times New Roman"/>
      </rPr>
      <t xml:space="preserve">80DD- </t>
    </r>
    <r>
      <rPr>
        <sz val="13"/>
        <color rgb="FFFFFFFF"/>
        <rFont val="DevLys 010"/>
      </rPr>
      <t>fodykax vkfJrksa ds fpfdRlk mipkj</t>
    </r>
    <r>
      <rPr>
        <sz val="10"/>
        <color rgb="FFFFFFFF"/>
        <rFont val="DevLys 010"/>
      </rPr>
      <t xml:space="preserve">¼vf/kdre 75000] </t>
    </r>
    <r>
      <rPr>
        <sz val="10"/>
        <color rgb="FFFFFFFF"/>
        <rFont val="Times New Roman"/>
      </rPr>
      <t>80%</t>
    </r>
    <r>
      <rPr>
        <sz val="10"/>
        <color rgb="FFFFFFFF"/>
        <rFont val="DevLys 010"/>
      </rPr>
      <t xml:space="preserve"> fodykaxrk 125000½</t>
    </r>
  </si>
  <si>
    <r>
      <t xml:space="preserve">29- /kkjk </t>
    </r>
    <r>
      <rPr>
        <sz val="11"/>
        <color rgb="FFFFFFFF"/>
        <rFont val="Times New Roman"/>
      </rPr>
      <t xml:space="preserve">80DDB- </t>
    </r>
    <r>
      <rPr>
        <sz val="13"/>
        <color rgb="FFFFFFFF"/>
        <rFont val="DevLys 010"/>
      </rPr>
      <t>fof'k"V jksxksa ds mipkj gsrq dVkSrh</t>
    </r>
    <r>
      <rPr>
        <sz val="10"/>
        <color rgb="FFFFFFFF"/>
        <rFont val="DevLys 010"/>
      </rPr>
      <t xml:space="preserve"> ¼lkekU; 40000] ofj"B ukxfjd 1 yk[k½</t>
    </r>
  </si>
  <si>
    <r>
      <t xml:space="preserve">30- /kkjk </t>
    </r>
    <r>
      <rPr>
        <sz val="11"/>
        <color rgb="FFFFFFFF"/>
        <rFont val="Times New Roman"/>
      </rPr>
      <t>80E -</t>
    </r>
    <r>
      <rPr>
        <sz val="13"/>
        <color rgb="FFFFFFFF"/>
        <rFont val="DevLys 010"/>
      </rPr>
      <t xml:space="preserve"> mPp f'k{kk gsrq fy, _.k dk C;kt</t>
    </r>
  </si>
  <si>
    <r>
      <t xml:space="preserve">31- /kkjk </t>
    </r>
    <r>
      <rPr>
        <sz val="11"/>
        <color rgb="FFFFFFFF"/>
        <rFont val="Times New Roman"/>
      </rPr>
      <t>80G -</t>
    </r>
    <r>
      <rPr>
        <sz val="13"/>
        <color rgb="FFFFFFFF"/>
        <rFont val="DevLys 010"/>
      </rPr>
      <t xml:space="preserve"> /kekZFkZ laLFkkvksa vkfn dks fn;s nku ¼d Js.kh </t>
    </r>
    <r>
      <rPr>
        <sz val="11"/>
        <color rgb="FFFFFFFF"/>
        <rFont val="Times New Roman"/>
      </rPr>
      <t>100%</t>
    </r>
    <r>
      <rPr>
        <sz val="13"/>
        <color rgb="FFFFFFFF"/>
        <rFont val="DevLys 010"/>
      </rPr>
      <t xml:space="preserve"> ,oa [k Js.kh </t>
    </r>
    <r>
      <rPr>
        <sz val="11"/>
        <color rgb="FFFFFFFF"/>
        <rFont val="Times New Roman"/>
      </rPr>
      <t>50%</t>
    </r>
    <r>
      <rPr>
        <sz val="13"/>
        <color rgb="FFFFFFFF"/>
        <rFont val="DevLys 010"/>
      </rPr>
      <t>½</t>
    </r>
  </si>
  <si>
    <r>
      <t xml:space="preserve">32- /kkjk </t>
    </r>
    <r>
      <rPr>
        <sz val="11"/>
        <color rgb="FFFFFFFF"/>
        <rFont val="Times New Roman"/>
      </rPr>
      <t>80U -</t>
    </r>
    <r>
      <rPr>
        <sz val="13"/>
        <color rgb="FFFFFFFF"/>
        <rFont val="DevLys 010"/>
      </rPr>
      <t xml:space="preserve"> LFkkbZ 'kkjhfjd fodykaxrk ¼vf/kdre</t>
    </r>
    <r>
      <rPr>
        <sz val="11"/>
        <color rgb="FFFFFFFF"/>
        <rFont val="Times New Roman"/>
      </rPr>
      <t xml:space="preserve"> 75000, 80%</t>
    </r>
    <r>
      <rPr>
        <sz val="13"/>
        <color rgb="FFFFFFFF"/>
        <rFont val="DevLys 010"/>
      </rPr>
      <t xml:space="preserve"> fodykaxrk </t>
    </r>
    <r>
      <rPr>
        <sz val="11"/>
        <color rgb="FFFFFFFF"/>
        <rFont val="Times New Roman"/>
      </rPr>
      <t>125000</t>
    </r>
    <r>
      <rPr>
        <sz val="13"/>
        <color rgb="FFFFFFFF"/>
        <rFont val="DevLys 010"/>
      </rPr>
      <t>½</t>
    </r>
  </si>
  <si>
    <r>
      <t xml:space="preserve"> ¼</t>
    </r>
    <r>
      <rPr>
        <sz val="12"/>
        <color rgb="FF002060"/>
        <rFont val="Calibri"/>
      </rPr>
      <t>i</t>
    </r>
    <r>
      <rPr>
        <sz val="12"/>
        <color rgb="FF002060"/>
        <rFont val="DevLys 010"/>
      </rPr>
      <t xml:space="preserve">½ LVs.MMZ fMMsD'ku </t>
    </r>
    <r>
      <rPr>
        <sz val="10"/>
        <color rgb="FF002060"/>
        <rFont val="Times New Roman"/>
      </rPr>
      <t xml:space="preserve">(Standard Deduction)  </t>
    </r>
    <r>
      <rPr>
        <sz val="10"/>
        <color rgb="FF002060"/>
        <rFont val="Calibri"/>
      </rPr>
      <t>75,000</t>
    </r>
    <r>
      <rPr>
        <sz val="12"/>
        <color rgb="FF002060"/>
        <rFont val="DevLys 010"/>
      </rPr>
      <t xml:space="preserve"> ¼vf/kdre½ /kkjk </t>
    </r>
    <r>
      <rPr>
        <sz val="10"/>
        <color rgb="FF002060"/>
        <rFont val="Calibri"/>
      </rPr>
      <t>16 (ia)</t>
    </r>
  </si>
  <si>
    <r>
      <t>vk; %  o"kZ&amp;</t>
    </r>
    <r>
      <rPr>
        <sz val="10"/>
        <color rgb="FF002060"/>
        <rFont val="Calibri"/>
      </rPr>
      <t xml:space="preserve"> 2024-25</t>
    </r>
    <r>
      <rPr>
        <sz val="12"/>
        <color rgb="FF002060"/>
        <rFont val="DevLys 010"/>
      </rPr>
      <t xml:space="preserve"> esa izkIr dqy osru ¼dj ;ksX; lqfo/kkvksa ds eqY; lfgr ½</t>
    </r>
  </si>
  <si>
    <t>3,00,001-7,00,000</t>
  </si>
  <si>
    <r>
      <t>vk; %  o"kZ&amp;</t>
    </r>
    <r>
      <rPr>
        <sz val="10"/>
        <color rgb="FF002060"/>
        <rFont val="Calibri"/>
      </rPr>
      <t>2024-25</t>
    </r>
    <r>
      <rPr>
        <sz val="12"/>
        <color rgb="FF002060"/>
        <rFont val="DevLys 010"/>
      </rPr>
      <t xml:space="preserve"> esa izkIr dqy osru ¼ dj ;ksX; lqfo/kkvksa ds eqY; lfgr ½</t>
    </r>
  </si>
  <si>
    <t>TEACHER L-1</t>
  </si>
  <si>
    <r>
      <t xml:space="preserve">4- /kkjk </t>
    </r>
    <r>
      <rPr>
        <sz val="12"/>
        <color rgb="FF002060"/>
        <rFont val="Calibri"/>
      </rPr>
      <t>80E</t>
    </r>
    <r>
      <rPr>
        <sz val="12"/>
        <color rgb="FF002060"/>
        <rFont val="Arial"/>
      </rPr>
      <t xml:space="preserve"> </t>
    </r>
    <r>
      <rPr>
        <sz val="12"/>
        <color rgb="FF002060"/>
        <rFont val="DevLys 010"/>
      </rPr>
      <t>mPp f'k{kk gsrq fy, _.k dk C;kt</t>
    </r>
  </si>
  <si>
    <r>
      <t xml:space="preserve">3- /kkjk </t>
    </r>
    <r>
      <rPr>
        <sz val="12"/>
        <color rgb="FF002060"/>
        <rFont val="Calibri"/>
      </rPr>
      <t>80DDB</t>
    </r>
    <r>
      <rPr>
        <sz val="12"/>
        <color rgb="FF002060"/>
        <rFont val="Arial"/>
      </rPr>
      <t xml:space="preserve"> </t>
    </r>
    <r>
      <rPr>
        <sz val="12"/>
        <color rgb="FF002060"/>
        <rFont val="DevLys 010"/>
      </rPr>
      <t xml:space="preserve">fof'k"V jksaxksa ds mipkj gsrq dVkSrh </t>
    </r>
    <r>
      <rPr>
        <sz val="12"/>
        <color rgb="FF002060"/>
        <rFont val="DevLys 010 "/>
      </rPr>
      <t xml:space="preserve">¼vf/kdre : </t>
    </r>
    <r>
      <rPr>
        <sz val="10"/>
        <color rgb="FF002060"/>
        <rFont val="Calibri"/>
      </rPr>
      <t>40,000</t>
    </r>
    <r>
      <rPr>
        <sz val="12"/>
        <color rgb="FF002060"/>
        <rFont val="DevLys 010 "/>
      </rPr>
      <t xml:space="preserve">] lhfu;j flVhtu gsrq : </t>
    </r>
    <r>
      <rPr>
        <sz val="10"/>
        <color rgb="FF002060"/>
        <rFont val="Calibri"/>
      </rPr>
      <t>100,000</t>
    </r>
    <r>
      <rPr>
        <sz val="12"/>
        <color rgb="FF002060"/>
        <rFont val="Calibri"/>
      </rPr>
      <t>)</t>
    </r>
  </si>
  <si>
    <t>7,00,001-10,00,000</t>
  </si>
  <si>
    <t>10,00,001-12,00,000</t>
  </si>
  <si>
    <t>छूट घारा 87(A) (3 लाख से 7 लाख तक की कर योग्य आय पर आयकर की छूट अधिकतम रू. 25000 तक)</t>
  </si>
  <si>
    <t>¼2½</t>
  </si>
  <si>
    <r>
      <t xml:space="preserve">1- /kkjk </t>
    </r>
    <r>
      <rPr>
        <sz val="12"/>
        <color rgb="FF002060"/>
        <rFont val="Calibri"/>
      </rPr>
      <t>80 D</t>
    </r>
    <r>
      <rPr>
        <sz val="12"/>
        <color rgb="FF002060"/>
        <rFont val="Arial"/>
      </rPr>
      <t>,</t>
    </r>
    <r>
      <rPr>
        <sz val="12"/>
        <color rgb="FF002060"/>
        <rFont val="DevLys 010"/>
      </rPr>
      <t xml:space="preserve">fpfdRlk chek izhfe;e ¼Lo;a]ifr@iRuh o cPpksa ds fy, : </t>
    </r>
    <r>
      <rPr>
        <sz val="10"/>
        <color rgb="FF002060"/>
        <rFont val="Calibri"/>
      </rPr>
      <t>25000</t>
    </r>
    <r>
      <rPr>
        <sz val="12"/>
        <color rgb="FF002060"/>
        <rFont val="DevLys 010"/>
      </rPr>
      <t xml:space="preserve">] ekrk&amp;firk ds fy, : </t>
    </r>
    <r>
      <rPr>
        <sz val="10"/>
        <color rgb="FF002060"/>
        <rFont val="Calibri"/>
      </rPr>
      <t>25000</t>
    </r>
    <r>
      <rPr>
        <sz val="12"/>
        <color rgb="FF002060"/>
        <rFont val="DevLys 010"/>
      </rPr>
      <t>]lhfu;j flVhtu :</t>
    </r>
    <r>
      <rPr>
        <sz val="10"/>
        <color rgb="FF002060"/>
        <rFont val="DevLys 010"/>
      </rPr>
      <t xml:space="preserve"> </t>
    </r>
    <r>
      <rPr>
        <sz val="10"/>
        <color rgb="FF002060"/>
        <rFont val="Calibri"/>
      </rPr>
      <t>50000</t>
    </r>
    <r>
      <rPr>
        <sz val="12"/>
        <color rgb="FF002060"/>
        <rFont val="DevLys 010"/>
      </rPr>
      <t>½</t>
    </r>
  </si>
  <si>
    <t>Marginal relief benefit under section 115BAC(1)</t>
  </si>
  <si>
    <t>net taxable income</t>
  </si>
  <si>
    <t>normal tax</t>
  </si>
  <si>
    <t>cess</t>
  </si>
  <si>
    <t>surcharge</t>
  </si>
  <si>
    <t>toatal tax</t>
  </si>
  <si>
    <t>Marginal Relief</t>
  </si>
  <si>
    <t>Net tax</t>
  </si>
  <si>
    <t>Difference</t>
  </si>
  <si>
    <t>पद/ पे.लेवल</t>
  </si>
  <si>
    <r>
      <t xml:space="preserve">¼2½ NwV ?kkjk </t>
    </r>
    <r>
      <rPr>
        <b/>
        <sz val="11"/>
        <color rgb="FF002060"/>
        <rFont val="Calibri"/>
      </rPr>
      <t>87 A</t>
    </r>
    <r>
      <rPr>
        <b/>
        <sz val="11"/>
        <color rgb="FF002060"/>
        <rFont val="DevLys 010"/>
      </rPr>
      <t xml:space="preserve"> ¼</t>
    </r>
    <r>
      <rPr>
        <b/>
        <sz val="11"/>
        <color rgb="FF002060"/>
        <rFont val="Calibri"/>
      </rPr>
      <t>2.50</t>
    </r>
    <r>
      <rPr>
        <b/>
        <sz val="11"/>
        <color rgb="FF002060"/>
        <rFont val="DevLys 010"/>
      </rPr>
      <t xml:space="preserve"> yk[k ls </t>
    </r>
    <r>
      <rPr>
        <b/>
        <sz val="11"/>
        <color rgb="FF002060"/>
        <rFont val="Calibri"/>
      </rPr>
      <t>5</t>
    </r>
    <r>
      <rPr>
        <b/>
        <sz val="11"/>
        <color rgb="FF002060"/>
        <rFont val="DevLys 010"/>
      </rPr>
      <t xml:space="preserve"> yk[k rd dh dj ;ksX; vk; ij vk;dj dh NwV vf/kdre :- </t>
    </r>
    <r>
      <rPr>
        <b/>
        <sz val="11"/>
        <color rgb="FF002060"/>
        <rFont val="Calibri"/>
      </rPr>
      <t>12,500</t>
    </r>
    <r>
      <rPr>
        <b/>
        <sz val="11"/>
        <color rgb="FF002060"/>
        <rFont val="DevLys 010"/>
      </rPr>
      <t xml:space="preserve"> rd½</t>
    </r>
  </si>
  <si>
    <r>
      <t xml:space="preserve">;ksx </t>
    </r>
    <r>
      <rPr>
        <b/>
        <sz val="10"/>
        <color rgb="FFFF0000"/>
        <rFont val="Calibri"/>
      </rPr>
      <t>11(A+B+C)</t>
    </r>
    <r>
      <rPr>
        <b/>
        <sz val="12"/>
        <color rgb="FFFF0000"/>
        <rFont val="Arial"/>
      </rPr>
      <t xml:space="preserve">      </t>
    </r>
  </si>
  <si>
    <r>
      <t xml:space="preserve">                        vf/kdre dVkSrh dh jkf'k </t>
    </r>
    <r>
      <rPr>
        <b/>
        <sz val="10"/>
        <color rgb="FFFF0000"/>
        <rFont val="Calibri"/>
      </rPr>
      <t>1.50</t>
    </r>
    <r>
      <rPr>
        <b/>
        <sz val="12"/>
        <color rgb="FFFF0000"/>
        <rFont val="DevLys 010"/>
      </rPr>
      <t xml:space="preserve"> yk[k #i, rd</t>
    </r>
  </si>
  <si>
    <r>
      <t xml:space="preserve">ldy vk;                                                                                ;ksx </t>
    </r>
    <r>
      <rPr>
        <b/>
        <sz val="11"/>
        <color rgb="FFFF0000"/>
        <rFont val="Calibri"/>
      </rPr>
      <t xml:space="preserve">(8+9) </t>
    </r>
  </si>
  <si>
    <r>
      <t xml:space="preserve">                                                          'ks"k &amp;@$¼ </t>
    </r>
    <r>
      <rPr>
        <b/>
        <sz val="11"/>
        <color rgb="FFFF0000"/>
        <rFont val="Calibri"/>
      </rPr>
      <t>7</t>
    </r>
    <r>
      <rPr>
        <b/>
        <sz val="12"/>
        <color rgb="FFFF0000"/>
        <rFont val="DevLys 010"/>
      </rPr>
      <t xml:space="preserve">¼v½ ,oa ;ksx </t>
    </r>
    <r>
      <rPr>
        <b/>
        <sz val="11"/>
        <color rgb="FFFF0000"/>
        <rFont val="Calibri"/>
      </rPr>
      <t>7</t>
    </r>
    <r>
      <rPr>
        <b/>
        <sz val="12"/>
        <color rgb="FFFF0000"/>
        <rFont val="DevLys 010"/>
      </rPr>
      <t xml:space="preserve">¼c½ dk½   </t>
    </r>
  </si>
  <si>
    <r>
      <t xml:space="preserve">                                                             dqy 'ks"k &amp;@$ ¼</t>
    </r>
    <r>
      <rPr>
        <b/>
        <sz val="11"/>
        <color rgb="FFFF0000"/>
        <rFont val="Calibri"/>
      </rPr>
      <t>6</t>
    </r>
    <r>
      <rPr>
        <b/>
        <sz val="12"/>
        <color rgb="FFFF0000"/>
        <rFont val="DevLys 010"/>
      </rPr>
      <t xml:space="preserve"> ,oa </t>
    </r>
    <r>
      <rPr>
        <b/>
        <sz val="11"/>
        <color rgb="FFFF0000"/>
        <rFont val="Calibri"/>
      </rPr>
      <t>7</t>
    </r>
    <r>
      <rPr>
        <b/>
        <sz val="12"/>
        <color rgb="FFFF0000"/>
        <rFont val="DevLys 010"/>
      </rPr>
      <t>½</t>
    </r>
  </si>
  <si>
    <r>
      <t xml:space="preserve">                                                           ;ksx </t>
    </r>
    <r>
      <rPr>
        <b/>
        <sz val="10"/>
        <color rgb="FFFF0000"/>
        <rFont val="Calibri"/>
      </rPr>
      <t>(5)</t>
    </r>
  </si>
  <si>
    <r>
      <t xml:space="preserve">                                                           'ks"k </t>
    </r>
    <r>
      <rPr>
        <b/>
        <sz val="10"/>
        <color rgb="FFFF0000"/>
        <rFont val="Calibri"/>
      </rPr>
      <t>(4-5)</t>
    </r>
  </si>
  <si>
    <r>
      <t xml:space="preserve">                                                              'ks"k </t>
    </r>
    <r>
      <rPr>
        <b/>
        <sz val="11"/>
        <color rgb="FFFF0000"/>
        <rFont val="Calibri"/>
      </rPr>
      <t>(2-3)</t>
    </r>
  </si>
  <si>
    <r>
      <t xml:space="preserve">dqy ;ksx </t>
    </r>
    <r>
      <rPr>
        <b/>
        <sz val="10"/>
        <color rgb="FFFF0000"/>
        <rFont val="Calibri"/>
      </rPr>
      <t>12</t>
    </r>
    <r>
      <rPr>
        <b/>
        <sz val="12"/>
        <color rgb="FFFF0000"/>
        <rFont val="DevLys 010"/>
      </rPr>
      <t xml:space="preserve"> ¼ </t>
    </r>
    <r>
      <rPr>
        <b/>
        <sz val="10"/>
        <color rgb="FFFF0000"/>
        <rFont val="Calibri"/>
      </rPr>
      <t>1</t>
    </r>
    <r>
      <rPr>
        <b/>
        <sz val="12"/>
        <color rgb="FFFF0000"/>
        <rFont val="DevLys 010"/>
      </rPr>
      <t xml:space="preserve"> ls </t>
    </r>
    <r>
      <rPr>
        <b/>
        <sz val="10"/>
        <color rgb="FFFF0000"/>
        <rFont val="Calibri"/>
      </rPr>
      <t>9</t>
    </r>
    <r>
      <rPr>
        <b/>
        <sz val="12"/>
        <color rgb="FFFF0000"/>
        <rFont val="DevLys 010"/>
      </rPr>
      <t xml:space="preserve"> rd ½</t>
    </r>
  </si>
  <si>
    <r>
      <t xml:space="preserve">dqy vk; dh jkf'k dks lEiw.kZ djuk ¼ nl ds xq.kd esa ½ /kkjk </t>
    </r>
    <r>
      <rPr>
        <b/>
        <sz val="11"/>
        <rFont val="Calibri"/>
      </rPr>
      <t>288 A</t>
    </r>
  </si>
  <si>
    <r>
      <t xml:space="preserve">                                                                        dqy vk;dj </t>
    </r>
    <r>
      <rPr>
        <b/>
        <sz val="11"/>
        <color rgb="FFFF0000"/>
        <rFont val="Calibri"/>
      </rPr>
      <t>(3+4)</t>
    </r>
  </si>
  <si>
    <r>
      <rPr>
        <b/>
        <sz val="10"/>
        <color rgb="FFFF0000"/>
        <rFont val="Arial"/>
      </rPr>
      <t>(B)</t>
    </r>
    <r>
      <rPr>
        <b/>
        <sz val="12"/>
        <color rgb="FFFF0000"/>
        <rFont val="Arial"/>
      </rPr>
      <t xml:space="preserve"> </t>
    </r>
    <r>
      <rPr>
        <b/>
        <sz val="12"/>
        <color rgb="FFFF0000"/>
        <rFont val="DevLys 010"/>
      </rPr>
      <t xml:space="preserve">?kVkb;s&amp; /kkjk </t>
    </r>
    <r>
      <rPr>
        <b/>
        <sz val="10"/>
        <color rgb="FFFF0000"/>
        <rFont val="Calibri"/>
      </rPr>
      <t>80CCD(2)</t>
    </r>
    <r>
      <rPr>
        <b/>
        <sz val="12"/>
        <color rgb="FFFF0000"/>
        <rFont val="DevLys 010"/>
      </rPr>
      <t xml:space="preserve"> fu;ksDrk }kjk isa'ku va'knku dh jkf'k ¼vf/kdre osru dk 1</t>
    </r>
    <r>
      <rPr>
        <b/>
        <sz val="10"/>
        <color rgb="FFFF0000"/>
        <rFont val="Calibri"/>
      </rPr>
      <t>0</t>
    </r>
    <r>
      <rPr>
        <b/>
        <sz val="9"/>
        <color rgb="FFFF0000"/>
        <rFont val="Arial"/>
      </rPr>
      <t>%</t>
    </r>
    <r>
      <rPr>
        <b/>
        <sz val="12"/>
        <color rgb="FFFF0000"/>
        <rFont val="Arial"/>
      </rPr>
      <t xml:space="preserve">) </t>
    </r>
    <r>
      <rPr>
        <b/>
        <sz val="12"/>
        <color rgb="FFFF0000"/>
        <rFont val="DevLys 010"/>
      </rPr>
      <t>i`Fkd ls NwV</t>
    </r>
  </si>
  <si>
    <r>
      <t>?kVkb;s dVkSSfr;k¡ %&amp; /kkjk</t>
    </r>
    <r>
      <rPr>
        <b/>
        <sz val="12"/>
        <color rgb="FFFF0000"/>
        <rFont val="Arial"/>
      </rPr>
      <t xml:space="preserve"> </t>
    </r>
    <r>
      <rPr>
        <b/>
        <sz val="12"/>
        <color rgb="FFFF0000"/>
        <rFont val="Calibri"/>
      </rPr>
      <t>US 80C, 80CCC,80CCD (1)</t>
    </r>
  </si>
  <si>
    <r>
      <t xml:space="preserve">;ksx </t>
    </r>
    <r>
      <rPr>
        <b/>
        <sz val="12"/>
        <color rgb="FFFF0000"/>
        <rFont val="Times New Roman"/>
      </rPr>
      <t xml:space="preserve">( i </t>
    </r>
    <r>
      <rPr>
        <b/>
        <sz val="12"/>
        <color rgb="FFFF0000"/>
        <rFont val="DevLys 010"/>
      </rPr>
      <t>ls</t>
    </r>
    <r>
      <rPr>
        <b/>
        <sz val="12"/>
        <color rgb="FFFF0000"/>
        <rFont val="Times New Roman"/>
      </rPr>
      <t xml:space="preserve"> xviii )</t>
    </r>
  </si>
  <si>
    <r>
      <t xml:space="preserve">                                                                             dqy vk;dj </t>
    </r>
    <r>
      <rPr>
        <b/>
        <sz val="11"/>
        <color rgb="FFFF0000"/>
        <rFont val="Calibri"/>
      </rPr>
      <t>(3 + 4)</t>
    </r>
  </si>
  <si>
    <r>
      <t xml:space="preserve">dqy vk; dh jkf'k dks lEiw.kZ djuk ¼ nl ds xq.kd esa ½ /kkjk </t>
    </r>
    <r>
      <rPr>
        <b/>
        <sz val="11"/>
        <color rgb="FFFF0000"/>
        <rFont val="Calibri"/>
      </rPr>
      <t>288A</t>
    </r>
  </si>
  <si>
    <r>
      <t xml:space="preserve">dqy dVkSrh </t>
    </r>
    <r>
      <rPr>
        <b/>
        <sz val="10"/>
        <color rgb="FFFF0000"/>
        <rFont val="Arial"/>
      </rPr>
      <t>( 11 + 12)</t>
    </r>
  </si>
  <si>
    <r>
      <t xml:space="preserve">dj ;ksX; vk; </t>
    </r>
    <r>
      <rPr>
        <b/>
        <sz val="10"/>
        <color rgb="FFFF0000"/>
        <rFont val="Arial"/>
      </rPr>
      <t xml:space="preserve">( </t>
    </r>
    <r>
      <rPr>
        <b/>
        <sz val="10"/>
        <color rgb="FFFF0000"/>
        <rFont val="Calibri"/>
      </rPr>
      <t>10 - 13</t>
    </r>
    <r>
      <rPr>
        <b/>
        <sz val="10"/>
        <color rgb="FFFF0000"/>
        <rFont val="Arial"/>
      </rPr>
      <t xml:space="preserve"> )</t>
    </r>
  </si>
  <si>
    <r>
      <t xml:space="preserve">ldy vk;                                                                             ;ksx </t>
    </r>
    <r>
      <rPr>
        <b/>
        <sz val="10"/>
        <color rgb="FFFF0000"/>
        <rFont val="Calibri"/>
      </rPr>
      <t>(8 + 9)</t>
    </r>
  </si>
  <si>
    <r>
      <t xml:space="preserve">                                                             dqy 'ks"k &amp;@$ ¼</t>
    </r>
    <r>
      <rPr>
        <b/>
        <sz val="10"/>
        <color rgb="FFFF0000"/>
        <rFont val="Calibri"/>
      </rPr>
      <t xml:space="preserve">6 </t>
    </r>
    <r>
      <rPr>
        <b/>
        <sz val="12"/>
        <color rgb="FFFF0000"/>
        <rFont val="DevLys 010"/>
      </rPr>
      <t xml:space="preserve">,oa </t>
    </r>
    <r>
      <rPr>
        <b/>
        <sz val="10"/>
        <color rgb="FFFF0000"/>
        <rFont val="Calibri"/>
      </rPr>
      <t>7</t>
    </r>
    <r>
      <rPr>
        <b/>
        <sz val="12"/>
        <color rgb="FFFF0000"/>
        <rFont val="DevLys 010"/>
      </rPr>
      <t>½</t>
    </r>
  </si>
  <si>
    <r>
      <t xml:space="preserve">                                                          'ks"k &amp;@$¼</t>
    </r>
    <r>
      <rPr>
        <b/>
        <sz val="10"/>
        <color rgb="FFFF0000"/>
        <rFont val="Calibri"/>
      </rPr>
      <t>7</t>
    </r>
    <r>
      <rPr>
        <b/>
        <sz val="12"/>
        <color rgb="FFFF0000"/>
        <rFont val="DevLys 010"/>
      </rPr>
      <t xml:space="preserve">¼v½ ,oa ;ksx </t>
    </r>
    <r>
      <rPr>
        <b/>
        <sz val="10"/>
        <color rgb="FFFF0000"/>
        <rFont val="Calibri"/>
      </rPr>
      <t>7</t>
    </r>
    <r>
      <rPr>
        <b/>
        <sz val="12"/>
        <color rgb="FFFF0000"/>
        <rFont val="DevLys 010"/>
      </rPr>
      <t xml:space="preserve">¼c½ dk½  </t>
    </r>
  </si>
  <si>
    <t xml:space="preserve"> से </t>
  </si>
  <si>
    <r>
      <t xml:space="preserve">vk;dj x.kuk izi= o"kZ </t>
    </r>
    <r>
      <rPr>
        <b/>
        <sz val="14"/>
        <color rgb="FFC00000"/>
        <rFont val="Calibri"/>
      </rPr>
      <t>2024-25</t>
    </r>
    <r>
      <rPr>
        <b/>
        <sz val="18"/>
        <color rgb="FFC00000"/>
        <rFont val="DevLys 010"/>
      </rPr>
      <t xml:space="preserve"> ¼dj fu/kkZj.k o"kZ </t>
    </r>
    <r>
      <rPr>
        <b/>
        <sz val="18"/>
        <color rgb="FFC00000"/>
        <rFont val="DevLys 010"/>
      </rPr>
      <t>½</t>
    </r>
  </si>
  <si>
    <t>2025-26</t>
  </si>
  <si>
    <r>
      <t xml:space="preserve">vk;dj x.kuk izi= o"kZ </t>
    </r>
    <r>
      <rPr>
        <b/>
        <sz val="15"/>
        <color rgb="FFC00000"/>
        <rFont val="Calibri"/>
      </rPr>
      <t>2024-25</t>
    </r>
    <r>
      <rPr>
        <b/>
        <sz val="18"/>
        <color rgb="FFC00000"/>
        <rFont val="DevLys 010"/>
      </rPr>
      <t xml:space="preserve"> ¼dj fu/kkZj.k o"kZ </t>
    </r>
    <r>
      <rPr>
        <b/>
        <sz val="18"/>
        <color rgb="FFC00000"/>
        <rFont val="DevLys 010"/>
      </rPr>
      <t>½</t>
    </r>
  </si>
  <si>
    <t>FORM NO.16</t>
  </si>
  <si>
    <t>(As New Tax Regime)</t>
  </si>
  <si>
    <t>[See rule 31 (1) (a)]</t>
  </si>
  <si>
    <t>Part A</t>
  </si>
  <si>
    <t>Certificate under section 203 of the Income Tax Act, 1961 for tax deducted</t>
  </si>
  <si>
    <t>at source from income chargeable under the head  “ Salaries “</t>
  </si>
  <si>
    <t>Tax Payer Age Group:-</t>
  </si>
  <si>
    <t>Name and address of the employer</t>
  </si>
  <si>
    <t>Name and Designation of the employee</t>
  </si>
  <si>
    <t>PAN of the Deducter</t>
  </si>
  <si>
    <t>TAN of the Deducter</t>
  </si>
  <si>
    <t>PAN of the Employee</t>
  </si>
  <si>
    <t>TDS Circle where annual</t>
  </si>
  <si>
    <t>PERIOD</t>
  </si>
  <si>
    <t>Assessment Year</t>
  </si>
  <si>
    <t>return / statement under</t>
  </si>
  <si>
    <t>FROM</t>
  </si>
  <si>
    <t>TO</t>
  </si>
  <si>
    <t>section 206 is to be filed</t>
  </si>
  <si>
    <t>Smmary of amount Paid/credited and tax Deducted at source thereon in respect of the Employee</t>
  </si>
  <si>
    <t>Quarter(s)</t>
  </si>
  <si>
    <t>Receipt Numbersof Original Quaterly Statements of TDS Under Sub-Section (3) of Section 200</t>
  </si>
  <si>
    <t>Amount Paid cridited</t>
  </si>
  <si>
    <t xml:space="preserve">      Amount of Tax Deducted     (Rs)</t>
  </si>
  <si>
    <t>Amount of Tax Deposited / Remitted                               (Rs)</t>
  </si>
  <si>
    <t>Quarter 1</t>
  </si>
  <si>
    <t>Quarter 2</t>
  </si>
  <si>
    <t>Quarter 3</t>
  </si>
  <si>
    <t>Quarter 4</t>
  </si>
  <si>
    <t>Total</t>
  </si>
  <si>
    <t>I.DETAILS TAX DEDUCTED AND DEPOSITED INTO CENTRAL GOVERNMENT ACCOUNT THROUGH BOOK ADJUSTMENT</t>
  </si>
  <si>
    <t>S.No</t>
  </si>
  <si>
    <t>Tax Deposited In Respect</t>
  </si>
  <si>
    <t>Book Identification Number (BIN)</t>
  </si>
  <si>
    <t>of the deducter</t>
  </si>
  <si>
    <t>Receipt Numbers of</t>
  </si>
  <si>
    <t>DDO Serial No in</t>
  </si>
  <si>
    <t>Date Of Transfer</t>
  </si>
  <si>
    <t>Status of Maching</t>
  </si>
  <si>
    <t>(Rs)</t>
  </si>
  <si>
    <t>Form No.24G</t>
  </si>
  <si>
    <t>with Form.No 24G</t>
  </si>
  <si>
    <t>(dd/mm/yyyy)</t>
  </si>
  <si>
    <t>Total (Rs)</t>
  </si>
  <si>
    <t>II.DETAILS TAX DEDUCTED AND DEPOSITED INTO CENTRAL GOVERNMENT ACCOUNT THROUGH BOOK CHALLAN</t>
  </si>
  <si>
    <t>Book Identification Number (CIN)</t>
  </si>
  <si>
    <t xml:space="preserve">BRS Code of  the </t>
  </si>
  <si>
    <t>Date on Which</t>
  </si>
  <si>
    <t>Challana Serial</t>
  </si>
  <si>
    <t>Bank Branch</t>
  </si>
  <si>
    <t>Number</t>
  </si>
  <si>
    <t>Verification</t>
  </si>
  <si>
    <t>I,</t>
  </si>
  <si>
    <t xml:space="preserve">Son/Doughter of </t>
  </si>
  <si>
    <t xml:space="preserve">  Working In the Capacity Of</t>
  </si>
  <si>
    <t>(Designation) do hereby certify that a sum  of Rs.</t>
  </si>
  <si>
    <t>(in words)</t>
  </si>
  <si>
    <t>has beeen deducted at source and paid to the credit of the Central Government.</t>
  </si>
  <si>
    <t xml:space="preserve"> I further certify that the information given  above is true and correct based on the book of accounts, documents and TDS Statements, TDS Deposited and other available records.</t>
  </si>
  <si>
    <t>Notes :</t>
  </si>
  <si>
    <t>1.  Government deductors to fill information in item I if tax is paid without production of an income-tax challan and in item II if tax .</t>
  </si>
  <si>
    <t xml:space="preserve">        is paid accompanied by an income-tax challan</t>
  </si>
  <si>
    <t>2.  Non-Government deductors to fill information in item II.</t>
  </si>
  <si>
    <t xml:space="preserve">3.  The deductor shall furnish the address of  the Commissioner of  Income-tax (TDS) having jurisdiction as regards TDS </t>
  </si>
  <si>
    <t xml:space="preserve">     statements of the assessee.</t>
  </si>
  <si>
    <t>4.  If an assessee is employed under one employer only during the year, certificate in Form No. 16 issued for the quarter ending on</t>
  </si>
  <si>
    <t xml:space="preserve">      31st March of the financial year shall contain the details of tax deducted and deposited for all the quarters of the financial year.</t>
  </si>
  <si>
    <t xml:space="preserve">5.  If  an  assessee  is  employed  under  more  than  one  employer  during  the  year,  each  of  the employers shall issue Part </t>
  </si>
  <si>
    <t xml:space="preserve">      A of the certificate in Form No. 16 pertaining to the period for which such assessee was employed with each of the employers.</t>
  </si>
  <si>
    <t xml:space="preserve">    Part B (Annexure) of the certificate in Form No.16 may be issued by each of the employers or the last employer at the</t>
  </si>
  <si>
    <t xml:space="preserve">    option of the assessee.</t>
  </si>
  <si>
    <t>6.  In items I and II, in column for tax deposited in respect of deductee, furnish total amount of TDS and education cess."</t>
  </si>
  <si>
    <t>Part B</t>
  </si>
  <si>
    <t>DETAILS OF SALARY PAID AND ANY OTHER INCOME AND TAX DEDUCTED</t>
  </si>
  <si>
    <t>1. Gross Salary *</t>
  </si>
  <si>
    <t>( a ) Salary as per provisions contained in section 17 (1)</t>
  </si>
  <si>
    <t>( b ) Value of perquisites under section 17 (2)</t>
  </si>
  <si>
    <t xml:space="preserve">        (as per Form No. 12 BA, wherever applicable)</t>
  </si>
  <si>
    <t>( c ) Profits in lieu of Salary under section 17 (3)</t>
  </si>
  <si>
    <t>( d ) Total</t>
  </si>
  <si>
    <t>2. Less : Allowance to the extent exempt under section 10</t>
  </si>
  <si>
    <t>a) HRA {U/s 10 (13-A)}</t>
  </si>
  <si>
    <t>b)</t>
  </si>
  <si>
    <t>3. Balance (1-2)</t>
  </si>
  <si>
    <t xml:space="preserve">4. Deductions :          </t>
  </si>
  <si>
    <t>(a) Standard deduction</t>
  </si>
  <si>
    <t>Rs.</t>
  </si>
  <si>
    <t>(b) Entertainment allowance</t>
  </si>
  <si>
    <t>(c) Tax on Employment</t>
  </si>
  <si>
    <t>5. Aggregate of 4 (a to c)</t>
  </si>
  <si>
    <t>6. Income chargeable under the Head ‘Salaries’(3-5)</t>
  </si>
  <si>
    <t>7. Add. : Any other income reported by the employee</t>
  </si>
  <si>
    <t>Less:-  Loss From House Properties</t>
  </si>
  <si>
    <t>8. Gross total income  (6+7)</t>
  </si>
  <si>
    <t xml:space="preserve">9. Deductions Under Chapter VIA    </t>
  </si>
  <si>
    <t>A.</t>
  </si>
  <si>
    <t>Sections 80C,80CC and 80CCD</t>
  </si>
  <si>
    <t>Gross Amount</t>
  </si>
  <si>
    <t>Qualifying Amt.</t>
  </si>
  <si>
    <t>Deductible Amt.</t>
  </si>
  <si>
    <t>Deductible Amt</t>
  </si>
  <si>
    <t>(a)</t>
  </si>
  <si>
    <t>Sections 80C,80CC and 80CCD(1)</t>
  </si>
  <si>
    <t>--</t>
  </si>
  <si>
    <t>Aggregate amount deductible under the three sections i.e.80C, 80CCC and 80CCD (Max. 1.50 Lac)</t>
  </si>
  <si>
    <t>(b)</t>
  </si>
  <si>
    <t>Section 80CCD (1B)</t>
  </si>
  <si>
    <t>B.</t>
  </si>
  <si>
    <t>Other Sections ( e.g. 80E, 80G, 80TTA etc) Under Chapter VIA</t>
  </si>
  <si>
    <t xml:space="preserve">Aggregate amount deductible under the three sections i.e.80E, 80G, 80TTA </t>
  </si>
  <si>
    <t>10. Aggregate of deductible amount under chapter VI-A (A+B)</t>
  </si>
  <si>
    <r>
      <t xml:space="preserve">11. Total Taxable Income (8-10 ) </t>
    </r>
    <r>
      <rPr>
        <sz val="8"/>
        <rFont val="Arial"/>
      </rPr>
      <t>Nearest Decimal Figure (U/s 288A)</t>
    </r>
  </si>
  <si>
    <t xml:space="preserve">12. Tax on total Income </t>
  </si>
  <si>
    <t>13. Rebate U/S 87a (Max 25000) Or Marginal Relief (U/S 15 BAC)</t>
  </si>
  <si>
    <t>14. Tax Payable on total income (12-13)</t>
  </si>
  <si>
    <t>15.Education &amp; Health Cess 4%</t>
  </si>
  <si>
    <t>16. Tax payable (14+15)</t>
  </si>
  <si>
    <t>17. Relife Under Section 89 (attach details)</t>
  </si>
  <si>
    <t>18. Tax payable (16-17)</t>
  </si>
  <si>
    <t xml:space="preserve"> Nearest Decimal Figure</t>
  </si>
  <si>
    <t>19.Tax Deducted at source U/S 192</t>
  </si>
  <si>
    <t>20. Tax payable / refundable (17-18)</t>
  </si>
  <si>
    <t xml:space="preserve">(Designation) do hereby certify that the information given  above is true  correct based on the </t>
  </si>
  <si>
    <t>book of accounts, documents and TDS Statements, TDS Deposited and other available records.</t>
  </si>
  <si>
    <t xml:space="preserve">                                    Signature &amp; Seal of the person responsible</t>
  </si>
  <si>
    <t xml:space="preserve">                                     for deduction of tax</t>
  </si>
  <si>
    <t>Place:</t>
  </si>
  <si>
    <t xml:space="preserve">                Full Name       :</t>
  </si>
  <si>
    <t>Date:</t>
  </si>
  <si>
    <t xml:space="preserve">               Designation    :</t>
  </si>
  <si>
    <t>U/s 80 D-Medical Premium</t>
  </si>
  <si>
    <t>U/s 80 DD</t>
  </si>
  <si>
    <t>U/s 80 DDB</t>
  </si>
  <si>
    <t>U/s 80 E-Higher Education</t>
  </si>
  <si>
    <t>U/s 80 G-Donation</t>
  </si>
  <si>
    <t>U/s 80 U-Permanent Disability</t>
  </si>
  <si>
    <t>U/s 80 TTA/80 TTB-Saving Interest</t>
  </si>
  <si>
    <t>U/s 80 GGA</t>
  </si>
  <si>
    <r>
      <t xml:space="preserve">24- /kkjk </t>
    </r>
    <r>
      <rPr>
        <sz val="11"/>
        <color rgb="FFFFFFFF"/>
        <rFont val="Times New Roman"/>
      </rPr>
      <t>80CCC -</t>
    </r>
    <r>
      <rPr>
        <sz val="13"/>
        <color rgb="FFFFFFFF"/>
        <rFont val="DevLys 010"/>
      </rPr>
      <t xml:space="preserve"> isa'ku Iyku gsrq va'knku ¼,u-ih-,l- ds avykok½</t>
    </r>
  </si>
  <si>
    <t>Extra income</t>
  </si>
  <si>
    <t>Deposit income tax other than salary</t>
  </si>
  <si>
    <t>Amount</t>
  </si>
  <si>
    <t>Date</t>
  </si>
  <si>
    <t>BSR Code</t>
  </si>
  <si>
    <r>
      <rPr>
        <b/>
        <sz val="12"/>
        <rFont val="Calibri"/>
      </rPr>
      <t xml:space="preserve">1 </t>
    </r>
    <r>
      <rPr>
        <b/>
        <sz val="10"/>
        <rFont val="Calibri"/>
      </rPr>
      <t>गृह सम्पति से प्राप्त किराया-आय</t>
    </r>
  </si>
  <si>
    <t>2. अन्य आय (बैंक/एफडी में जमा ब्याज/अन्य ब्याज आदि का योग</t>
  </si>
  <si>
    <t>Sr. No./Area of Income</t>
  </si>
  <si>
    <t xml:space="preserve"> Challan Number</t>
  </si>
  <si>
    <t>3.अन्य आय (------------------------------------------)</t>
  </si>
  <si>
    <t>4. अन्य आय (-----------------------------------)</t>
  </si>
  <si>
    <r>
      <rPr>
        <sz val="11"/>
        <color rgb="FF002060"/>
        <rFont val="Calibri"/>
      </rPr>
      <t>UPLI</t>
    </r>
    <r>
      <rPr>
        <sz val="12"/>
        <color rgb="FF002060"/>
        <rFont val="DevLys 010"/>
      </rPr>
      <t>@okf"kZd Iyku</t>
    </r>
  </si>
  <si>
    <r>
      <t>jkT; chek ¼</t>
    </r>
    <r>
      <rPr>
        <sz val="11"/>
        <color rgb="FF002060"/>
        <rFont val="Calibri"/>
      </rPr>
      <t>SI)</t>
    </r>
  </si>
  <si>
    <t>U/s 80 GGC</t>
  </si>
  <si>
    <t>(As Old Tax Regime)</t>
  </si>
  <si>
    <t>DDO/PRINCIPAL</t>
  </si>
  <si>
    <t xml:space="preserve"> PRINCIPAL,GOVT. SEN. SEC. SCHOOL DASANA KHURD (DEEDWANA-KUCHAMAN)</t>
  </si>
  <si>
    <t>RECEIPT OF HOUSE RENT</t>
  </si>
  <si>
    <t>(Under section 1 (13-A) of Income Tax Act)</t>
  </si>
  <si>
    <t>Date :-</t>
  </si>
  <si>
    <t xml:space="preserve">I Owner </t>
  </si>
  <si>
    <t xml:space="preserve">Received with Thanks from Sri/Smt. </t>
  </si>
  <si>
    <t>Address-</t>
  </si>
  <si>
    <t xml:space="preserve">The sum of  (Quarterly) </t>
  </si>
  <si>
    <t xml:space="preserve">Towards the House Rent (Monthly) @ </t>
  </si>
  <si>
    <t>Per Month From :-</t>
  </si>
  <si>
    <t>1 April, 2024 To 30 June, 2024</t>
  </si>
  <si>
    <t xml:space="preserve">Rs.  =  </t>
  </si>
  <si>
    <t>Date:-</t>
  </si>
  <si>
    <t>(Signature of House Owner)</t>
  </si>
  <si>
    <t xml:space="preserve">(Affix Revenue Stamp of Rs.1/-) 
</t>
  </si>
  <si>
    <t>Name-</t>
  </si>
  <si>
    <t>ADDRESS</t>
  </si>
  <si>
    <t>PAN NUMBER</t>
  </si>
  <si>
    <t>DA ARREAR</t>
  </si>
  <si>
    <t>SALARY +OTH ARRE</t>
  </si>
  <si>
    <t>MONTHS</t>
  </si>
  <si>
    <t>MARCH 2024</t>
  </si>
  <si>
    <t>APRIL 2024</t>
  </si>
  <si>
    <t>MAY  2024</t>
  </si>
  <si>
    <t>JUNE 2024</t>
  </si>
  <si>
    <t>JULY 2024</t>
  </si>
  <si>
    <t>AUGUST 2024</t>
  </si>
  <si>
    <t>SEPTEMBER 2024</t>
  </si>
  <si>
    <t>OCTOBER 2024</t>
  </si>
  <si>
    <t>NOVEMBER 2024</t>
  </si>
  <si>
    <t>DECEMBER 2024</t>
  </si>
  <si>
    <t>JANUARY 2025</t>
  </si>
  <si>
    <t>FEBRUARY 2025</t>
  </si>
  <si>
    <t>BOMBAY</t>
  </si>
  <si>
    <t>CALCUTTA</t>
  </si>
  <si>
    <t>DELHI</t>
  </si>
  <si>
    <t>MADRAS</t>
  </si>
  <si>
    <t>OTHER CITIES</t>
  </si>
  <si>
    <t>चयन</t>
  </si>
  <si>
    <t>किराया भुगतान मासिक राशि</t>
  </si>
  <si>
    <t>HRA छुट की कुल राशि</t>
  </si>
  <si>
    <t>अधिकतम HRA छुट की राशि</t>
  </si>
  <si>
    <t xml:space="preserve"> प्रतिमाह किराया भुगतान की आवश्यकता</t>
  </si>
  <si>
    <t xml:space="preserve"> आवासीय शहर</t>
  </si>
  <si>
    <r>
      <t xml:space="preserve"> </t>
    </r>
    <r>
      <rPr>
        <b/>
        <sz val="20"/>
        <rFont val="Cambria"/>
      </rPr>
      <t xml:space="preserve">  </t>
    </r>
    <r>
      <rPr>
        <b/>
        <sz val="16"/>
        <color rgb="FF0000FF"/>
        <rFont val="Cambria"/>
      </rPr>
      <t>निर्माणकर्ता :-भागीरथ मल अध्यापक L-1 GSSS डसाणा खुर्द मौलासर (डीडवाना-कुचामन)</t>
    </r>
  </si>
  <si>
    <t>HRA रसीद CALCULATOR</t>
  </si>
  <si>
    <t>BASIC PAY + DA.</t>
  </si>
  <si>
    <t>SALARY OTHER THAN MONTHALY SALARY (DA,PL,OTHER)</t>
  </si>
  <si>
    <t>YES/NO</t>
  </si>
  <si>
    <t xml:space="preserve"> माह में YES या NO चयन के बाद  मासिक भुगतान किया गया किराया राशि निचे YELLOW कलर के CELL में लिखे I</t>
  </si>
  <si>
    <r>
      <t xml:space="preserve"> </t>
    </r>
    <r>
      <rPr>
        <b/>
        <charset val="2"/>
        <sz val="22"/>
        <color rgb="FF0000FF"/>
        <rFont val="Wingdings"/>
      </rPr>
      <t>ç</t>
    </r>
    <r>
      <rPr>
        <b/>
        <i/>
        <sz val="16"/>
        <rFont val="Cambria"/>
      </rPr>
      <t xml:space="preserve">अगर माह का किराया  भुगतान किया तो ड्राप डाउन से "YES" चयन करे  यदि किराया भुगतान नहीं किया तो NO चयन करे </t>
    </r>
  </si>
  <si>
    <t xml:space="preserve"> अधिकतम छुट के लिए  वार्षिक किराया रसीद की आवश्यकता</t>
  </si>
  <si>
    <t>मकान मालिक का नाम</t>
  </si>
  <si>
    <t>मकान मालिक का PAN CARD NO</t>
  </si>
  <si>
    <t>AEWAAA</t>
  </si>
  <si>
    <t>ABCDE1234G</t>
  </si>
  <si>
    <t>मकान मालिक का पूरा पता</t>
  </si>
  <si>
    <t>VPO XYX,TEH ERT,DIST, TYU RAJ (PIN 123456)</t>
  </si>
  <si>
    <t xml:space="preserve">मकान मालिक विवरण </t>
  </si>
  <si>
    <t>1 JULY, 2024 To 30 SEPT, 2024</t>
  </si>
  <si>
    <t>1 OCT, 2024 To 30 DEC, 2024</t>
  </si>
  <si>
    <t>1 JAN, 2025 To 31 MAR, 2025</t>
  </si>
  <si>
    <r>
      <t xml:space="preserve">   </t>
    </r>
    <r>
      <rPr>
        <b/>
        <sz val="12"/>
        <color rgb="FF0000FF"/>
        <rFont val="Cambria"/>
      </rPr>
      <t>निर्माणकर्ता :-भागीरथ मल अध्यापक L-1 GSSS डसाणा खुर्द मौलासर (डीडवाना-कुचामन)</t>
    </r>
  </si>
  <si>
    <t>BAAAXXXXXA</t>
  </si>
  <si>
    <t>MASTER DATA SHEET</t>
  </si>
  <si>
    <r>
      <rPr>
        <sz val="14"/>
        <rFont val="Calibri"/>
      </rPr>
      <t>MASTER DATA SHEET</t>
    </r>
    <r>
      <rPr>
        <sz val="14"/>
        <rFont val="DevLys 010"/>
      </rPr>
      <t xml:space="preserve">  esa lHkh ihys lsy dh iwfrZ vo'; djsaA</t>
    </r>
  </si>
  <si>
    <t>GA 55 SHEET</t>
  </si>
  <si>
    <t>GROSS  SALARY</t>
  </si>
  <si>
    <t>GROUP INSURANCE  
ACCIDENTAL</t>
  </si>
  <si>
    <t>INCOME TAX / TDS</t>
  </si>
  <si>
    <t>HITKARI NIDHI</t>
  </si>
  <si>
    <t>TOTAL
DEDUCTION</t>
  </si>
  <si>
    <t>NET PAYMENT</t>
  </si>
  <si>
    <t>BILL NO. - DATE 
/ 
TV NO. - DATE</t>
  </si>
  <si>
    <t/>
  </si>
  <si>
    <t>OTHER ALLOWANCE 2</t>
  </si>
  <si>
    <r>
      <t xml:space="preserve">vkius </t>
    </r>
    <r>
      <rPr>
        <sz val="12"/>
        <rFont val="Calibri"/>
      </rPr>
      <t>GA-55 Sheet</t>
    </r>
    <r>
      <rPr>
        <sz val="14"/>
        <rFont val="DevLys 010"/>
      </rPr>
      <t xml:space="preserve"> esa </t>
    </r>
    <r>
      <rPr>
        <sz val="12"/>
        <rFont val="Calibri"/>
      </rPr>
      <t xml:space="preserve">Copy/ Paste, delete </t>
    </r>
    <r>
      <rPr>
        <sz val="14"/>
        <rFont val="DevLys 010"/>
      </rPr>
      <t>dk iz;ksx fd;k gS rks vxys dkfeZd ds fy, Ýs'k 'khV dke esa ysaA</t>
    </r>
  </si>
  <si>
    <t>OTHER DEDUCTION SHEET,</t>
  </si>
  <si>
    <r>
      <t xml:space="preserve"> </t>
    </r>
    <r>
      <rPr>
        <b/>
        <sz val="22"/>
        <color rgb="FF16365C"/>
        <rFont val="Calibri"/>
      </rPr>
      <t>HRA</t>
    </r>
    <r>
      <rPr>
        <b/>
        <sz val="20"/>
        <color rgb="FF16365C"/>
        <rFont val="Calibri"/>
      </rPr>
      <t xml:space="preserve"> छुट गणना</t>
    </r>
  </si>
  <si>
    <t>Basic Salary Received (12 Month)</t>
  </si>
  <si>
    <t>Dearness Allowance (DA) Received (12 Month)</t>
  </si>
  <si>
    <t>Total Rent Paid (12 Month)</t>
  </si>
  <si>
    <t>40% of Salary (Basic +DA)</t>
  </si>
  <si>
    <t>HRA Received (12 Month)</t>
  </si>
  <si>
    <t>OLD TAX REGIME</t>
  </si>
  <si>
    <t>NEW TAX REGIME</t>
  </si>
  <si>
    <t>TAX DEPOSITED</t>
  </si>
  <si>
    <t>REBATE UNDER SECTION 80C, 80CCC, 80CCD(1)</t>
  </si>
  <si>
    <t>TOTAL REBATE OF(US 80C, 80CCC,80CCD(1)</t>
  </si>
  <si>
    <r>
      <t>निर्माणकर्ता :-भागीरथ मल अध्यापक L-1 GSSS डसाणा खुर्द मौलासर (डीडवाना-कुचामन)
किसी प्रकार के सुझाव के लिए ईमेल करे ---&gt;</t>
    </r>
    <r>
      <rPr>
        <b/>
        <sz val="16"/>
        <color rgb="FFFF0000"/>
        <rFont val="Calibri"/>
      </rPr>
      <t>bhagirathmalkalwania@gmail.com</t>
    </r>
  </si>
  <si>
    <t xml:space="preserve">bl 'khV esa osru ds vfrfjDr vk;] fofHkUu dVkSfr;k¡] fofHkUu tek jkf'k@NwV] osru ds vykok dkVk x;k vk;dj vkfn fooj.k fy[kk tkuk gS! </t>
  </si>
  <si>
    <t xml:space="preserve">    EXTRA INCOME,DEPOSITE IN INCOME TAX OTHER SLAIRY की है उसके white कलर के cell में आपकी कोई आय है एवं आपके द्वारा आयकर में  राशि जमा करवाई है तो           उसकी पूर्ति भी कर ले यह विवरण केवल अनुमानित 16 no फॉर्म शीटो के लिए है</t>
  </si>
  <si>
    <t xml:space="preserve">ईसी शीट में निचे टेबल HRA छुट  गणना के लिए आप YELLOW कलर CELL में वार्षिक किराये भुगतान की राशि लिख आप HRA छुट राशि की गणना कर सकते है  </t>
  </si>
  <si>
    <t>अगर आप HRA की छुट लेना चाहते है तो HRA CALCULATOR SHEET के YELLOW कलर CELL में फीड कर आप अपनी वार्षिक किराया राशि और मासिक किराया राशि ,HRA छूट की जानकारी प्राप्त की जा सकती है इसके आगे किराया रसीद AUTOMATIC तैयार होगी i</t>
  </si>
  <si>
    <t>HRA CALCULATOR &amp; RENT RECEIPT SHEET</t>
  </si>
  <si>
    <t xml:space="preserve"> (OLD / NEW TAX REGIME),16 NO FORM OLD/NEW REGIME</t>
  </si>
  <si>
    <r>
      <rPr>
        <sz val="10"/>
        <rFont val="Calibri"/>
      </rPr>
      <t>ईन</t>
    </r>
    <r>
      <rPr>
        <sz val="14"/>
        <rFont val="DevLys 010"/>
      </rPr>
      <t xml:space="preserve"> 'khV esa </t>
    </r>
    <r>
      <rPr>
        <sz val="12"/>
        <rFont val="Calibri"/>
      </rPr>
      <t xml:space="preserve">GA55A </t>
    </r>
    <r>
      <rPr>
        <sz val="14"/>
        <rFont val="DevLys 010"/>
      </rPr>
      <t>rFkk</t>
    </r>
    <r>
      <rPr>
        <sz val="12"/>
        <rFont val="Calibri"/>
      </rPr>
      <t xml:space="preserve"> Other Dedution </t>
    </r>
    <r>
      <rPr>
        <sz val="14"/>
        <rFont val="DevLys 010"/>
      </rPr>
      <t>dk</t>
    </r>
    <r>
      <rPr>
        <sz val="12"/>
        <rFont val="Calibri"/>
      </rPr>
      <t xml:space="preserve"> Data </t>
    </r>
    <r>
      <rPr>
        <sz val="14"/>
        <rFont val="DevLys 010"/>
      </rPr>
      <t xml:space="preserve">Lor% vk;sxkA bl 'khV esa vkidks </t>
    </r>
    <r>
      <rPr>
        <sz val="12"/>
        <rFont val="Calibri"/>
      </rPr>
      <t xml:space="preserve">Edit </t>
    </r>
    <r>
      <rPr>
        <sz val="14"/>
        <rFont val="DevLys 010"/>
      </rPr>
      <t xml:space="preserve">dh vuqefr ugha gSA tks Hkh ifjorZu djuk gS </t>
    </r>
    <r>
      <rPr>
        <sz val="12"/>
        <rFont val="Calibri"/>
      </rPr>
      <t xml:space="preserve">GA-55 </t>
    </r>
    <r>
      <rPr>
        <sz val="14"/>
        <rFont val="DevLys 010"/>
      </rPr>
      <t xml:space="preserve">rFkk </t>
    </r>
  </si>
  <si>
    <r>
      <rPr>
        <sz val="14"/>
        <rFont val="Calibri"/>
      </rPr>
      <t>Other Dedution</t>
    </r>
    <r>
      <rPr>
        <sz val="14"/>
        <rFont val="DevLys 010"/>
      </rPr>
      <t xml:space="preserve"> 'khV esa gh djsA </t>
    </r>
  </si>
  <si>
    <r>
      <rPr>
        <sz val="12"/>
        <rFont val="Calibri"/>
      </rPr>
      <t xml:space="preserve">GA55A &amp; Old Tax Regime / New Tax Regime, 16 no form  Rent Receipt SHEETS </t>
    </r>
    <r>
      <rPr>
        <sz val="14"/>
        <rFont val="DevLys 010"/>
      </rPr>
      <t>dks</t>
    </r>
    <r>
      <rPr>
        <sz val="12"/>
        <rFont val="Calibri"/>
      </rPr>
      <t xml:space="preserve"> </t>
    </r>
    <r>
      <rPr>
        <sz val="14"/>
        <rFont val="DevLys 010"/>
      </rPr>
      <t xml:space="preserve">isij lkbt </t>
    </r>
    <r>
      <rPr>
        <sz val="12"/>
        <rFont val="Calibri"/>
      </rPr>
      <t>A4</t>
    </r>
    <r>
      <rPr>
        <sz val="14"/>
        <rFont val="DevLys 010"/>
      </rPr>
      <t xml:space="preserve"> ij</t>
    </r>
    <r>
      <rPr>
        <sz val="12"/>
        <rFont val="Calibri"/>
      </rPr>
      <t xml:space="preserve"> Page Setup </t>
    </r>
    <r>
      <rPr>
        <sz val="14"/>
        <rFont val="DevLys 010"/>
      </rPr>
      <t xml:space="preserve">fd;k gqvk gSA </t>
    </r>
  </si>
  <si>
    <r>
      <rPr>
        <sz val="14"/>
        <rFont val="Calibri"/>
      </rPr>
      <t>Old Tax Regime / New Tax Regime</t>
    </r>
    <r>
      <rPr>
        <sz val="14"/>
        <rFont val="DevLys 010"/>
      </rPr>
      <t xml:space="preserve"> esa ls ftlesa vkidks Qk;nk gks mls pqusA lh/ks nksuksa 'khV</t>
    </r>
    <r>
      <rPr>
        <sz val="14"/>
        <rFont val="Calibri"/>
      </rPr>
      <t xml:space="preserve"> GA-55 &amp; Tax Regime Sheet</t>
    </r>
    <r>
      <rPr>
        <sz val="14"/>
        <rFont val="DevLys 010"/>
      </rPr>
      <t xml:space="preserve"> dk vkxs ihNs fizaV ysaA</t>
    </r>
  </si>
  <si>
    <r>
      <t xml:space="preserve">vk;dj x.kuk izi= o"kZ foÙkh; </t>
    </r>
    <r>
      <rPr>
        <b/>
        <sz val="18"/>
        <color rgb="FFFFFFFF"/>
        <rFont val="Calibri"/>
      </rPr>
      <t>2024-25</t>
    </r>
    <r>
      <rPr>
        <b/>
        <sz val="20"/>
        <color rgb="FFFFFFFF"/>
        <rFont val="DevLys 010"/>
      </rPr>
      <t xml:space="preserve"> ¼dj fu/kkZj.k o"kZ </t>
    </r>
    <r>
      <rPr>
        <b/>
        <sz val="18"/>
        <color rgb="FFFFFFFF"/>
        <rFont val="Calibri"/>
      </rPr>
      <t>2025-26</t>
    </r>
    <r>
      <rPr>
        <b/>
        <sz val="20"/>
        <color rgb="FFFFFFFF"/>
        <rFont val="DevLys 010"/>
      </rPr>
      <t xml:space="preserve">½ </t>
    </r>
  </si>
  <si>
    <t>निर्माणकर्ता :-भागीरथ मल अध्यापक L-1 GSSS डसाणा खुर्द मौलासर (डीडवाना-कुचामन)</t>
  </si>
  <si>
    <t>DED2024</t>
  </si>
  <si>
    <t>DEDUCTION RANGE PASSWORD</t>
  </si>
  <si>
    <t>SR. NO.</t>
  </si>
  <si>
    <t>NAME OF EMPLOYEE</t>
  </si>
  <si>
    <t>HRA EXAMPTION</t>
  </si>
  <si>
    <t>EXAMPTION UDER HOME LOAN</t>
  </si>
  <si>
    <t>EXAMPTION U/S VI [80 C/80 CCC/ 80CCD(1)] UP TO 1.5 LAC</t>
  </si>
  <si>
    <t>EXAPMTION U/S 80 CCD(1B) UP TO 50000</t>
  </si>
  <si>
    <t xml:space="preserve">EXAPMTION U/S 80 D/80 DD/80/ 80DDB </t>
  </si>
  <si>
    <t>EXAPMTION U/S 80 G</t>
  </si>
  <si>
    <t xml:space="preserve">NET TAXABLE INCOME (FOR OLD TAX REGIME)
</t>
  </si>
  <si>
    <t>NET TAXABLE INCOME (FOR NEW TAX REGIME)</t>
  </si>
  <si>
    <t>2.5 LAC TO 5 LAC</t>
  </si>
  <si>
    <t>GRAND TOTAL</t>
  </si>
  <si>
    <t>3 LAC TO 7 LAC</t>
  </si>
  <si>
    <t>7 LAC TO 10 LAC</t>
  </si>
  <si>
    <t>10 LAC TO 12 LAC</t>
  </si>
  <si>
    <t>12 LAC TO 15 LAC</t>
  </si>
  <si>
    <t>&gt;15 LAC</t>
  </si>
  <si>
    <t>EDU. CESS (4%)</t>
  </si>
  <si>
    <t>5 LAC TO 10 LAC</t>
  </si>
  <si>
    <t>&gt;10 LAC</t>
  </si>
  <si>
    <t>INCOME TAX
NEW TAX REGIME</t>
  </si>
  <si>
    <t>INCOME TAX
OLD TAX REGIME</t>
  </si>
  <si>
    <t>FROM SALARY</t>
  </si>
  <si>
    <t>VIA CHALLAN</t>
  </si>
  <si>
    <t>TOTAL DEDUCTABLE ITAX</t>
  </si>
  <si>
    <t>PAYBLE (P), REFUNDABLE (R) ITAX</t>
  </si>
  <si>
    <t>KISHNA RAM</t>
  </si>
  <si>
    <t>BHAGU RAM</t>
  </si>
  <si>
    <t>CHENA RAM</t>
  </si>
  <si>
    <t>KAMLA DEVI</t>
  </si>
  <si>
    <t>INCOME TAX DEDUCT FROM SALARY TILL JAN  2025</t>
  </si>
  <si>
    <t xml:space="preserve"> DEDUCTABLE TAX NEXT MONTH OLD REGIME</t>
  </si>
  <si>
    <t xml:space="preserve"> DEDUCTABLE TAX NEXT MONTH NEW REGIME</t>
  </si>
  <si>
    <t xml:space="preserve"> INCOME TAX DEDUCTION FOR ADVANCE BALANCE MONTH</t>
  </si>
  <si>
    <t xml:space="preserve"> ADVANCE TAX CALCULATION FOR ALL EMPLOYEE FOR F.Y. 2024-25 (A.Y. 2025-26)</t>
  </si>
  <si>
    <t>NEW REGIME</t>
  </si>
  <si>
    <t>TOTAL INCOME FY-2024-25
(AS GA-55 GROSS SALARY)</t>
  </si>
  <si>
    <t>STAND.DED.(OLD REG-50000,NEW REG-75000)</t>
  </si>
  <si>
    <t>ROUND UP VALUE TOTAL  I.TAX (OLD REGIME)</t>
  </si>
  <si>
    <t>ROUND UP VALUE OF TOTAL INC.TAX (NEW REGIME)</t>
  </si>
  <si>
    <t>BENIIT FOR EMPLOYYEE CHOICE TAX REGIME (OLD RATE/NEW RATE)</t>
  </si>
  <si>
    <t>TAX FINAL STATUS</t>
  </si>
  <si>
    <r>
      <t xml:space="preserve">निर्माणकर्ता :-भागीरथ मल अध्यापक L-1 GSSS डसाणा खुर्द मौलासर (डीडवाना-कुचामन) </t>
    </r>
    <r>
      <rPr>
        <b/>
        <sz val="18"/>
        <color rgb="FF00B050"/>
        <rFont val="Calibri"/>
      </rPr>
      <t>MOB.NO</t>
    </r>
    <r>
      <rPr>
        <b/>
        <sz val="18"/>
        <color rgb="FFFF0000"/>
        <rFont val="Calibri"/>
      </rPr>
      <t>.</t>
    </r>
    <r>
      <rPr>
        <b/>
        <sz val="18"/>
        <color rgb="FF0066FF"/>
        <rFont val="Calibri"/>
      </rPr>
      <t>9828789204</t>
    </r>
    <r>
      <rPr>
        <b/>
        <sz val="18"/>
        <color rgb="FFFF0000"/>
        <rFont val="Calibri"/>
      </rPr>
      <t xml:space="preserve">
</t>
    </r>
    <r>
      <rPr>
        <b/>
        <sz val="24"/>
        <rFont val="Calibri"/>
      </rPr>
      <t>UPDATE ON :---14-11-2024</t>
    </r>
    <r>
      <rPr>
        <b/>
        <sz val="18"/>
        <color rgb="FFFF0000"/>
        <rFont val="Calibri"/>
      </rPr>
      <t xml:space="preserve"> किसी प्रकार के सुझाव के लिए ईमेल करे ---&gt;bhagirathmalkalwania@gmail.com</t>
    </r>
    <r>
      <rPr>
        <b/>
        <i/>
        <sz val="18"/>
        <color rgb="FFFF0000"/>
        <rFont val="Calibri"/>
      </rPr>
      <t xml:space="preserve">
</t>
    </r>
  </si>
  <si>
    <r>
      <t xml:space="preserve">20- cpr [kkrs </t>
    </r>
    <r>
      <rPr>
        <sz val="11"/>
        <color rgb="FFFFFFFF"/>
        <rFont val="Times New Roman"/>
      </rPr>
      <t>(Saving Accounts)</t>
    </r>
    <r>
      <rPr>
        <sz val="13"/>
        <color rgb="FFFFFFFF"/>
        <rFont val="DevLys 010"/>
      </rPr>
      <t xml:space="preserve"> dh tek jkf'k ij izkIr C;kt </t>
    </r>
    <r>
      <rPr>
        <sz val="13"/>
        <color rgb="FFFFFFFF"/>
        <rFont val="Calibri"/>
      </rPr>
      <t>(</t>
    </r>
    <r>
      <rPr>
        <sz val="9"/>
        <color rgb="FFFFFFFF"/>
        <rFont val="Calibri"/>
      </rPr>
      <t>अधिकतम</t>
    </r>
    <r>
      <rPr>
        <sz val="13"/>
        <color rgb="FFFFFFFF"/>
        <rFont val="Calibri"/>
      </rPr>
      <t xml:space="preserve"> </t>
    </r>
    <r>
      <rPr>
        <sz val="10"/>
        <color rgb="FFFFFFFF"/>
        <rFont val="Calibri"/>
      </rPr>
      <t>10000</t>
    </r>
    <r>
      <rPr>
        <sz val="13"/>
        <color rgb="FFFFFFFF"/>
        <rFont val="Calibri"/>
      </rPr>
      <t>)</t>
    </r>
  </si>
  <si>
    <r>
      <t xml:space="preserve">ljdkjh isa'ku ;kstuk esa va'knku </t>
    </r>
    <r>
      <rPr>
        <sz val="9"/>
        <color rgb="FF002060"/>
        <rFont val="Calibri"/>
      </rPr>
      <t xml:space="preserve">ECPF </t>
    </r>
    <r>
      <rPr>
        <sz val="9"/>
        <color rgb="FF002060"/>
        <rFont val="DevLys 010"/>
      </rPr>
      <t xml:space="preserve">vf/kdre osru dk </t>
    </r>
    <r>
      <rPr>
        <sz val="9"/>
        <color rgb="FF002060"/>
        <rFont val="Calibri"/>
      </rPr>
      <t>10 %</t>
    </r>
    <r>
      <rPr>
        <sz val="9"/>
        <color rgb="FF002060"/>
        <rFont val="Arial"/>
      </rPr>
      <t xml:space="preserve"> </t>
    </r>
    <r>
      <rPr>
        <sz val="9"/>
        <color rgb="FF002060"/>
        <rFont val="DevLys 010"/>
      </rPr>
      <t xml:space="preserve">/kkjk </t>
    </r>
    <r>
      <rPr>
        <sz val="9"/>
        <color rgb="FF002060"/>
        <rFont val="Calibri"/>
      </rPr>
      <t xml:space="preserve">80CCD(1) </t>
    </r>
    <r>
      <rPr>
        <sz val="12"/>
        <color rgb="FFFF66CC"/>
        <rFont val="Calibri"/>
      </rPr>
      <t>+</t>
    </r>
    <r>
      <rPr>
        <sz val="8"/>
        <color rgb="FF002060"/>
        <rFont val="Calibri"/>
      </rPr>
      <t>अन्य कोई नियमो के अंतर्गत हो तो</t>
    </r>
  </si>
  <si>
    <r>
      <t xml:space="preserve">lkewfgd chek izhfe;e ¼ </t>
    </r>
    <r>
      <rPr>
        <sz val="12"/>
        <color rgb="FF002060"/>
        <rFont val="Calibri"/>
      </rPr>
      <t>G.Ins.)</t>
    </r>
  </si>
  <si>
    <r>
      <t xml:space="preserve"> /kkjk </t>
    </r>
    <r>
      <rPr>
        <sz val="10"/>
        <color rgb="FF002060"/>
        <rFont val="Calibri"/>
      </rPr>
      <t>80 D</t>
    </r>
    <r>
      <rPr>
        <sz val="12"/>
        <color rgb="FF002060"/>
        <rFont val="Arial"/>
      </rPr>
      <t xml:space="preserve"> </t>
    </r>
    <r>
      <rPr>
        <sz val="12"/>
        <color rgb="FF002060"/>
        <rFont val="DevLys 010"/>
      </rPr>
      <t xml:space="preserve">fpfdRlk chek izhfe;e </t>
    </r>
    <r>
      <rPr>
        <sz val="10"/>
        <color rgb="FF002060"/>
        <rFont val="DevLys 010"/>
      </rPr>
      <t xml:space="preserve">¼Lo;a]ifr@iRuh o cPpksa ds fy, : </t>
    </r>
    <r>
      <rPr>
        <sz val="10"/>
        <color rgb="FF002060"/>
        <rFont val="Calibri"/>
      </rPr>
      <t>25000</t>
    </r>
    <r>
      <rPr>
        <sz val="10"/>
        <color rgb="FF002060"/>
        <rFont val="DevLys 010"/>
      </rPr>
      <t xml:space="preserve">] ekrk&amp;firk ds fy, : </t>
    </r>
    <r>
      <rPr>
        <sz val="10"/>
        <color rgb="FF002060"/>
        <rFont val="Calibri"/>
      </rPr>
      <t xml:space="preserve">25,000 </t>
    </r>
    <r>
      <rPr>
        <sz val="10"/>
        <color rgb="FF002060"/>
        <rFont val="DevLys 010"/>
      </rPr>
      <t xml:space="preserve">lhfu;j flVhtu : </t>
    </r>
    <r>
      <rPr>
        <sz val="10"/>
        <color rgb="FF002060"/>
        <rFont val="Calibri"/>
      </rPr>
      <t>50,000</t>
    </r>
    <r>
      <rPr>
        <sz val="10"/>
        <color rgb="FF002060"/>
        <rFont val="DevLys 010"/>
      </rPr>
      <t>½</t>
    </r>
  </si>
  <si>
    <r>
      <t xml:space="preserve">/kkjk </t>
    </r>
    <r>
      <rPr>
        <sz val="10"/>
        <color rgb="FF002060"/>
        <rFont val="Calibri"/>
      </rPr>
      <t>80 DD</t>
    </r>
    <r>
      <rPr>
        <sz val="12"/>
        <color rgb="FF002060"/>
        <rFont val="Arial"/>
      </rPr>
      <t xml:space="preserve"> </t>
    </r>
    <r>
      <rPr>
        <sz val="12"/>
        <color rgb="FF002060"/>
        <rFont val="DevLys 010"/>
      </rPr>
      <t xml:space="preserve">fodykax vkfJrksa ds fpfdRlk mipkj </t>
    </r>
    <r>
      <rPr>
        <sz val="10"/>
        <color rgb="FF002060"/>
        <rFont val="DevLys 010"/>
      </rPr>
      <t xml:space="preserve">¼vf/kdre </t>
    </r>
    <r>
      <rPr>
        <sz val="10"/>
        <color rgb="FF002060"/>
        <rFont val="Calibri"/>
      </rPr>
      <t>75,000</t>
    </r>
    <r>
      <rPr>
        <sz val="10"/>
        <color rgb="FF002060"/>
        <rFont val="DevLys 010"/>
      </rPr>
      <t xml:space="preserve"> rFkk </t>
    </r>
    <r>
      <rPr>
        <sz val="10"/>
        <color rgb="FF002060"/>
        <rFont val="Times New Roman"/>
      </rPr>
      <t xml:space="preserve">80% </t>
    </r>
    <r>
      <rPr>
        <sz val="10"/>
        <color rgb="FF002060"/>
        <rFont val="DevLys 010"/>
      </rPr>
      <t xml:space="preserve">;k vf/kd fodykaxrk </t>
    </r>
    <r>
      <rPr>
        <sz val="10"/>
        <color rgb="FF002060"/>
        <rFont val="Calibri"/>
      </rPr>
      <t>125,000</t>
    </r>
    <r>
      <rPr>
        <sz val="10"/>
        <color rgb="FF002060"/>
        <rFont val="DevLys 010"/>
      </rPr>
      <t>½</t>
    </r>
  </si>
  <si>
    <r>
      <t xml:space="preserve"> /kkjk </t>
    </r>
    <r>
      <rPr>
        <sz val="8"/>
        <color rgb="FF002060"/>
        <rFont val="Calibri"/>
      </rPr>
      <t>80 DDB</t>
    </r>
    <r>
      <rPr>
        <sz val="12"/>
        <color rgb="FF002060"/>
        <rFont val="DevLys 010"/>
      </rPr>
      <t xml:space="preserve"> fof'k"V jksaxksa ds mipkj gsrq dVkSrh ¼vf/kdre : </t>
    </r>
    <r>
      <rPr>
        <sz val="9"/>
        <color rgb="FF002060"/>
        <rFont val="Calibri"/>
      </rPr>
      <t>40,000]</t>
    </r>
    <r>
      <rPr>
        <sz val="12"/>
        <color rgb="FF002060"/>
        <rFont val="DevLys 010"/>
      </rPr>
      <t xml:space="preserve"> lhfu;j flVhtu gsrq : </t>
    </r>
    <r>
      <rPr>
        <sz val="9"/>
        <color rgb="FF002060"/>
        <rFont val="Calibri"/>
      </rPr>
      <t>100,000</t>
    </r>
    <r>
      <rPr>
        <sz val="12"/>
        <color rgb="FF002060"/>
        <rFont val="DevLys 010"/>
      </rPr>
      <t>½</t>
    </r>
  </si>
  <si>
    <r>
      <t xml:space="preserve"> /kkjk 80 </t>
    </r>
    <r>
      <rPr>
        <sz val="9"/>
        <color rgb="FF002060"/>
        <rFont val="Calibri"/>
      </rPr>
      <t>E</t>
    </r>
    <r>
      <rPr>
        <sz val="12"/>
        <color rgb="FF002060"/>
        <rFont val="DevLys 010"/>
      </rPr>
      <t xml:space="preserve"> mPp f'k{kk gsrq fy, _.k dk C;kt</t>
    </r>
  </si>
  <si>
    <r>
      <t xml:space="preserve">/kkjk 80 </t>
    </r>
    <r>
      <rPr>
        <sz val="12"/>
        <color rgb="FF002060"/>
        <rFont val="Calibri"/>
      </rPr>
      <t>G</t>
    </r>
    <r>
      <rPr>
        <sz val="12"/>
        <color rgb="FF002060"/>
        <rFont val="DevLys 010"/>
      </rPr>
      <t xml:space="preserve"> /kekZFkZ laLFkkvksa vkfn dks fn;s nku ¼ d Js.kh esa 100 izfr'kr ,oa [k Js.kh esa 50 izfr'kr½</t>
    </r>
  </si>
  <si>
    <r>
      <t xml:space="preserve">/kkjk 80 </t>
    </r>
    <r>
      <rPr>
        <sz val="9"/>
        <color rgb="FF002060"/>
        <rFont val="Calibri"/>
      </rPr>
      <t>U</t>
    </r>
    <r>
      <rPr>
        <sz val="12"/>
        <color rgb="FF002060"/>
        <rFont val="DevLys 010"/>
      </rPr>
      <t xml:space="preserve"> LFkkbZ :i ls 'kkjhfjd vleFkZrrk dh n'kk esa ¼vf/kdre </t>
    </r>
    <r>
      <rPr>
        <sz val="9"/>
        <color rgb="FF002060"/>
        <rFont val="Calibri"/>
      </rPr>
      <t>75,000</t>
    </r>
    <r>
      <rPr>
        <sz val="12"/>
        <color rgb="FF002060"/>
        <rFont val="DevLys 010"/>
      </rPr>
      <t xml:space="preserve"> rFkk  vf/kfu;e 1995 ds vuqlkj </t>
    </r>
    <r>
      <rPr>
        <sz val="9"/>
        <color rgb="FF002060"/>
        <rFont val="Calibri"/>
      </rPr>
      <t>125,000</t>
    </r>
    <r>
      <rPr>
        <sz val="12"/>
        <color rgb="FF002060"/>
        <rFont val="DevLys 010"/>
      </rPr>
      <t>½</t>
    </r>
  </si>
  <si>
    <r>
      <t xml:space="preserve"> /kkjk 80 </t>
    </r>
    <r>
      <rPr>
        <sz val="9"/>
        <color rgb="FF002060"/>
        <rFont val="Calibri"/>
      </rPr>
      <t>TTA</t>
    </r>
    <r>
      <rPr>
        <sz val="12"/>
        <color rgb="FF002060"/>
        <rFont val="DevLys 010"/>
      </rPr>
      <t xml:space="preserve"> cpr [kkrs ij C;kt dh vf/kdre NwV :- </t>
    </r>
    <r>
      <rPr>
        <sz val="9"/>
        <color rgb="FF002060"/>
        <rFont val="Calibri"/>
      </rPr>
      <t>10,000</t>
    </r>
    <r>
      <rPr>
        <sz val="12"/>
        <color rgb="FF002060"/>
        <rFont val="DevLys 010"/>
      </rPr>
      <t xml:space="preserve">           </t>
    </r>
    <r>
      <rPr>
        <sz val="9"/>
        <color rgb="FF002060"/>
        <rFont val="Calibri"/>
      </rPr>
      <t>U/S 194(IA)</t>
    </r>
  </si>
  <si>
    <r>
      <t xml:space="preserve">/kkjk 80 </t>
    </r>
    <r>
      <rPr>
        <sz val="9"/>
        <color rgb="FF002060"/>
        <rFont val="Calibri"/>
      </rPr>
      <t>TTB</t>
    </r>
    <r>
      <rPr>
        <sz val="12"/>
        <color rgb="FF002060"/>
        <rFont val="DevLys 010"/>
      </rPr>
      <t xml:space="preserve"> - aofj"B ukxfjdksa dks lHkh izdkj ds C;kt ij vf/kdre NwV&amp;  </t>
    </r>
    <r>
      <rPr>
        <sz val="9"/>
        <color rgb="FF002060"/>
        <rFont val="Calibri"/>
      </rPr>
      <t>50,000</t>
    </r>
    <r>
      <rPr>
        <sz val="12"/>
        <color rgb="FF002060"/>
        <rFont val="DevLys 010"/>
      </rPr>
      <t xml:space="preserve"> :-       </t>
    </r>
    <r>
      <rPr>
        <sz val="9"/>
        <color rgb="FF002060"/>
        <rFont val="Calibri"/>
      </rPr>
      <t>U/S 194(A)</t>
    </r>
  </si>
  <si>
    <r>
      <t xml:space="preserve">/kkjk </t>
    </r>
    <r>
      <rPr>
        <sz val="10"/>
        <color rgb="FF002060"/>
        <rFont val="Calibri"/>
      </rPr>
      <t>80 GGC</t>
    </r>
    <r>
      <rPr>
        <sz val="12"/>
        <color rgb="FF002060"/>
        <rFont val="DevLys 010"/>
      </rPr>
      <t xml:space="preserve"> jktuhfrd ikfVZ;ksa gsrq fn;k x;k nku</t>
    </r>
    <r>
      <rPr>
        <sz val="8"/>
        <color rgb="FF002060"/>
        <rFont val="DevLys 010"/>
      </rPr>
      <t xml:space="preserve"> </t>
    </r>
    <r>
      <rPr>
        <sz val="12"/>
        <color rgb="FF002060"/>
        <rFont val="DevLys 010"/>
      </rPr>
      <t>o</t>
    </r>
    <r>
      <rPr>
        <sz val="8"/>
        <color rgb="FF002060"/>
        <rFont val="DevLys 010"/>
      </rPr>
      <t xml:space="preserve"> धारा </t>
    </r>
    <r>
      <rPr>
        <sz val="10"/>
        <color rgb="FF002060"/>
        <rFont val="Calibri"/>
      </rPr>
      <t>80 GGA -</t>
    </r>
    <r>
      <rPr>
        <sz val="8"/>
        <color rgb="FF002060"/>
        <rFont val="Calibri"/>
      </rPr>
      <t>अनुमोदित वैज्ञानिक,सामाजिक,ग्रामीण विकास आदि हेतु दिया गया दान</t>
    </r>
  </si>
  <si>
    <r>
      <t xml:space="preserve">33- /kkjk </t>
    </r>
    <r>
      <rPr>
        <sz val="11"/>
        <color rgb="FFFFFFFF"/>
        <rFont val="Times New Roman"/>
      </rPr>
      <t>80 GGC -</t>
    </r>
    <r>
      <rPr>
        <sz val="13"/>
        <color rgb="FFFFFFFF"/>
        <rFont val="DevLys 010"/>
      </rPr>
      <t xml:space="preserve"> jktuhfrd ikVhZ gsrq fn;k x;k nku</t>
    </r>
    <r>
      <rPr>
        <sz val="13"/>
        <color rgb="FFFFFFFF"/>
        <rFont val="Calibri"/>
      </rPr>
      <t xml:space="preserve"> </t>
    </r>
    <r>
      <rPr>
        <sz val="10"/>
        <color rgb="FFFFFFFF"/>
        <rFont val="Calibri"/>
      </rPr>
      <t>एवं धारा 80 GGA -अनुमोदित वैज्ञानिक,सामाजिक,ग्रामीण विकास आदि हेतु दिया गया दान</t>
    </r>
  </si>
  <si>
    <t>U/C 80 GCA+ U/C80 GGA</t>
  </si>
  <si>
    <t>/kkjk 80 TTB - aofj"B ukxfjdksa</t>
  </si>
  <si>
    <t>ALLOWANCE RANGE PASSWORD</t>
  </si>
  <si>
    <t>ALLOW2024</t>
  </si>
  <si>
    <t>SINATURE OF EMPLOYEE</t>
  </si>
  <si>
    <t>SIGNATURE OF DDO</t>
  </si>
  <si>
    <r>
      <t xml:space="preserve">OTHER ALLOWANCE के एवं OTHER DEDUCTION के CELL UNLOCK है इनमे आप आवश्यक हो तो EDIT कर सकते है OTHER ALLOWANCE के कॉलम HEADING ROW भी UNLOCK है Iइसके अलावा जिन CELL में EDIT जरूरी है वो भी अनलॉक हैi इस SHEET के SALARY &amp; ALLOWANCE  साइड में अगर कोई संसोधन आवश्यक हो तो RANGE PASSWORD </t>
    </r>
    <r>
      <rPr>
        <b/>
        <sz val="16"/>
        <color rgb="FFFF0000"/>
        <rFont val="Calibri"/>
      </rPr>
      <t>ALLOW2024</t>
    </r>
    <r>
      <rPr>
        <sz val="10"/>
        <rFont val="Calibri"/>
      </rPr>
      <t xml:space="preserve"> DEDUCTION साइड में अगर कोई संसोधन आवश्यक हो तो  RANGE PASSWORD </t>
    </r>
    <r>
      <rPr>
        <b/>
        <sz val="18"/>
        <color rgb="FFFF0000"/>
        <rFont val="Calibri"/>
      </rPr>
      <t>DED2024</t>
    </r>
    <r>
      <rPr>
        <sz val="10"/>
        <rFont val="Calibri"/>
      </rPr>
      <t xml:space="preserve"> से UNLOCK कर सकते है i अनावश्यक रूप सेअनलॉक नहीं करे i</t>
    </r>
  </si>
  <si>
    <t>एक बार पूरे निर्देश जरूर जरूर पढें I</t>
  </si>
  <si>
    <t xml:space="preserve">Rupees EightyThree Thousand Six Hundred FiftySix Only </t>
  </si>
  <si>
    <t xml:space="preserve">Rupees Two Lakh TwentySix Thousand Two Hundred Nineteen Only </t>
  </si>
  <si>
    <t xml:space="preserve">Rupees Eighteen Thousand Eight Hundred FiftyTwo Only </t>
  </si>
</sst>
</file>

<file path=xl/styles.xml><?xml version="1.0" encoding="utf-8"?>
<styleSheet xmlns="http://schemas.openxmlformats.org/spreadsheetml/2006/main">
  <numFmts count="21">
    <numFmt numFmtId="0" formatCode="General"/>
    <numFmt numFmtId="2" formatCode="0.00"/>
    <numFmt numFmtId="49" formatCode="@"/>
    <numFmt numFmtId="1" formatCode="0"/>
    <numFmt numFmtId="9" formatCode="0%"/>
    <numFmt numFmtId="164" formatCode="mmm/yyyy"/>
    <numFmt numFmtId="165" formatCode="&quot;₹&quot;\ #,##0.00"/>
    <numFmt numFmtId="166" formatCode="&quot;₹&quot;\ #,##0"/>
    <numFmt numFmtId="14" formatCode="m/d/yyyy"/>
    <numFmt numFmtId="17" formatCode="mmm-yy"/>
    <numFmt numFmtId="3" formatCode="#,##0"/>
    <numFmt numFmtId="167" formatCode="_(* #,##0_);_(* \(#,##0\);_(* &quot;-&quot;??_);_(@_)"/>
    <numFmt numFmtId="4" formatCode="#,##0.00"/>
    <numFmt numFmtId="168" formatCode="&quot;Rs. &quot;#"/>
    <numFmt numFmtId="169" formatCode="[$-14009]dd\-mm\-yyyy;@"/>
    <numFmt numFmtId="170" formatCode="_ &quot;₹&quot;\ * #,##0_ ;_ &quot;₹&quot;\ * \-#,##0_ ;_ &quot;₹&quot;\ * &quot;-&quot;??_ ;_ @_ "/>
    <numFmt numFmtId="171" formatCode="_(&quot;₹&quot;* #,##0_);_(&quot;₹&quot;* \(#,##0\);_(&quot;₹&quot;* &quot;-&quot;_);_(@_)"/>
    <numFmt numFmtId="172" formatCode="[$-14009]d\ mmmm\ yyyy;@"/>
    <numFmt numFmtId="173" formatCode="_(* #,##0.00_);_(* \(#,##0.00\);_(* &quot;-&quot;??_);_(@_)"/>
    <numFmt numFmtId="174" formatCode="_(&quot;₹&quot;* #,##0.00_);_(&quot;₹&quot;* \(#,##0.00\);_(&quot;₹&quot;* &quot;-&quot;??_);_(@_)"/>
    <numFmt numFmtId="175" formatCode="[$-4009]dd\ mmmm\ yyyy"/>
  </numFmts>
  <fonts count="177">
    <font>
      <name val="Arial"/>
      <sz val="10"/>
    </font>
    <font>
      <name val="Arial"/>
      <sz val="10"/>
    </font>
    <font>
      <name val="DevLys 010"/>
      <b/>
      <sz val="20"/>
      <color rgb="FFFFFFFF"/>
    </font>
    <font>
      <name val="Times New Roman"/>
      <b/>
      <sz val="18"/>
      <color rgb="FFFFFFFF"/>
    </font>
    <font>
      <name val="Calibri"/>
      <b/>
      <sz val="14"/>
    </font>
    <font>
      <name val="Times New Roman"/>
      <sz val="12"/>
    </font>
    <font>
      <name val="DevLys 010"/>
      <sz val="14"/>
    </font>
    <font>
      <name val="Arial"/>
      <i/>
      <sz val="10"/>
    </font>
    <font>
      <name val="Calibri"/>
      <i/>
      <sz val="12"/>
    </font>
    <font>
      <name val="Times New Roman"/>
      <sz val="11"/>
    </font>
    <font>
      <name val="DevLys 010"/>
      <i/>
      <sz val="14"/>
    </font>
    <font>
      <name val="Calibri"/>
      <sz val="10"/>
    </font>
    <font>
      <name val="DevLys 010"/>
      <sz val="14"/>
    </font>
    <font>
      <name val="DevLys 010"/>
      <b/>
      <sz val="14"/>
      <color rgb="FFFFFFFF"/>
    </font>
    <font>
      <name val="Calibri"/>
      <b/>
      <sz val="18"/>
      <color rgb="FFFF0000"/>
    </font>
    <font>
      <name val="Arial"/>
      <sz val="20"/>
      <color rgb="FFFFFFFF"/>
    </font>
    <font>
      <name val="Calibri"/>
      <b/>
      <sz val="14"/>
      <color rgb="FF002060"/>
    </font>
    <font>
      <name val="DevLys 010"/>
      <b/>
      <sz val="12"/>
      <color rgb="FFFFFFFF"/>
    </font>
    <font>
      <name val="Calibri"/>
      <b/>
      <sz val="11"/>
      <color rgb="FFFFFFFF"/>
    </font>
    <font>
      <name val="Calibri"/>
      <b/>
      <sz val="14"/>
      <color rgb="FFFFFFFF"/>
    </font>
    <font>
      <name val="Calibri"/>
      <b/>
      <sz val="12"/>
      <color rgb="FFFFFFFF"/>
    </font>
    <font>
      <name val="Calibri"/>
      <b/>
      <sz val="13"/>
      <color rgb="FFFFFFFF"/>
    </font>
    <font>
      <name val="Times New Roman"/>
      <b/>
      <sz val="13"/>
      <color rgb="FFFFFFFF"/>
    </font>
    <font>
      <name val="Calibri"/>
      <b/>
      <sz val="12"/>
      <color rgb="FFFFFFFF"/>
    </font>
    <font>
      <name val="Cambria"/>
      <b/>
      <sz val="14"/>
      <color rgb="FF002060"/>
    </font>
    <font>
      <name val="Calibri"/>
      <b/>
      <sz val="16"/>
      <color rgb="FF002060"/>
    </font>
    <font>
      <name val="Arial"/>
      <sz val="10"/>
    </font>
    <font>
      <name val="Calibri"/>
      <b/>
      <sz val="20"/>
      <color rgb="FFFFFFFF"/>
    </font>
    <font>
      <name val="Calibri"/>
      <b/>
      <sz val="20"/>
      <color rgb="FFC00000"/>
    </font>
    <font>
      <name val="Calibri"/>
      <b/>
      <sz val="18"/>
    </font>
    <font>
      <name val="Calibri"/>
      <b/>
      <sz val="14"/>
      <color rgb="FFFF0000"/>
    </font>
    <font>
      <name val="Arial"/>
      <b/>
      <sz val="16"/>
      <color rgb="FFFF0000"/>
    </font>
    <font>
      <name val="Times New Roman"/>
      <b/>
      <sz val="14"/>
    </font>
    <font>
      <name val="Times New Roman"/>
      <sz val="13"/>
    </font>
    <font>
      <name val="Calibri"/>
      <b/>
      <sz val="13"/>
      <color rgb="FF002060"/>
    </font>
    <font>
      <name val="Calibri"/>
      <b/>
      <sz val="13"/>
      <color rgb="FFFF0000"/>
    </font>
    <font>
      <name val="Calibri"/>
      <b/>
      <sz val="13"/>
    </font>
    <font>
      <name val="Calibri"/>
      <b/>
      <sz val="10"/>
    </font>
    <font>
      <name val="Calibri"/>
      <b/>
      <sz val="18"/>
      <color rgb="FFFFFFFF"/>
    </font>
    <font>
      <name val="Calibri"/>
      <b/>
      <sz val="11"/>
      <color rgb="FF002060"/>
    </font>
    <font>
      <name val="Calibri"/>
      <b/>
      <sz val="12"/>
      <color rgb="FF16365C"/>
    </font>
    <font>
      <name val="Calibri"/>
      <sz val="12"/>
      <color rgb="FF002060"/>
    </font>
    <font>
      <name val="Calibri"/>
      <b/>
      <sz val="12"/>
      <color rgb="FFC00000"/>
    </font>
    <font>
      <name val="Calibri"/>
      <b/>
      <sz val="12"/>
    </font>
    <font>
      <name val="Calibri"/>
      <sz val="11"/>
    </font>
    <font>
      <name val="Calibri"/>
      <b/>
      <sz val="16"/>
      <color rgb="FFFF0000"/>
    </font>
    <font>
      <name val="Calibri"/>
      <b/>
      <sz val="11"/>
    </font>
    <font>
      <name val="Calibri"/>
      <b/>
      <sz val="24"/>
      <color rgb="FFFFFFFF"/>
    </font>
    <font>
      <name val="Calibri"/>
      <sz val="10"/>
      <color rgb="FF16365C"/>
    </font>
    <font>
      <name val="Calibri"/>
      <b/>
      <sz val="14"/>
      <color rgb="FFC00000"/>
    </font>
    <font>
      <name val="Arial"/>
      <b/>
      <sz val="10"/>
    </font>
    <font>
      <name val="Calibri"/>
      <b/>
      <i/>
      <sz val="15"/>
      <color rgb="FF0000FF"/>
    </font>
    <font>
      <name val="Times New Roman"/>
      <b/>
      <i/>
      <sz val="16"/>
      <color rgb="FF0000FF"/>
    </font>
    <font>
      <name val="Times New Roman"/>
      <b/>
      <i/>
      <sz val="12"/>
      <color rgb="FF0000FF"/>
    </font>
    <font>
      <name val="Times New Roman"/>
      <b/>
      <i/>
      <sz val="12"/>
      <color rgb="FF002060"/>
    </font>
    <font>
      <name val="Times New Roman"/>
      <b/>
      <i/>
      <sz val="13"/>
      <color rgb="FFC00000"/>
    </font>
    <font>
      <name val="Calibri"/>
      <b/>
      <sz val="12"/>
      <color rgb="FF0000FF"/>
    </font>
    <font>
      <name val="DevLys 010"/>
      <sz val="12"/>
    </font>
    <font>
      <name val="Calibri"/>
      <sz val="12"/>
    </font>
    <font>
      <name val="DevLys 010"/>
      <b/>
      <sz val="24"/>
      <color rgb="FF002060"/>
    </font>
    <font>
      <name val="Calibri"/>
      <b/>
      <sz val="16"/>
      <color rgb="FF000000"/>
    </font>
    <font>
      <name val="DevLys 010"/>
      <sz val="14"/>
      <color rgb="FFFFFFFF"/>
    </font>
    <font>
      <name val="Calibri"/>
      <b/>
      <sz val="12"/>
      <color rgb="FFFF0000"/>
    </font>
    <font>
      <name val="Calibri"/>
      <b/>
      <sz val="12"/>
      <color rgb="FF000000"/>
    </font>
    <font>
      <name val="Calibri"/>
      <b/>
      <sz val="18"/>
      <color rgb="FFFF66CC"/>
    </font>
    <font>
      <name val="Calibri"/>
      <sz val="14"/>
    </font>
    <font>
      <name val="Times New Roman"/>
      <b/>
      <sz val="12"/>
    </font>
    <font>
      <name val="Times New Roman"/>
      <b/>
      <sz val="16"/>
      <color rgb="FFFFFFFF"/>
    </font>
    <font>
      <name val="Calibri"/>
      <sz val="8"/>
    </font>
    <font>
      <name val="Calibri"/>
      <sz val="6"/>
    </font>
    <font>
      <name val="DevLys 010"/>
      <sz val="16"/>
      <color rgb="FFFFFFFF"/>
    </font>
    <font>
      <name val="Calibri"/>
      <b/>
      <sz val="16"/>
    </font>
    <font>
      <name val="DevLys 010"/>
      <b/>
      <sz val="16"/>
      <color rgb="FFFFFFFF"/>
    </font>
    <font>
      <name val="Calibri"/>
      <b/>
      <sz val="20"/>
      <color rgb="FF16365C"/>
    </font>
    <font>
      <name val="Calibri"/>
      <sz val="13"/>
    </font>
    <font>
      <name val="Calibri"/>
      <b/>
      <sz val="20"/>
    </font>
    <font>
      <name val="Calibri"/>
      <sz val="16"/>
      <color rgb="FFFF0000"/>
    </font>
    <font>
      <name val="DevLys 010"/>
      <b/>
      <sz val="14"/>
    </font>
    <font>
      <name val="DevLys 010"/>
      <b/>
      <sz val="14"/>
      <color rgb="FF0000FF"/>
    </font>
    <font>
      <name val="Calibri"/>
      <sz val="18"/>
    </font>
    <font>
      <name val="Calibri"/>
      <b/>
      <sz val="17"/>
    </font>
    <font>
      <name val="Cambria"/>
      <b/>
      <sz val="16"/>
      <color rgb="FF000000"/>
    </font>
    <font>
      <name val="Calibri"/>
      <b/>
      <sz val="14"/>
      <color rgb="FF000000"/>
    </font>
    <font>
      <name val="Cambria"/>
      <b/>
      <sz val="16"/>
    </font>
    <font>
      <name val="Arial"/>
      <b/>
      <i/>
      <sz val="16"/>
      <color rgb="FFFFFFFF"/>
    </font>
    <font>
      <name val="Cambria"/>
      <b/>
      <i/>
      <sz val="11"/>
    </font>
    <font>
      <name val="Cambria"/>
      <b/>
      <i/>
      <sz val="12"/>
    </font>
    <font>
      <name val="Cambria"/>
      <i/>
      <sz val="12"/>
    </font>
    <font>
      <name val="Cambria"/>
      <b/>
      <i/>
      <sz val="16"/>
    </font>
    <font>
      <name val="Calibri"/>
      <b/>
      <i/>
      <sz val="18"/>
    </font>
    <font>
      <name val="Cambria"/>
      <b/>
      <sz val="14"/>
    </font>
    <font>
      <name val="Wingdings"/>
      <charset val="2"/>
      <sz val="10"/>
    </font>
    <font>
      <name val="Calibri"/>
      <b/>
      <sz val="16"/>
      <color rgb="FFFFFFFF"/>
    </font>
    <font>
      <name val="Times New Roman"/>
      <sz val="11"/>
      <color indexed="8"/>
    </font>
    <font>
      <name val="Calibri"/>
      <b/>
      <sz val="8"/>
    </font>
    <font>
      <name val="Cambria"/>
      <b/>
      <i/>
      <sz val="14"/>
    </font>
    <font>
      <name val="Calibri"/>
      <b/>
      <u/>
      <sz val="14"/>
    </font>
    <font>
      <name val="Cambria"/>
      <b/>
      <sz val="12"/>
    </font>
    <font>
      <name val="Cambria"/>
      <b/>
      <sz val="10"/>
    </font>
    <font>
      <name val="Cambria"/>
      <sz val="11"/>
      <color rgb="FF000000"/>
    </font>
    <font>
      <name val="Calibri"/>
      <b/>
      <u/>
      <sz val="14"/>
      <color rgb="FF000000"/>
    </font>
    <font>
      <name val="Calibri"/>
      <sz val="14"/>
      <color rgb="FF000000"/>
    </font>
    <font>
      <name val="Calibri"/>
      <i/>
      <sz val="14"/>
      <color rgb="FF000000"/>
    </font>
    <font>
      <name val="Calibri"/>
      <i/>
      <u/>
      <sz val="14"/>
      <color rgb="FF000000"/>
    </font>
    <font>
      <name val="Calibri"/>
      <sz val="12"/>
      <color rgb="FF000000"/>
    </font>
    <font>
      <name val="Calibri"/>
      <sz val="11"/>
      <color rgb="FF000000"/>
    </font>
    <font>
      <name val="Calibri"/>
      <b/>
      <sz val="11"/>
      <color rgb="FF000000"/>
    </font>
    <font>
      <name val="Calibri"/>
      <b/>
      <sz val="14"/>
      <color indexed="8"/>
    </font>
    <font>
      <name val="DevLys 010"/>
      <sz val="10"/>
    </font>
    <font>
      <name val="DevLys 010"/>
      <b/>
      <sz val="10"/>
    </font>
    <font>
      <name val="Calibri"/>
      <b/>
      <sz val="12"/>
      <color rgb="FF002060"/>
    </font>
    <font>
      <name val="DevLys 010"/>
      <b/>
      <sz val="18"/>
      <color rgb="FFC00000"/>
    </font>
    <font>
      <name val="Calibri"/>
      <b/>
      <sz val="10"/>
      <color rgb="FF002060"/>
    </font>
    <font>
      <name val="DevLys 010"/>
      <b/>
      <sz val="12"/>
    </font>
    <font>
      <name val="Calibri"/>
      <b/>
      <sz val="11"/>
      <color rgb="FFFF0000"/>
    </font>
    <font>
      <name val="DevLys 010"/>
      <b/>
      <sz val="12"/>
      <color rgb="FF002060"/>
    </font>
    <font>
      <name val="Calibri"/>
      <b/>
      <sz val="10"/>
      <color rgb="FFFF0000"/>
    </font>
    <font>
      <name val="DevLys 010"/>
      <sz val="12"/>
      <color rgb="FF002060"/>
    </font>
    <font>
      <name val="DevLys 010"/>
      <b/>
      <sz val="12"/>
      <color rgb="FFFF0000"/>
    </font>
    <font>
      <name val="Arial"/>
      <sz val="10"/>
      <color rgb="FF002060"/>
    </font>
    <font>
      <name val="Calibri"/>
      <sz val="12"/>
      <color rgb="FFFF0000"/>
    </font>
    <font>
      <name val="Arial"/>
      <sz val="12"/>
      <color rgb="FF002060"/>
    </font>
    <font>
      <name val="DevLys 010"/>
      <b/>
      <sz val="11"/>
    </font>
    <font>
      <name val="DevLys 010"/>
      <b/>
      <sz val="11"/>
    </font>
    <font>
      <name val="Calibri"/>
      <sz val="11"/>
      <color rgb="FF002060"/>
    </font>
    <font>
      <name val="Calibri"/>
      <sz val="10"/>
      <color rgb="FF002060"/>
    </font>
    <font>
      <name val="Times New Roman"/>
      <sz val="14"/>
      <color rgb="FF00B050"/>
    </font>
    <font>
      <name val="Arial"/>
      <b/>
      <sz val="9"/>
    </font>
    <font>
      <name val="Times New Roman"/>
      <b/>
      <i/>
      <sz val="11"/>
      <color rgb="FFFF0000"/>
    </font>
    <font>
      <name val="DevLys 010"/>
      <b/>
      <sz val="14"/>
      <color rgb="FF002060"/>
    </font>
    <font>
      <name val="Times New Roman"/>
      <b/>
      <i/>
      <sz val="10"/>
      <color rgb="FF963734"/>
    </font>
    <font>
      <name val="DevLys 010"/>
      <b/>
      <sz val="9"/>
    </font>
    <font>
      <name val="Times New Roman"/>
      <b/>
      <i/>
      <sz val="14"/>
      <color rgb="FFFF0000"/>
    </font>
    <font>
      <name val="Calibri"/>
      <b/>
      <sz val="9"/>
      <color rgb="FF002060"/>
    </font>
    <font>
      <name val="Times New Roman"/>
      <sz val="12"/>
      <color rgb="FF002060"/>
    </font>
    <font>
      <name val="DevLys 010"/>
      <sz val="9"/>
      <color rgb="FF002060"/>
    </font>
    <font>
      <name val="Arial"/>
      <b/>
      <sz val="12"/>
      <color rgb="FFFF0000"/>
    </font>
    <font>
      <name val="DevLys 010"/>
      <b/>
      <sz val="12"/>
      <color rgb="FF0066CC"/>
    </font>
    <font>
      <name val="Cambria"/>
      <sz val="12"/>
    </font>
    <font>
      <name val="DevLys 010"/>
      <b/>
      <sz val="11"/>
      <color rgb="FF002060"/>
    </font>
    <font>
      <name val="DevLys 010"/>
      <b/>
      <sz val="10"/>
      <color rgb="FF002060"/>
    </font>
    <font>
      <name val="Arial"/>
      <sz val="11"/>
      <color rgb="FF002060"/>
    </font>
    <font>
      <name val="DevLys 010"/>
      <b/>
      <sz val="12"/>
      <color rgb="FFC00000"/>
    </font>
    <font>
      <name val="DevLys 010"/>
      <b/>
      <sz val="14"/>
      <color rgb="FFFF66CC"/>
    </font>
    <font>
      <name val="DevLys 010"/>
      <b/>
      <sz val="13"/>
      <color rgb="FF002060"/>
    </font>
    <font>
      <name val="DevLys 010"/>
      <b/>
      <sz val="13"/>
    </font>
    <font>
      <name val="Times New Roman"/>
      <b/>
      <sz val="12"/>
      <color rgb="FF7030A0"/>
    </font>
    <font>
      <name val="Arial"/>
      <sz val="12"/>
      <color rgb="FF7030A0"/>
    </font>
    <font>
      <name val="Times New Roman"/>
      <b/>
      <i/>
      <sz val="11"/>
      <color rgb="FF0000FF"/>
    </font>
    <font>
      <name val="Calibri"/>
      <b/>
      <i/>
      <sz val="10"/>
      <color rgb="FF0000FF"/>
    </font>
    <font>
      <name val="Calibri"/>
      <b/>
      <sz val="10"/>
      <color rgb="FF0000FF"/>
    </font>
    <font>
      <name val="Arial"/>
      <b/>
      <sz val="14"/>
    </font>
    <font>
      <name val="Arial"/>
      <b/>
      <i/>
      <sz val="10"/>
    </font>
    <font>
      <name val="Arial"/>
      <sz val="14"/>
    </font>
    <font>
      <name val="Arial"/>
      <sz val="8"/>
    </font>
    <font>
      <name val="Arial"/>
      <sz val="9"/>
    </font>
    <font>
      <name val="Time Roman"/>
      <b/>
      <sz val="10"/>
    </font>
    <font>
      <name val="Arial"/>
      <b/>
      <sz val="12"/>
    </font>
    <font>
      <name val="Arial"/>
      <b/>
      <sz val="11"/>
    </font>
    <font>
      <name val="Arial"/>
      <sz val="10"/>
      <color rgb="FFFFFFFF"/>
    </font>
    <font>
      <name val="Arial"/>
      <b/>
      <sz val="10"/>
      <color rgb="FFFFFFFF"/>
    </font>
    <font>
      <name val="Arial"/>
      <b/>
      <sz val="8"/>
    </font>
    <font>
      <name val="DevLys 010"/>
      <sz val="11"/>
    </font>
    <font>
      <name val="Calibri"/>
      <sz val="7"/>
    </font>
    <font>
      <name val="Tahoma"/>
      <sz val="10"/>
    </font>
    <font>
      <name val="Calibri"/>
      <b/>
      <sz val="16"/>
      <color rgb="FFFF66CC"/>
    </font>
    <font>
      <name val="Calibri"/>
      <sz val="10"/>
      <color rgb="FFFFC000"/>
    </font>
    <font>
      <name val="Calibri"/>
      <b/>
      <sz val="18"/>
      <color rgb="FF000000"/>
    </font>
    <font>
      <name val="Calibri"/>
      <b/>
      <sz val="20"/>
      <color rgb="FF002060"/>
    </font>
    <font>
      <name val="Calibri"/>
      <b/>
      <sz val="10"/>
      <color rgb="FF000000"/>
    </font>
    <font>
      <name val="Calibri"/>
      <b/>
      <sz val="9"/>
    </font>
    <font>
      <name val="Cambria"/>
      <sz val="12"/>
      <color rgb="FFFFFFFF"/>
    </font>
    <font>
      <name val="Calibri"/>
      <sz val="10"/>
      <color rgb="FF000000"/>
    </font>
    <font>
      <name val="Calibri"/>
      <sz val="11"/>
      <color rgb="FF000000"/>
    </font>
    <font>
      <name val="Cambria"/>
      <sz val="12"/>
      <color rgb="FF000000"/>
    </font>
    <font>
      <name val="Arial"/>
      <sz val="10"/>
    </font>
    <font>
      <name val="Arial"/>
      <sz val="10"/>
    </font>
  </fonts>
  <fills count="31">
    <fill>
      <patternFill patternType="none"/>
    </fill>
    <fill>
      <patternFill patternType="gray125"/>
    </fill>
    <fill>
      <patternFill patternType="solid">
        <fgColor rgb="FFFF66CC"/>
        <bgColor indexed="64"/>
      </patternFill>
    </fill>
    <fill>
      <patternFill patternType="solid">
        <fgColor rgb="FF000000"/>
        <bgColor indexed="64"/>
      </patternFill>
    </fill>
    <fill>
      <patternFill patternType="solid">
        <fgColor rgb="FFFFFF00"/>
        <bgColor indexed="64"/>
      </patternFill>
    </fill>
    <fill>
      <patternFill patternType="solid">
        <fgColor rgb="FFEAF1DD"/>
        <bgColor indexed="64"/>
      </patternFill>
    </fill>
    <fill>
      <patternFill patternType="solid">
        <fgColor rgb="FFFFFFFF"/>
        <bgColor indexed="64"/>
      </patternFill>
    </fill>
    <fill>
      <patternFill patternType="solid">
        <fgColor rgb="FF8EB4E2"/>
        <bgColor indexed="64"/>
      </patternFill>
    </fill>
    <fill>
      <patternFill patternType="solid">
        <fgColor rgb="FFFDE9D9"/>
        <bgColor indexed="64"/>
      </patternFill>
    </fill>
    <fill>
      <patternFill patternType="solid">
        <fgColor rgb="FF92D050"/>
        <bgColor indexed="64"/>
      </patternFill>
    </fill>
    <fill>
      <patternFill patternType="solid">
        <fgColor rgb="FF4CACC6"/>
        <bgColor indexed="64"/>
      </patternFill>
    </fill>
    <fill>
      <patternFill patternType="solid">
        <fgColor rgb="FFC2D69B"/>
        <bgColor indexed="64"/>
      </patternFill>
    </fill>
    <fill>
      <patternFill patternType="solid">
        <fgColor rgb="FF33CCCC"/>
        <bgColor indexed="64"/>
      </patternFill>
    </fill>
    <fill>
      <patternFill patternType="solid">
        <fgColor rgb="FFFFFFCC"/>
        <bgColor indexed="64"/>
      </patternFill>
    </fill>
    <fill>
      <patternFill patternType="solid">
        <fgColor rgb="FFD99694"/>
        <bgColor indexed="64"/>
      </patternFill>
    </fill>
    <fill>
      <patternFill patternType="solid">
        <fgColor rgb="FFDBEEF3"/>
        <bgColor indexed="64"/>
      </patternFill>
    </fill>
    <fill>
      <patternFill patternType="solid">
        <fgColor rgb="FFCCCC00"/>
        <bgColor indexed="64"/>
      </patternFill>
    </fill>
    <fill>
      <patternFill patternType="solid">
        <fgColor rgb="FF00B050"/>
        <bgColor indexed="64"/>
      </patternFill>
    </fill>
    <fill>
      <patternFill patternType="solid">
        <fgColor rgb="FFE5DFEC"/>
        <bgColor indexed="64"/>
      </patternFill>
    </fill>
    <fill>
      <patternFill patternType="solid">
        <fgColor rgb="FFC6D9F0"/>
        <bgColor indexed="64"/>
      </patternFill>
    </fill>
    <fill>
      <patternFill patternType="solid">
        <fgColor rgb="FF0070C0"/>
        <bgColor indexed="64"/>
      </patternFill>
    </fill>
    <fill>
      <patternFill patternType="solid">
        <fgColor rgb="FFB9CCE4"/>
        <bgColor indexed="64"/>
      </patternFill>
    </fill>
    <fill>
      <patternFill patternType="solid">
        <fgColor rgb="FFBFBFBF"/>
      </patternFill>
    </fill>
    <fill>
      <patternFill patternType="solid">
        <fgColor rgb="FF0000FF"/>
        <bgColor indexed="64"/>
      </patternFill>
    </fill>
    <fill>
      <patternFill patternType="solid">
        <fgColor rgb="FF376092"/>
        <bgColor indexed="64"/>
      </patternFill>
    </fill>
    <fill>
      <patternFill patternType="solid">
        <fgColor rgb="FFF2F2F2"/>
        <bgColor indexed="64"/>
      </patternFill>
    </fill>
    <fill>
      <patternFill patternType="solid">
        <fgColor rgb="FFFFFFCD"/>
        <bgColor indexed="64"/>
      </patternFill>
    </fill>
    <fill>
      <patternFill patternType="solid">
        <fgColor rgb="FFD6E3BC"/>
        <bgColor indexed="64"/>
      </patternFill>
    </fill>
    <fill>
      <patternFill patternType="solid">
        <fgColor rgb="FF94CDDD"/>
        <bgColor indexed="64"/>
      </patternFill>
    </fill>
    <fill>
      <patternFill patternType="solid">
        <fgColor rgb="FFFBD4B4"/>
        <bgColor indexed="64"/>
      </patternFill>
    </fill>
    <fill>
      <patternFill patternType="solid">
        <fgColor rgb="FFE6B9B8"/>
        <bgColor indexed="64"/>
      </patternFill>
    </fill>
  </fills>
  <borders count="14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ck">
        <color rgb="FF7030A0"/>
      </left>
      <right style="thick">
        <color rgb="FF7030A0"/>
      </right>
      <top style="thick">
        <color rgb="FF7030A0"/>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ck">
        <color rgb="FFE36B09"/>
      </left>
      <right style="thick">
        <color rgb="FFFF66CC"/>
      </right>
      <top style="thick">
        <color rgb="FFE36B09"/>
      </top>
      <bottom style="thick">
        <color rgb="FFE36B09"/>
      </bottom>
      <diagonal/>
    </border>
    <border>
      <left style="thick">
        <color rgb="FFFF66CC"/>
      </left>
      <right/>
      <top style="thick">
        <color rgb="FFFF66CC"/>
      </top>
      <bottom style="thick">
        <color rgb="FFFF66CC"/>
      </bottom>
      <diagonal/>
    </border>
    <border>
      <left style="thick">
        <color rgb="FFE36B09"/>
      </left>
      <right/>
      <top style="thick">
        <color rgb="FFE36B09"/>
      </top>
      <bottom style="thick">
        <color rgb="FFE36B09"/>
      </bottom>
      <diagonal/>
    </border>
    <border>
      <left style="thick">
        <color rgb="FFFF66CC"/>
      </left>
      <right style="thick">
        <color rgb="FFFF66CC"/>
      </right>
      <top style="thick">
        <color rgb="FFFF66CC"/>
      </top>
      <bottom style="thick">
        <color rgb="FFFF66CC"/>
      </bottom>
      <diagonal/>
    </border>
    <border>
      <left/>
      <right style="thin">
        <color rgb="FF7030A0"/>
      </right>
      <top/>
      <bottom style="medium">
        <color rgb="FFFF0000"/>
      </bottom>
      <diagonal/>
    </border>
    <border>
      <left style="thick">
        <color rgb="FFE36B09"/>
      </left>
      <right style="thick">
        <color rgb="FFFF66CC"/>
      </right>
      <top style="thick">
        <color rgb="FFE36B09"/>
      </top>
      <bottom/>
      <diagonal/>
    </border>
    <border>
      <left/>
      <right style="thin">
        <color rgb="FF7030A0"/>
      </right>
      <top/>
      <bottom/>
      <diagonal/>
    </border>
    <border>
      <left style="thick">
        <color rgb="FFFF66CC"/>
      </left>
      <right style="thick">
        <color rgb="FFFF66CC"/>
      </right>
      <top style="thick">
        <color rgb="FFFF66CC"/>
      </top>
      <bottom/>
      <diagonal/>
    </border>
    <border>
      <left/>
      <right/>
      <top style="thick">
        <color rgb="FFE36B09"/>
      </top>
      <bottom style="thick">
        <color rgb="FFE36B09"/>
      </bottom>
      <diagonal/>
    </border>
    <border>
      <left/>
      <right/>
      <top style="thick">
        <color rgb="FFFF66CC"/>
      </top>
      <bottom style="thick">
        <color rgb="FFFF66CC"/>
      </bottom>
      <diagonal/>
    </border>
    <border>
      <left/>
      <right style="thick">
        <color rgb="FFFF66CC"/>
      </right>
      <top style="thick">
        <color rgb="FFFF66CC"/>
      </top>
      <bottom style="thick">
        <color rgb="FFFF66CC"/>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ck">
        <color rgb="FFD8D8D8"/>
      </left>
      <right/>
      <top style="thick">
        <color rgb="FFD8D8D8"/>
      </top>
      <bottom style="thick">
        <color rgb="FFD8D8D8"/>
      </bottom>
      <diagonal/>
    </border>
    <border>
      <left style="thick">
        <color rgb="FFD8D8D8"/>
      </left>
      <right style="thick">
        <color rgb="FFD8D8D8"/>
      </right>
      <top style="thick">
        <color rgb="FFD8D8D8"/>
      </top>
      <bottom style="thick">
        <color rgb="FFD8D8D8"/>
      </bottom>
      <diagonal/>
    </border>
    <border>
      <left style="thick">
        <color rgb="FFFF66CC"/>
      </left>
      <right style="thick">
        <color indexed="64"/>
      </right>
      <top style="thick">
        <color indexed="64"/>
      </top>
      <bottom style="thick">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FF0000"/>
      </left>
      <right style="thin">
        <color rgb="FFFF0000"/>
      </right>
      <top style="medium">
        <color rgb="FFFF0000"/>
      </top>
      <bottom style="medium">
        <color rgb="FFFF0000"/>
      </bottom>
      <diagonal/>
    </border>
    <border>
      <left style="thin">
        <color rgb="FFFF0000"/>
      </left>
      <right style="thin">
        <color rgb="FFFF0000"/>
      </right>
      <top style="medium">
        <color rgb="FFFF0000"/>
      </top>
      <bottom style="medium">
        <color rgb="FFFF0000"/>
      </bottom>
      <diagonal/>
    </border>
    <border>
      <left style="thin">
        <color rgb="FFFF0000"/>
      </left>
      <right style="medium">
        <color rgb="FFFF0000"/>
      </right>
      <top style="medium">
        <color rgb="FFFF0000"/>
      </top>
      <bottom style="medium">
        <color rgb="FFFF0000"/>
      </bottom>
      <diagonal/>
    </border>
    <border>
      <left style="thick">
        <color rgb="FFFF66CC"/>
      </left>
      <right style="thick">
        <color rgb="FFFF66CC"/>
      </right>
      <top style="medium">
        <color rgb="FFFF0000"/>
      </top>
      <bottom style="thick">
        <color rgb="FFFF66CC"/>
      </bottom>
      <diagonal/>
    </border>
    <border>
      <left style="thin">
        <color indexed="64"/>
      </left>
      <right/>
      <top style="thick">
        <color rgb="FFFF66CC"/>
      </top>
      <bottom/>
      <diagonal/>
    </border>
    <border>
      <left/>
      <right/>
      <top style="thick">
        <color rgb="FFFF66CC"/>
      </top>
      <bottom/>
      <diagonal/>
    </border>
    <border>
      <left style="thick">
        <color rgb="FFFF66CC"/>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rgb="FF7030A0"/>
      </left>
      <right style="thin">
        <color rgb="FF7030A0"/>
      </right>
      <top style="thin">
        <color rgb="FF7030A0"/>
      </top>
      <bottom style="thin">
        <color rgb="FF7030A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right style="medium">
        <color rgb="FFFFFFFF"/>
      </right>
      <top/>
      <bottom/>
      <diagonal/>
    </border>
    <border>
      <left style="medium">
        <color rgb="FFFF0000"/>
      </left>
      <right/>
      <top/>
      <bottom/>
      <diagonal/>
    </border>
    <border>
      <left/>
      <right style="medium">
        <color rgb="FFFF0000"/>
      </right>
      <top/>
      <bottom/>
      <diagonal/>
    </border>
    <border>
      <left style="medium">
        <color rgb="FFFF0000"/>
      </left>
      <right/>
      <top/>
      <bottom style="thin">
        <color indexed="64"/>
      </bottom>
      <diagonal/>
    </border>
    <border>
      <left/>
      <right style="medium">
        <color rgb="FFFF0000"/>
      </right>
      <top/>
      <bottom style="thin">
        <color indexed="64"/>
      </bottom>
      <diagonal/>
    </border>
    <border>
      <left style="medium">
        <color rgb="FFFF0000"/>
      </left>
      <right/>
      <top style="thin">
        <color indexed="64"/>
      </top>
      <bottom style="thin">
        <color indexed="64"/>
      </bottom>
      <diagonal/>
    </border>
    <border>
      <left/>
      <right style="medium">
        <color rgb="FFFF0000"/>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rgb="FFFF0000"/>
      </right>
      <top style="medium">
        <color indexed="64"/>
      </top>
      <bottom style="medium">
        <color indexed="64"/>
      </bottom>
      <diagonal/>
    </border>
    <border>
      <left style="medium">
        <color rgb="FFFF0000"/>
      </left>
      <right style="thin">
        <color indexed="64"/>
      </right>
      <top style="thin">
        <color indexed="64"/>
      </top>
      <bottom style="thin">
        <color indexed="64"/>
      </bottom>
      <diagonal/>
    </border>
    <border>
      <left style="thin">
        <color indexed="64"/>
      </left>
      <right style="medium">
        <color rgb="FFFF0000"/>
      </right>
      <top/>
      <bottom style="thin">
        <color indexed="64"/>
      </bottom>
      <diagonal/>
    </border>
    <border>
      <left style="medium">
        <color rgb="FFFF0000"/>
      </left>
      <right/>
      <top style="thin">
        <color indexed="64"/>
      </top>
      <bottom/>
      <diagonal/>
    </border>
    <border>
      <left/>
      <right style="medium">
        <color rgb="FFFF0000"/>
      </right>
      <top style="thin">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medium">
        <color rgb="FFFF0000"/>
      </right>
      <top style="thin">
        <color indexed="64"/>
      </top>
      <bottom style="thin">
        <color indexed="64"/>
      </bottom>
      <diagonal/>
    </border>
    <border>
      <left style="medium">
        <color rgb="FFFF0000"/>
      </left>
      <right style="thin">
        <color indexed="64"/>
      </right>
      <top style="thin">
        <color indexed="64"/>
      </top>
      <bottom/>
      <diagonal/>
    </border>
    <border>
      <left style="medium">
        <color rgb="FFFF0000"/>
      </left>
      <right style="thin">
        <color indexed="64"/>
      </right>
      <top/>
      <bottom/>
      <diagonal/>
    </border>
    <border>
      <left style="medium">
        <color rgb="FFFF0000"/>
      </left>
      <right style="thin">
        <color indexed="64"/>
      </right>
      <top/>
      <bottom style="thin">
        <color indexed="64"/>
      </bottom>
      <diagonal/>
    </border>
    <border>
      <left style="medium">
        <color rgb="FFFF0000"/>
      </left>
      <right/>
      <top/>
      <bottom style="medium">
        <color rgb="FFFF0000"/>
      </bottom>
      <diagonal/>
    </border>
    <border>
      <left/>
      <right style="medium">
        <color rgb="FFFF0000"/>
      </right>
      <top/>
      <bottom style="medium">
        <color rgb="FFFF0000"/>
      </bottom>
      <diagonal/>
    </border>
    <border>
      <left style="thin">
        <color indexed="64"/>
      </left>
      <right style="thin">
        <color indexed="64"/>
      </right>
      <top/>
      <bottom/>
      <diagonal/>
    </border>
    <border>
      <left style="thin">
        <color indexed="64"/>
      </left>
      <right style="medium">
        <color rgb="FFFF0000"/>
      </right>
      <top/>
      <bottom/>
      <diagonal/>
    </border>
    <border>
      <left/>
      <right/>
      <top/>
      <bottom style="hair">
        <color indexed="64"/>
      </bottom>
      <diagonal/>
    </border>
    <border>
      <left/>
      <right/>
      <top style="hair">
        <color indexed="64"/>
      </top>
      <bottom style="hair">
        <color indexed="64"/>
      </bottom>
      <diagonal/>
    </border>
    <border>
      <left/>
      <right/>
      <top/>
      <bottom style="medium">
        <color rgb="FFFFFFFF"/>
      </bottom>
      <diagonal/>
    </border>
    <border>
      <left/>
      <right style="medium">
        <color rgb="FFFFFFFF"/>
      </right>
      <top/>
      <bottom style="medium">
        <color rgb="FFFFFFFF"/>
      </bottom>
      <diagonal/>
    </border>
    <border>
      <left style="medium">
        <color rgb="FFFFFFFF"/>
      </left>
      <right/>
      <top/>
      <bottom style="medium">
        <color rgb="FF000000"/>
      </bottom>
      <diagonal/>
    </border>
    <border>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style="medium">
        <color rgb="FF000000"/>
      </left>
      <right/>
      <top/>
      <bottom/>
      <diagonal/>
    </border>
    <border>
      <left/>
      <right style="medium">
        <color rgb="FF000000"/>
      </right>
      <top/>
      <bottom style="medium">
        <color rgb="FF000000"/>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thin">
        <color indexed="64"/>
      </right>
      <top style="medium">
        <color rgb="FF000000"/>
      </top>
      <bottom/>
      <diagonal/>
    </border>
    <border>
      <left style="thin">
        <color indexed="64"/>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diagonal/>
    </border>
    <border>
      <left/>
      <right style="thin">
        <color indexed="64"/>
      </right>
      <top style="medium">
        <color rgb="FF000000"/>
      </top>
      <bottom style="thin">
        <color indexed="64"/>
      </bottom>
      <diagonal/>
    </border>
    <border>
      <left style="thin">
        <color indexed="64"/>
      </left>
      <right/>
      <top style="medium">
        <color rgb="FF000000"/>
      </top>
      <bottom/>
      <diagonal/>
    </border>
    <border>
      <left style="medium">
        <color rgb="FF000000"/>
      </left>
      <right style="thin">
        <color indexed="64"/>
      </right>
      <top style="thin">
        <color indexed="64"/>
      </top>
      <bottom style="thin">
        <color indexed="64"/>
      </bottom>
      <diagonal/>
    </border>
    <border>
      <left/>
      <right style="medium">
        <color rgb="FF000000"/>
      </right>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top style="thin">
        <color indexed="64"/>
      </top>
      <bottom style="medium">
        <color rgb="FF000000"/>
      </bottom>
      <diagonal/>
    </border>
    <border>
      <left/>
      <right/>
      <top style="thin">
        <color indexed="64"/>
      </top>
      <bottom style="medium">
        <color rgb="FF000000"/>
      </bottom>
      <diagonal/>
    </border>
    <border>
      <left/>
      <right style="thin">
        <color indexed="64"/>
      </right>
      <top style="thin">
        <color indexed="64"/>
      </top>
      <bottom style="medium">
        <color rgb="FF000000"/>
      </bottom>
      <diagonal/>
    </border>
    <border>
      <left/>
      <right style="medium">
        <color rgb="FF000000"/>
      </right>
      <top style="thin">
        <color indexed="64"/>
      </top>
      <bottom style="medium">
        <color rgb="FF000000"/>
      </bottom>
      <diagonal/>
    </border>
  </borders>
  <cellStyleXfs count="9">
    <xf numFmtId="0" fontId="0" fillId="0" borderId="0">
      <alignment vertical="center"/>
    </xf>
    <xf numFmtId="9" fontId="175" fillId="0" borderId="0">
      <alignment vertical="bottom"/>
      <protection locked="0" hidden="0"/>
    </xf>
    <xf numFmtId="173" fontId="176" fillId="0" borderId="0">
      <alignment vertical="bottom"/>
      <protection locked="0" hidden="0"/>
    </xf>
    <xf numFmtId="0" fontId="26" fillId="0" borderId="0">
      <alignment vertical="bottom"/>
      <protection locked="0" hidden="0"/>
    </xf>
    <xf numFmtId="0" fontId="26" fillId="0" borderId="0">
      <alignment vertical="bottom"/>
      <protection locked="0" hidden="0"/>
    </xf>
    <xf numFmtId="174" fontId="176" fillId="0" borderId="0">
      <alignment vertical="bottom"/>
      <protection locked="0" hidden="0"/>
    </xf>
    <xf numFmtId="175" fontId="26" fillId="0" borderId="0">
      <alignment vertical="bottom"/>
      <protection locked="0" hidden="0"/>
    </xf>
    <xf numFmtId="0" fontId="26" fillId="0" borderId="0">
      <alignment vertical="bottom"/>
      <protection locked="0" hidden="0"/>
    </xf>
    <xf numFmtId="175" fontId="26" fillId="0" borderId="0">
      <alignment vertical="bottom"/>
      <protection locked="0" hidden="0"/>
    </xf>
  </cellStyleXfs>
  <cellXfs count="1531">
    <xf numFmtId="0" fontId="0" fillId="0" borderId="0" xfId="0">
      <alignment vertical="center"/>
    </xf>
    <xf numFmtId="0" fontId="1" fillId="0" borderId="0" xfId="0" applyAlignment="1">
      <alignment horizontal="center" vertical="bottom"/>
    </xf>
    <xf numFmtId="0" fontId="1" fillId="0" borderId="0" xfId="0" applyAlignment="1">
      <alignment horizontal="center" vertical="top"/>
    </xf>
    <xf numFmtId="0" fontId="1" fillId="2" borderId="0" xfId="0" applyFill="1" applyAlignment="1">
      <alignment horizontal="center" vertical="bottom"/>
    </xf>
    <xf numFmtId="0" fontId="1" fillId="2" borderId="0" xfId="0" applyFill="1" applyAlignment="1">
      <alignment horizontal="center" vertical="top"/>
    </xf>
    <xf numFmtId="0" fontId="1" fillId="2" borderId="0" xfId="0" applyFill="1" applyAlignment="1">
      <alignment vertical="bottom"/>
    </xf>
    <xf numFmtId="0" fontId="2" fillId="3" borderId="1" xfId="0" applyFont="1" applyFill="1" applyBorder="1" applyAlignment="1">
      <alignment horizontal="center" vertical="bottom"/>
    </xf>
    <xf numFmtId="0" fontId="2" fillId="3" borderId="2" xfId="0" applyFont="1" applyFill="1" applyBorder="1" applyAlignment="1">
      <alignment horizontal="center" vertical="bottom"/>
    </xf>
    <xf numFmtId="0" fontId="2" fillId="3" borderId="3" xfId="0" applyFont="1" applyFill="1" applyBorder="1" applyAlignment="1">
      <alignment horizontal="center" vertical="bottom"/>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8" xfId="0" applyFont="1" applyFill="1" applyBorder="1" applyAlignment="1">
      <alignment horizontal="center" vertical="center"/>
    </xf>
    <xf numFmtId="0" fontId="4" fillId="4" borderId="9" xfId="0" applyFont="1" applyFill="1" applyBorder="1" applyAlignment="1">
      <alignment horizontal="center" vertical="center"/>
    </xf>
    <xf numFmtId="0" fontId="5" fillId="5" borderId="4" xfId="0" applyFont="1" applyFill="1" applyBorder="1" applyAlignment="1">
      <alignment horizontal="center" vertical="center"/>
    </xf>
    <xf numFmtId="0" fontId="6" fillId="5" borderId="10" xfId="0" applyFont="1" applyFill="1" applyBorder="1" applyAlignment="1">
      <alignment horizontal="left" vertical="center" indent="1"/>
    </xf>
    <xf numFmtId="0" fontId="6" fillId="5" borderId="8" xfId="0" applyFont="1" applyFill="1" applyBorder="1" applyAlignment="1">
      <alignment horizontal="left" vertical="center" indent="1"/>
    </xf>
    <xf numFmtId="0" fontId="6" fillId="5" borderId="9" xfId="0" applyFont="1" applyFill="1" applyBorder="1" applyAlignment="1">
      <alignment horizontal="left" vertical="center" indent="1"/>
    </xf>
    <xf numFmtId="0" fontId="5" fillId="5" borderId="11" xfId="0" applyFont="1" applyFill="1" applyBorder="1" applyAlignment="1">
      <alignment horizontal="center" vertical="center"/>
    </xf>
    <xf numFmtId="0" fontId="7" fillId="0" borderId="0" xfId="0" applyFont="1" applyAlignment="1">
      <alignment vertical="bottom"/>
    </xf>
    <xf numFmtId="0" fontId="7" fillId="2" borderId="0" xfId="0" applyFont="1" applyFill="1" applyAlignment="1">
      <alignment horizontal="center" vertical="bottom"/>
    </xf>
    <xf numFmtId="0" fontId="8" fillId="2" borderId="0" xfId="0" applyFont="1" applyFill="1" applyAlignment="1">
      <alignment vertical="bottom"/>
    </xf>
    <xf numFmtId="0" fontId="9" fillId="5" borderId="4" xfId="0" applyFont="1" applyFill="1" applyBorder="1" applyAlignment="1">
      <alignment horizontal="center" vertical="center"/>
    </xf>
    <xf numFmtId="0" fontId="10" fillId="2" borderId="0" xfId="0" applyFont="1" applyFill="1" applyAlignment="1">
      <alignment vertical="bottom"/>
    </xf>
    <xf numFmtId="0" fontId="11" fillId="5" borderId="10" xfId="0" applyFont="1" applyFill="1" applyBorder="1" applyAlignment="1">
      <alignment horizontal="left" vertical="center" wrapText="1" indent="1"/>
    </xf>
    <xf numFmtId="0" fontId="11" fillId="5" borderId="8" xfId="0" applyFont="1" applyFill="1" applyBorder="1" applyAlignment="1">
      <alignment horizontal="left" vertical="center" wrapText="1" indent="1"/>
    </xf>
    <xf numFmtId="0" fontId="11" fillId="5" borderId="9" xfId="0" applyFont="1" applyFill="1" applyBorder="1" applyAlignment="1">
      <alignment horizontal="left" vertical="center" wrapText="1" indent="1"/>
    </xf>
    <xf numFmtId="0" fontId="6" fillId="5" borderId="10" xfId="0" applyFont="1" applyFill="1" applyBorder="1" applyAlignment="1">
      <alignment horizontal="left" vertical="center" wrapText="1" indent="1"/>
    </xf>
    <xf numFmtId="0" fontId="6" fillId="5" borderId="8" xfId="0" applyFont="1" applyFill="1" applyBorder="1" applyAlignment="1">
      <alignment horizontal="left" vertical="center" wrapText="1" indent="1"/>
    </xf>
    <xf numFmtId="0" fontId="6" fillId="5" borderId="9" xfId="0" applyFont="1" applyFill="1" applyBorder="1" applyAlignment="1">
      <alignment horizontal="left" vertical="center" wrapText="1" indent="1"/>
    </xf>
    <xf numFmtId="0" fontId="4" fillId="4" borderId="12" xfId="0" applyFont="1" applyFill="1" applyBorder="1" applyAlignment="1">
      <alignment horizontal="center" vertical="center"/>
    </xf>
    <xf numFmtId="0" fontId="1" fillId="2" borderId="11" xfId="0" applyFill="1" applyBorder="1" applyAlignment="1">
      <alignment horizontal="center" vertical="bottom"/>
    </xf>
    <xf numFmtId="0" fontId="6" fillId="5" borderId="8" xfId="0" applyFont="1" applyFill="1" applyBorder="1" applyAlignment="1">
      <alignment horizontal="center" vertical="center"/>
    </xf>
    <xf numFmtId="0" fontId="6" fillId="5" borderId="9" xfId="0" applyFont="1" applyFill="1" applyBorder="1" applyAlignment="1">
      <alignment horizontal="center" vertical="center"/>
    </xf>
    <xf numFmtId="0" fontId="1" fillId="2" borderId="0" xfId="0" applyFill="1" applyBorder="1" applyAlignment="1">
      <alignment horizontal="center" vertical="bottom"/>
    </xf>
    <xf numFmtId="0" fontId="11" fillId="5" borderId="8" xfId="0" applyFont="1" applyFill="1" applyBorder="1" applyAlignment="1">
      <alignment horizontal="left" vertical="center" indent="1"/>
    </xf>
    <xf numFmtId="0" fontId="11" fillId="5" borderId="9" xfId="0" applyFont="1" applyFill="1" applyBorder="1" applyAlignment="1">
      <alignment horizontal="left" vertical="center" indent="1"/>
    </xf>
    <xf numFmtId="0" fontId="11" fillId="5" borderId="8" xfId="0" applyFont="1" applyFill="1" applyBorder="1" applyAlignment="1">
      <alignment horizontal="left" vertical="center" wrapText="1"/>
    </xf>
    <xf numFmtId="0" fontId="11" fillId="5" borderId="9" xfId="0" applyFont="1" applyFill="1" applyBorder="1" applyAlignment="1">
      <alignment horizontal="left" vertical="center" wrapText="1"/>
    </xf>
    <xf numFmtId="0" fontId="1" fillId="4" borderId="11" xfId="0" applyFill="1" applyBorder="1" applyAlignment="1">
      <alignment horizontal="center" vertical="top"/>
    </xf>
    <xf numFmtId="0" fontId="9" fillId="5" borderId="13" xfId="0" applyFont="1" applyFill="1" applyBorder="1" applyAlignment="1">
      <alignment horizontal="center" vertical="center"/>
    </xf>
    <xf numFmtId="0" fontId="6" fillId="5" borderId="14" xfId="0" applyFont="1" applyFill="1" applyBorder="1" applyAlignment="1">
      <alignment horizontal="left" vertical="center" indent="1"/>
    </xf>
    <xf numFmtId="0" fontId="6" fillId="5" borderId="15" xfId="0" applyFont="1" applyFill="1" applyBorder="1" applyAlignment="1">
      <alignment horizontal="left" vertical="bottom" wrapText="1" indent="1"/>
    </xf>
    <xf numFmtId="0" fontId="6" fillId="5" borderId="16" xfId="0" applyFont="1" applyFill="1" applyBorder="1" applyAlignment="1">
      <alignment horizontal="left" vertical="bottom" wrapText="1" indent="1"/>
    </xf>
    <xf numFmtId="0" fontId="9" fillId="5" borderId="17" xfId="0" applyFont="1" applyFill="1" applyBorder="1" applyAlignment="1">
      <alignment horizontal="center" vertical="center"/>
    </xf>
    <xf numFmtId="0" fontId="6" fillId="5" borderId="18" xfId="0" applyFont="1" applyFill="1" applyBorder="1" applyAlignment="1">
      <alignment horizontal="left" vertical="center" indent="1"/>
    </xf>
    <xf numFmtId="0" fontId="6" fillId="5" borderId="19" xfId="0" applyFont="1" applyFill="1" applyBorder="1" applyAlignment="1">
      <alignment horizontal="left" vertical="bottom" wrapText="1" indent="1"/>
    </xf>
    <xf numFmtId="0" fontId="6" fillId="5" borderId="20" xfId="0" applyFont="1" applyFill="1" applyBorder="1" applyAlignment="1">
      <alignment horizontal="left" vertical="bottom" wrapText="1" indent="1"/>
    </xf>
    <xf numFmtId="0" fontId="12" fillId="5" borderId="8" xfId="0" applyFont="1" applyFill="1" applyBorder="1" applyAlignment="1">
      <alignment horizontal="left" vertical="top" indent="1"/>
    </xf>
    <xf numFmtId="0" fontId="6" fillId="5" borderId="8" xfId="0" applyFont="1" applyFill="1" applyBorder="1" applyAlignment="1">
      <alignment horizontal="left" vertical="top" wrapText="1" indent="1"/>
    </xf>
    <xf numFmtId="0" fontId="6" fillId="5" borderId="9" xfId="0" applyFont="1" applyFill="1" applyBorder="1" applyAlignment="1">
      <alignment horizontal="left" vertical="top" wrapText="1" indent="1"/>
    </xf>
    <xf numFmtId="0" fontId="13" fillId="3" borderId="7" xfId="0" applyFont="1" applyFill="1" applyBorder="1" applyAlignment="1">
      <alignment horizontal="left" vertical="center" wrapText="1" indent="3"/>
    </xf>
    <xf numFmtId="0" fontId="13" fillId="3" borderId="8" xfId="0" applyFont="1" applyFill="1" applyBorder="1" applyAlignment="1">
      <alignment horizontal="left" vertical="center" wrapText="1" indent="3"/>
    </xf>
    <xf numFmtId="0" fontId="13" fillId="3" borderId="9" xfId="0" applyFont="1" applyFill="1" applyBorder="1" applyAlignment="1">
      <alignment horizontal="left" vertical="center" wrapText="1" indent="3"/>
    </xf>
    <xf numFmtId="2" fontId="14" fillId="4" borderId="21" xfId="0" applyNumberFormat="1" applyFont="1" applyFill="1" applyBorder="1" applyAlignment="1">
      <alignment horizontal="center" vertical="top" wrapText="1"/>
    </xf>
    <xf numFmtId="2" fontId="14" fillId="4" borderId="22" xfId="0" applyNumberFormat="1" applyFont="1" applyFill="1" applyBorder="1" applyAlignment="1">
      <alignment horizontal="center" vertical="top" wrapText="1"/>
    </xf>
    <xf numFmtId="2" fontId="14" fillId="4" borderId="23" xfId="0" applyNumberFormat="1" applyFont="1" applyFill="1" applyBorder="1" applyAlignment="1">
      <alignment horizontal="center" vertical="top" wrapText="1"/>
    </xf>
    <xf numFmtId="0" fontId="1" fillId="4" borderId="0" xfId="0" applyFill="1" applyAlignment="1">
      <alignment vertical="bottom"/>
    </xf>
    <xf numFmtId="0" fontId="15" fillId="3" borderId="0" xfId="0" applyFont="1" applyFill="1" applyAlignment="1">
      <alignment horizontal="center" vertical="center"/>
    </xf>
    <xf numFmtId="0" fontId="13" fillId="3" borderId="24" xfId="0" applyFont="1" applyFill="1" applyBorder="1" applyAlignment="1">
      <alignment horizontal="right" vertical="center" indent="1"/>
    </xf>
    <xf numFmtId="0" fontId="16" fillId="4" borderId="25" xfId="0" applyFont="1" applyFill="1" applyBorder="1" applyAlignment="1">
      <alignment horizontal="left" vertical="center" indent="1"/>
      <protection locked="0" hidden="0"/>
    </xf>
    <xf numFmtId="0" fontId="16" fillId="4" borderId="26" xfId="0" applyFont="1" applyFill="1" applyBorder="1" applyAlignment="1">
      <alignment horizontal="left" vertical="center" indent="1"/>
      <protection locked="0" hidden="0"/>
    </xf>
    <xf numFmtId="0" fontId="16" fillId="4" borderId="27" xfId="0" applyFont="1" applyFill="1" applyBorder="1" applyAlignment="1">
      <alignment horizontal="left" vertical="center" indent="1"/>
      <protection locked="0" hidden="0"/>
    </xf>
    <xf numFmtId="0" fontId="13" fillId="3" borderId="28" xfId="0" applyFont="1" applyFill="1" applyBorder="1" applyAlignment="1">
      <alignment horizontal="right" vertical="center" indent="1"/>
    </xf>
    <xf numFmtId="0" fontId="16" fillId="4" borderId="29" xfId="0" applyFont="1" applyFill="1" applyBorder="1" applyAlignment="1">
      <alignment horizontal="center" vertical="center"/>
      <protection locked="0" hidden="0"/>
    </xf>
    <xf numFmtId="0" fontId="13" fillId="3" borderId="30" xfId="0" applyFont="1" applyFill="1" applyBorder="1" applyAlignment="1">
      <alignment horizontal="right" vertical="center" indent="1"/>
    </xf>
    <xf numFmtId="0" fontId="16" fillId="4" borderId="31" xfId="0" applyFont="1" applyFill="1" applyBorder="1" applyAlignment="1">
      <alignment horizontal="left" vertical="center"/>
      <protection locked="0" hidden="0"/>
    </xf>
    <xf numFmtId="0" fontId="17" fillId="3" borderId="28" xfId="0" applyFont="1" applyFill="1" applyBorder="1" applyAlignment="1">
      <alignment horizontal="right" vertical="center" indent="1"/>
    </xf>
    <xf numFmtId="0" fontId="16" fillId="4" borderId="29" xfId="0" applyFont="1" applyFill="1" applyBorder="1" applyAlignment="1">
      <alignment horizontal="left" vertical="center"/>
      <protection locked="0" hidden="0"/>
    </xf>
    <xf numFmtId="0" fontId="18" fillId="3" borderId="30" xfId="0" applyFont="1" applyFill="1" applyBorder="1" applyAlignment="1">
      <alignment horizontal="right" vertical="center" indent="1"/>
    </xf>
    <xf numFmtId="0" fontId="4" fillId="4" borderId="31" xfId="0" applyFont="1" applyFill="1" applyBorder="1" applyAlignment="1">
      <alignment horizontal="left" vertical="center"/>
      <protection locked="0" hidden="0"/>
    </xf>
    <xf numFmtId="49" fontId="16" fillId="4" borderId="31" xfId="0" applyNumberFormat="1" applyFont="1" applyFill="1" applyBorder="1" applyAlignment="1">
      <alignment horizontal="left" vertical="center"/>
      <protection locked="0" hidden="0"/>
    </xf>
    <xf numFmtId="0" fontId="19" fillId="3" borderId="0" xfId="0" applyFont="1" applyFill="1" applyBorder="1" applyAlignment="1">
      <alignment horizontal="right" vertical="center" indent="1"/>
    </xf>
    <xf numFmtId="0" fontId="20" fillId="3" borderId="28" xfId="0" applyFont="1" applyFill="1" applyBorder="1" applyAlignment="1">
      <alignment horizontal="right" vertical="center" indent="1"/>
    </xf>
    <xf numFmtId="0" fontId="21" fillId="3" borderId="30" xfId="0" applyFont="1" applyFill="1" applyBorder="1" applyAlignment="1">
      <alignment horizontal="right" vertical="center" indent="1"/>
    </xf>
    <xf numFmtId="1" fontId="16" fillId="4" borderId="31" xfId="0" applyNumberFormat="1" applyFont="1" applyFill="1" applyBorder="1" applyAlignment="1">
      <alignment horizontal="left" vertical="center"/>
      <protection locked="0" hidden="0"/>
    </xf>
    <xf numFmtId="0" fontId="22" fillId="3" borderId="30" xfId="0" applyFont="1" applyFill="1" applyBorder="1" applyAlignment="1">
      <alignment horizontal="right" vertical="center" indent="1"/>
    </xf>
    <xf numFmtId="0" fontId="19" fillId="3" borderId="30" xfId="0" applyFont="1" applyFill="1" applyBorder="1" applyAlignment="1">
      <alignment horizontal="right" vertical="center" indent="1"/>
    </xf>
    <xf numFmtId="9" fontId="16" fillId="4" borderId="31" xfId="1" applyFont="1" applyFill="1" applyBorder="1" applyAlignment="1">
      <alignment horizontal="left" vertical="center"/>
      <protection locked="0" hidden="0"/>
    </xf>
    <xf numFmtId="164" fontId="16" fillId="4" borderId="31" xfId="0" applyNumberFormat="1" applyFont="1" applyFill="1" applyBorder="1" applyAlignment="1">
      <alignment horizontal="left" vertical="center"/>
      <protection locked="0" hidden="0"/>
    </xf>
    <xf numFmtId="0" fontId="16" fillId="4" borderId="31" xfId="0" applyNumberFormat="1" applyFont="1" applyFill="1" applyBorder="1" applyAlignment="1">
      <alignment horizontal="left" vertical="center"/>
      <protection locked="0" hidden="0"/>
    </xf>
    <xf numFmtId="0" fontId="23" fillId="3" borderId="28" xfId="0" applyFont="1" applyFill="1" applyBorder="1" applyAlignment="1">
      <alignment horizontal="right" vertical="center" indent="1"/>
    </xf>
    <xf numFmtId="165" fontId="16" fillId="4" borderId="29" xfId="0" applyNumberFormat="1" applyFont="1" applyFill="1" applyBorder="1" applyAlignment="1">
      <alignment horizontal="left" vertical="center"/>
      <protection locked="0" hidden="0"/>
    </xf>
    <xf numFmtId="166" fontId="16" fillId="4" borderId="31" xfId="2" applyNumberFormat="1" applyFont="1" applyFill="1" applyBorder="1" applyAlignment="1">
      <alignment horizontal="left" vertical="center"/>
      <protection locked="0" hidden="0"/>
    </xf>
    <xf numFmtId="0" fontId="18" fillId="3" borderId="28" xfId="0" applyFont="1" applyFill="1" applyBorder="1" applyAlignment="1">
      <alignment horizontal="right" vertical="center" indent="1"/>
    </xf>
    <xf numFmtId="0" fontId="19" fillId="3" borderId="30" xfId="0" applyFont="1" applyFill="1" applyBorder="1" applyAlignment="1" quotePrefix="1">
      <alignment horizontal="right" vertical="center" indent="1"/>
    </xf>
    <xf numFmtId="0" fontId="19" fillId="3" borderId="28" xfId="0" applyFont="1" applyFill="1" applyBorder="1" applyAlignment="1">
      <alignment horizontal="right" vertical="center" indent="1"/>
    </xf>
    <xf numFmtId="9" fontId="24" fillId="6" borderId="32" xfId="0" applyNumberFormat="1" applyFont="1" applyFill="1" applyBorder="1" applyAlignment="1">
      <alignment horizontal="left" vertical="center"/>
      <protection locked="1" hidden="1"/>
    </xf>
    <xf numFmtId="0" fontId="19" fillId="3" borderId="33" xfId="0" applyFont="1" applyFill="1" applyBorder="1" applyAlignment="1">
      <alignment horizontal="right" vertical="center" indent="1"/>
    </xf>
    <xf numFmtId="9" fontId="24" fillId="6" borderId="34" xfId="0" applyNumberFormat="1" applyFont="1" applyFill="1" applyBorder="1" applyAlignment="1">
      <alignment horizontal="left" vertical="center"/>
      <protection locked="1" hidden="1"/>
    </xf>
    <xf numFmtId="0" fontId="16" fillId="4" borderId="35" xfId="0" applyFont="1" applyFill="1" applyBorder="1" applyAlignment="1">
      <alignment horizontal="left" vertical="center"/>
      <protection locked="0" hidden="0"/>
    </xf>
    <xf numFmtId="0" fontId="13" fillId="3" borderId="30" xfId="0" applyFont="1" applyFill="1" applyBorder="1" applyAlignment="1">
      <alignment horizontal="right" vertical="center"/>
    </xf>
    <xf numFmtId="0" fontId="13" fillId="3" borderId="36" xfId="0" applyFont="1" applyFill="1" applyBorder="1" applyAlignment="1">
      <alignment vertical="bottom"/>
    </xf>
    <xf numFmtId="2" fontId="25" fillId="4" borderId="29" xfId="0" applyNumberFormat="1" applyFont="1" applyFill="1" applyBorder="1" applyAlignment="1">
      <alignment horizontal="center" vertical="center" wrapText="1"/>
    </xf>
    <xf numFmtId="2" fontId="25" fillId="4" borderId="37" xfId="0" applyNumberFormat="1" applyFont="1" applyFill="1" applyBorder="1" applyAlignment="1">
      <alignment horizontal="center" vertical="center" wrapText="1"/>
    </xf>
    <xf numFmtId="2" fontId="25" fillId="4" borderId="38" xfId="0" applyNumberFormat="1" applyFont="1" applyFill="1" applyBorder="1" applyAlignment="1">
      <alignment horizontal="center" vertical="center" wrapText="1"/>
    </xf>
    <xf numFmtId="2" fontId="25" fillId="4" borderId="0" xfId="0" applyNumberFormat="1" applyFont="1" applyFill="1" applyBorder="1" applyAlignment="1">
      <alignment horizontal="center" vertical="center"/>
    </xf>
    <xf numFmtId="2" fontId="25" fillId="6" borderId="0" xfId="0" applyNumberFormat="1" applyFont="1" applyFill="1" applyBorder="1" applyAlignment="1">
      <alignment horizontal="center" vertical="center"/>
    </xf>
    <xf numFmtId="0" fontId="26" fillId="7" borderId="0" xfId="0" applyFont="1" applyFill="1" applyAlignment="1">
      <alignment vertical="top"/>
    </xf>
    <xf numFmtId="0" fontId="26" fillId="0" borderId="0" xfId="0" applyFont="1" applyAlignment="1">
      <alignment vertical="top"/>
    </xf>
    <xf numFmtId="0" fontId="26" fillId="6" borderId="0" xfId="0" applyFont="1" applyFill="1" applyAlignment="1">
      <alignment vertical="top"/>
    </xf>
    <xf numFmtId="0" fontId="27" fillId="3" borderId="0" xfId="0" applyFont="1" applyFill="1" applyAlignment="1">
      <alignment horizontal="center" vertical="center"/>
    </xf>
    <xf numFmtId="0" fontId="28" fillId="0" borderId="0" xfId="0" applyFont="1" applyAlignment="1">
      <alignment horizontal="center" vertical="center"/>
    </xf>
    <xf numFmtId="0" fontId="29" fillId="8" borderId="0" xfId="0" applyFont="1" applyFill="1" applyAlignment="1">
      <alignment horizontal="center" vertical="center"/>
    </xf>
    <xf numFmtId="14" fontId="30" fillId="4" borderId="5" xfId="0" applyNumberFormat="1" applyFont="1" applyFill="1" applyBorder="1" applyAlignment="1">
      <alignment horizontal="left" vertical="center"/>
      <protection locked="0" hidden="0"/>
    </xf>
    <xf numFmtId="14" fontId="29" fillId="4" borderId="5" xfId="0" applyNumberFormat="1" applyFont="1" applyFill="1" applyBorder="1" applyAlignment="1">
      <alignment horizontal="center" vertical="center"/>
    </xf>
    <xf numFmtId="0" fontId="31" fillId="9" borderId="0" xfId="0" applyFont="1" applyFill="1" applyAlignment="1">
      <alignment horizontal="center" vertical="center" wrapText="1"/>
    </xf>
    <xf numFmtId="0" fontId="32" fillId="0" borderId="0" xfId="0" applyFont="1" applyAlignment="1">
      <alignment horizontal="center" vertical="top"/>
    </xf>
    <xf numFmtId="0" fontId="33" fillId="0" borderId="0" xfId="0" applyFont="1">
      <alignment vertical="center"/>
    </xf>
    <xf numFmtId="0" fontId="33" fillId="6" borderId="0" xfId="0" applyFont="1" applyFill="1">
      <alignment vertical="center"/>
    </xf>
    <xf numFmtId="0" fontId="34" fillId="0" borderId="0" xfId="0" applyFont="1" applyAlignment="1">
      <alignment horizontal="right" vertical="center"/>
    </xf>
    <xf numFmtId="0" fontId="35" fillId="0" borderId="0" xfId="0" applyFont="1" applyAlignment="1">
      <alignment horizontal="left" vertical="center"/>
    </xf>
    <xf numFmtId="0" fontId="34" fillId="0" borderId="0" xfId="0" applyFont="1" applyAlignment="1">
      <alignment horizontal="center" vertical="center"/>
    </xf>
    <xf numFmtId="0" fontId="36" fillId="0" borderId="0" xfId="0" applyFont="1" applyAlignment="1">
      <alignment horizontal="left" vertical="center"/>
    </xf>
    <xf numFmtId="0" fontId="34" fillId="0" borderId="0" xfId="0" applyFont="1" applyAlignment="1">
      <alignment horizontal="right" vertical="center"/>
    </xf>
    <xf numFmtId="1" fontId="36" fillId="0" borderId="0" xfId="0" applyNumberFormat="1" applyFont="1" applyAlignment="1">
      <alignment horizontal="left" vertical="center"/>
    </xf>
    <xf numFmtId="0" fontId="33" fillId="7" borderId="0" xfId="0" applyFont="1" applyFill="1">
      <alignment vertical="center"/>
    </xf>
    <xf numFmtId="0" fontId="36" fillId="0" borderId="0" xfId="0" applyFont="1" applyAlignment="1">
      <alignment horizontal="right" vertical="center"/>
    </xf>
    <xf numFmtId="0" fontId="36" fillId="0" borderId="39" xfId="0" applyFont="1" applyBorder="1" applyAlignment="1">
      <alignment horizontal="left" vertical="center"/>
    </xf>
    <xf numFmtId="0" fontId="36" fillId="0" borderId="39" xfId="0" applyFont="1" applyBorder="1" applyAlignment="1">
      <alignment horizontal="left" vertical="center" wrapText="1"/>
    </xf>
    <xf numFmtId="0" fontId="36" fillId="0" borderId="0" xfId="0" applyFont="1" applyAlignment="1">
      <alignment horizontal="center" vertical="center" wrapText="1"/>
    </xf>
    <xf numFmtId="0" fontId="34" fillId="0" borderId="39" xfId="0" applyFont="1" applyBorder="1" applyAlignment="1">
      <alignment horizontal="center" vertical="center"/>
    </xf>
    <xf numFmtId="0" fontId="36" fillId="0" borderId="39" xfId="0" applyFont="1" applyBorder="1" applyAlignment="1">
      <alignment horizontal="left" vertical="center"/>
    </xf>
    <xf numFmtId="0" fontId="34" fillId="0" borderId="39" xfId="0" applyFont="1" applyBorder="1" applyAlignment="1">
      <alignment horizontal="left" vertical="center"/>
    </xf>
    <xf numFmtId="1" fontId="36" fillId="0" borderId="39" xfId="0" applyNumberFormat="1" applyFont="1" applyBorder="1" applyAlignment="1">
      <alignment horizontal="left" vertical="center"/>
    </xf>
    <xf numFmtId="0" fontId="36" fillId="0" borderId="39" xfId="0" applyFont="1" applyBorder="1" applyAlignment="1">
      <alignment horizontal="center" vertical="center"/>
    </xf>
    <xf numFmtId="0" fontId="37" fillId="0" borderId="0" xfId="0" applyFont="1" applyAlignment="1">
      <alignment horizontal="center" vertical="bottom" wrapText="1" textRotation="90"/>
    </xf>
    <xf numFmtId="0" fontId="37" fillId="6" borderId="0" xfId="0" applyFont="1" applyFill="1" applyAlignment="1">
      <alignment horizontal="center" vertical="bottom" wrapText="1" textRotation="90"/>
    </xf>
    <xf numFmtId="0" fontId="16" fillId="5" borderId="40" xfId="0" applyFont="1" applyFill="1" applyBorder="1" applyAlignment="1">
      <alignment horizontal="center" vertical="center" wrapText="1" textRotation="90"/>
    </xf>
    <xf numFmtId="0" fontId="16" fillId="5" borderId="41" xfId="0" applyFont="1" applyFill="1" applyBorder="1" applyAlignment="1">
      <alignment horizontal="center" vertical="center" wrapText="1" textRotation="90"/>
    </xf>
    <xf numFmtId="0" fontId="16" fillId="5" borderId="40" xfId="0" applyFont="1" applyFill="1" applyBorder="1" applyAlignment="1">
      <alignment horizontal="center" vertical="center" wrapText="1" textRotation="90"/>
      <protection locked="0" hidden="0"/>
    </xf>
    <xf numFmtId="0" fontId="4" fillId="5" borderId="41" xfId="0" applyFont="1" applyFill="1" applyBorder="1" applyAlignment="1">
      <alignment horizontal="center" vertical="center" wrapText="1" textRotation="90"/>
    </xf>
    <xf numFmtId="0" fontId="4" fillId="5" borderId="41" xfId="0" applyFont="1" applyFill="1" applyBorder="1" applyAlignment="1">
      <alignment horizontal="center" vertical="center" wrapText="1" textRotation="90"/>
      <protection locked="0" hidden="0"/>
    </xf>
    <xf numFmtId="0" fontId="16" fillId="5" borderId="42" xfId="0" applyFont="1" applyFill="1" applyBorder="1" applyAlignment="1">
      <alignment horizontal="center" vertical="center" wrapText="1" textRotation="90"/>
    </xf>
    <xf numFmtId="0" fontId="4" fillId="7" borderId="0" xfId="0" applyFont="1" applyFill="1" applyAlignment="1">
      <alignment horizontal="center" vertical="bottom" wrapText="1" textRotation="90"/>
    </xf>
    <xf numFmtId="0" fontId="38" fillId="3" borderId="0" xfId="0" applyFont="1" applyFill="1" applyAlignment="1">
      <alignment horizontal="center" vertical="center" wrapText="1"/>
    </xf>
    <xf numFmtId="0" fontId="4" fillId="0" borderId="0" xfId="0" applyFont="1" applyAlignment="1">
      <alignment horizontal="center" vertical="bottom" wrapText="1" textRotation="90"/>
    </xf>
    <xf numFmtId="0" fontId="4" fillId="6" borderId="0" xfId="0" applyFont="1" applyFill="1" applyAlignment="1">
      <alignment horizontal="center" vertical="bottom" wrapText="1" textRotation="90"/>
    </xf>
    <xf numFmtId="0" fontId="11" fillId="0" borderId="0" xfId="0" applyFont="1">
      <alignment vertical="center"/>
    </xf>
    <xf numFmtId="0" fontId="11" fillId="6" borderId="0" xfId="0" applyFont="1" applyFill="1">
      <alignment vertical="center"/>
    </xf>
    <xf numFmtId="164" fontId="39" fillId="0" borderId="4" xfId="0" applyNumberFormat="1" applyFont="1" applyBorder="1" applyAlignment="1">
      <alignment horizontal="center" vertical="center"/>
    </xf>
    <xf numFmtId="1" fontId="40" fillId="0" borderId="5" xfId="0" applyNumberFormat="1" applyFont="1" applyBorder="1" applyAlignment="1">
      <alignment horizontal="center" vertical="center"/>
    </xf>
    <xf numFmtId="1" fontId="41" fillId="0" borderId="5" xfId="0" applyNumberFormat="1" applyFont="1" applyBorder="1" applyAlignment="1">
      <alignment horizontal="center" vertical="center"/>
    </xf>
    <xf numFmtId="1" fontId="11" fillId="0" borderId="5" xfId="0" applyNumberFormat="1" applyFont="1" applyBorder="1" applyAlignment="1">
      <alignment horizontal="center" vertical="center"/>
    </xf>
    <xf numFmtId="1" fontId="41" fillId="0" borderId="5" xfId="0" applyNumberFormat="1" applyFont="1" applyBorder="1" applyAlignment="1">
      <alignment horizontal="center" vertical="center"/>
      <protection locked="0" hidden="0"/>
    </xf>
    <xf numFmtId="1" fontId="42" fillId="0" borderId="5" xfId="0" applyNumberFormat="1" applyFont="1" applyBorder="1" applyAlignment="1">
      <alignment horizontal="center" vertical="center"/>
    </xf>
    <xf numFmtId="1" fontId="41" fillId="0" borderId="5" xfId="0" applyNumberFormat="1" applyFont="1" applyBorder="1">
      <alignment vertical="center"/>
      <protection locked="0" hidden="0"/>
    </xf>
    <xf numFmtId="1" fontId="43" fillId="0" borderId="5" xfId="0" applyNumberFormat="1" applyFont="1" applyBorder="1" applyAlignment="1">
      <alignment horizontal="center" vertical="center"/>
    </xf>
    <xf numFmtId="0" fontId="44" fillId="0" borderId="6" xfId="0" applyFont="1" applyBorder="1" applyAlignment="1">
      <alignment horizontal="center" vertical="center"/>
      <protection locked="0" hidden="0"/>
    </xf>
    <xf numFmtId="0" fontId="11" fillId="7" borderId="0" xfId="0" applyFont="1" applyFill="1">
      <alignment vertical="center"/>
    </xf>
    <xf numFmtId="0" fontId="45" fillId="4" borderId="0" xfId="0" applyFont="1" applyFill="1" applyAlignment="1">
      <alignment horizontal="center" vertical="center" wrapText="1"/>
    </xf>
    <xf numFmtId="164" fontId="46" fillId="0" borderId="5" xfId="0" applyNumberFormat="1" applyFont="1" applyBorder="1" applyAlignment="1">
      <alignment horizontal="left" vertical="center"/>
    </xf>
    <xf numFmtId="0" fontId="37" fillId="0" borderId="0" xfId="0" applyFont="1" applyAlignment="1">
      <alignment horizontal="center" vertical="center"/>
    </xf>
    <xf numFmtId="9" fontId="37" fillId="0" borderId="0" xfId="0" applyNumberFormat="1" applyFont="1" applyAlignment="1">
      <alignment horizontal="center" vertical="center"/>
    </xf>
    <xf numFmtId="1" fontId="11" fillId="0" borderId="0" xfId="0" applyNumberFormat="1" applyFont="1">
      <alignment vertical="center"/>
    </xf>
    <xf numFmtId="1" fontId="37" fillId="0" borderId="0" xfId="0" applyNumberFormat="1" applyFont="1" applyAlignment="1">
      <alignment horizontal="center" vertical="center"/>
    </xf>
    <xf numFmtId="0" fontId="47" fillId="3" borderId="0" xfId="0" applyFont="1" applyFill="1" applyAlignment="1">
      <alignment horizontal="center" vertical="center"/>
    </xf>
    <xf numFmtId="17" fontId="46" fillId="0" borderId="4" xfId="0" applyNumberFormat="1" applyFont="1" applyBorder="1" applyAlignment="1">
      <alignment horizontal="center" vertical="center" wrapText="1"/>
    </xf>
    <xf numFmtId="1" fontId="48" fillId="0" borderId="0" xfId="0" applyNumberFormat="1" applyFont="1">
      <alignment vertical="center"/>
    </xf>
    <xf numFmtId="0" fontId="11" fillId="0" borderId="5" xfId="0" applyFont="1" applyBorder="1">
      <alignment vertical="center"/>
    </xf>
    <xf numFmtId="1" fontId="11" fillId="0" borderId="5" xfId="0" applyNumberFormat="1" applyFont="1" applyBorder="1">
      <alignment vertical="center"/>
    </xf>
    <xf numFmtId="0" fontId="37" fillId="0" borderId="0" xfId="0" applyFont="1" applyAlignment="1">
      <alignment horizontal="center" vertical="center" textRotation="90"/>
    </xf>
    <xf numFmtId="0" fontId="37" fillId="6" borderId="0" xfId="0" applyFont="1" applyFill="1" applyAlignment="1">
      <alignment horizontal="center" vertical="center" textRotation="90"/>
    </xf>
    <xf numFmtId="0" fontId="49" fillId="8" borderId="43" xfId="0" applyFont="1" applyFill="1" applyBorder="1" applyAlignment="1">
      <alignment horizontal="center" vertical="center" textRotation="90"/>
    </xf>
    <xf numFmtId="3" fontId="4" fillId="8" borderId="44" xfId="0" applyNumberFormat="1" applyFont="1" applyFill="1" applyBorder="1" applyAlignment="1">
      <alignment horizontal="center" vertical="center" textRotation="90"/>
    </xf>
    <xf numFmtId="3" fontId="16" fillId="8" borderId="44" xfId="0" applyNumberFormat="1" applyFont="1" applyFill="1" applyBorder="1" applyAlignment="1">
      <alignment horizontal="center" vertical="center" textRotation="90"/>
    </xf>
    <xf numFmtId="3" fontId="30" fillId="8" borderId="44" xfId="0" applyNumberFormat="1" applyFont="1" applyFill="1" applyBorder="1" applyAlignment="1">
      <alignment horizontal="center" vertical="center" textRotation="90"/>
    </xf>
    <xf numFmtId="0" fontId="37" fillId="6" borderId="45" xfId="0" applyFont="1" applyFill="1" applyBorder="1" applyAlignment="1">
      <alignment horizontal="center" vertical="center" textRotation="90"/>
      <protection locked="0" hidden="0"/>
    </xf>
    <xf numFmtId="0" fontId="37" fillId="7" borderId="0" xfId="0" applyFont="1" applyFill="1" applyAlignment="1">
      <alignment horizontal="center" vertical="center" textRotation="90"/>
    </xf>
    <xf numFmtId="0" fontId="50" fillId="0" borderId="0" xfId="0" applyFont="1" applyAlignment="1">
      <alignment vertical="top" textRotation="90"/>
    </xf>
    <xf numFmtId="0" fontId="50" fillId="6" borderId="0" xfId="0" applyFont="1" applyFill="1" applyAlignment="1">
      <alignment vertical="top" textRotation="90"/>
    </xf>
    <xf numFmtId="0" fontId="50" fillId="7" borderId="0" xfId="0" applyFont="1" applyFill="1" applyAlignment="1">
      <alignment vertical="top" textRotation="90"/>
    </xf>
    <xf numFmtId="0" fontId="33" fillId="0" borderId="0" xfId="0" applyFont="1" applyAlignment="1">
      <alignment vertical="top"/>
    </xf>
    <xf numFmtId="0" fontId="33" fillId="6" borderId="0" xfId="0" applyFont="1" applyFill="1" applyAlignment="1">
      <alignment vertical="top"/>
    </xf>
    <xf numFmtId="0" fontId="51" fillId="0" borderId="0" xfId="0" applyFont="1" applyAlignment="1">
      <alignment vertical="top"/>
    </xf>
    <xf numFmtId="0" fontId="52" fillId="0" borderId="0" xfId="0" applyFont="1" applyAlignment="1">
      <alignment horizontal="center" vertical="top"/>
    </xf>
    <xf numFmtId="0" fontId="33" fillId="7" borderId="0" xfId="0" applyFont="1" applyFill="1" applyAlignment="1">
      <alignment vertical="top"/>
    </xf>
    <xf numFmtId="0" fontId="53" fillId="0" borderId="0" xfId="0" applyFont="1" applyAlignment="1">
      <alignment horizontal="center" vertical="center"/>
    </xf>
    <xf numFmtId="0" fontId="54" fillId="0" borderId="0" xfId="0" applyFont="1" applyAlignment="1">
      <alignment vertical="top"/>
    </xf>
    <xf numFmtId="0" fontId="55" fillId="0" borderId="0" xfId="0" applyFont="1" applyAlignment="1">
      <alignment horizontal="center" vertical="top"/>
    </xf>
    <xf numFmtId="14" fontId="54" fillId="0" borderId="0" xfId="0" applyNumberFormat="1" applyFont="1" applyAlignment="1">
      <alignment vertical="top"/>
    </xf>
    <xf numFmtId="0" fontId="56" fillId="0" borderId="0" xfId="0" applyFont="1" applyAlignment="1">
      <alignment horizontal="center" vertical="center"/>
    </xf>
    <xf numFmtId="2" fontId="57" fillId="0" borderId="0" xfId="0" applyNumberFormat="1" applyFont="1" applyAlignment="1">
      <alignment vertical="bottom"/>
    </xf>
    <xf numFmtId="2" fontId="57" fillId="0" borderId="0" xfId="0" applyNumberFormat="1" applyFont="1">
      <alignment vertical="center"/>
    </xf>
    <xf numFmtId="2" fontId="58" fillId="0" borderId="0" xfId="0" applyNumberFormat="1" applyFont="1" applyAlignment="1">
      <alignment vertical="bottom"/>
    </xf>
    <xf numFmtId="2" fontId="58" fillId="0" borderId="0" xfId="0" applyNumberFormat="1" applyFont="1" applyAlignment="1">
      <alignment horizontal="center" vertical="center"/>
    </xf>
    <xf numFmtId="2" fontId="59" fillId="10" borderId="10" xfId="0" applyNumberFormat="1" applyFont="1" applyFill="1" applyBorder="1" applyAlignment="1">
      <alignment horizontal="center" vertical="center"/>
    </xf>
    <xf numFmtId="2" fontId="59" fillId="10" borderId="8" xfId="0" applyNumberFormat="1" applyFont="1" applyFill="1" applyBorder="1" applyAlignment="1">
      <alignment horizontal="center" vertical="center"/>
    </xf>
    <xf numFmtId="2" fontId="59" fillId="10" borderId="46" xfId="0" applyNumberFormat="1" applyFont="1" applyFill="1" applyBorder="1" applyAlignment="1">
      <alignment horizontal="center" vertical="center"/>
    </xf>
    <xf numFmtId="2" fontId="57" fillId="5" borderId="0" xfId="0" applyNumberFormat="1" applyFont="1" applyFill="1" applyAlignment="1">
      <alignment vertical="bottom"/>
    </xf>
    <xf numFmtId="2" fontId="57" fillId="6" borderId="0" xfId="0" applyNumberFormat="1" applyFont="1" applyFill="1" applyAlignment="1">
      <alignment vertical="bottom"/>
    </xf>
    <xf numFmtId="2" fontId="58" fillId="6" borderId="0" xfId="0" applyNumberFormat="1" applyFont="1" applyFill="1" applyAlignment="1">
      <alignment vertical="bottom"/>
    </xf>
    <xf numFmtId="2" fontId="57" fillId="11" borderId="5" xfId="0" applyNumberFormat="1" applyFont="1" applyFill="1" applyBorder="1" applyAlignment="1">
      <alignment horizontal="center" vertical="center"/>
    </xf>
    <xf numFmtId="2" fontId="58" fillId="11" borderId="5" xfId="0" applyNumberFormat="1" applyFont="1" applyFill="1" applyBorder="1" applyAlignment="1">
      <alignment horizontal="center" vertical="center"/>
    </xf>
    <xf numFmtId="2" fontId="60" fillId="4" borderId="14" xfId="0" applyNumberFormat="1" applyFont="1" applyFill="1" applyBorder="1" applyAlignment="1">
      <alignment horizontal="center" vertical="center"/>
    </xf>
    <xf numFmtId="2" fontId="60" fillId="4" borderId="15" xfId="0" applyNumberFormat="1" applyFont="1" applyFill="1" applyBorder="1" applyAlignment="1">
      <alignment horizontal="center" vertical="center"/>
    </xf>
    <xf numFmtId="2" fontId="60" fillId="4" borderId="8" xfId="0" applyNumberFormat="1" applyFont="1" applyFill="1" applyBorder="1" applyAlignment="1">
      <alignment horizontal="center" vertical="center"/>
    </xf>
    <xf numFmtId="2" fontId="60" fillId="4" borderId="47" xfId="0" applyNumberFormat="1" applyFont="1" applyFill="1" applyBorder="1" applyAlignment="1">
      <alignment horizontal="center" vertical="center"/>
    </xf>
    <xf numFmtId="2" fontId="58" fillId="11" borderId="0" xfId="0" applyNumberFormat="1" applyFont="1" applyFill="1" applyAlignment="1">
      <alignment horizontal="center" vertical="center"/>
    </xf>
    <xf numFmtId="0" fontId="58" fillId="11" borderId="5" xfId="0" applyFont="1" applyFill="1" applyBorder="1" applyAlignment="1">
      <alignment horizontal="center" vertical="center"/>
    </xf>
    <xf numFmtId="1" fontId="58" fillId="11" borderId="5" xfId="0" applyNumberFormat="1" applyFont="1" applyFill="1" applyBorder="1" applyAlignment="1">
      <alignment horizontal="right" vertical="center"/>
    </xf>
    <xf numFmtId="2" fontId="61" fillId="3" borderId="48" xfId="0" applyNumberFormat="1" applyFont="1" applyFill="1" applyBorder="1" applyAlignment="1">
      <alignment horizontal="left" vertical="center" indent="1"/>
    </xf>
    <xf numFmtId="3" fontId="43" fillId="6" borderId="31" xfId="0" applyNumberFormat="1" applyFont="1" applyFill="1" applyBorder="1" applyAlignment="1">
      <alignment horizontal="center" vertical="center"/>
      <protection locked="0" hidden="0"/>
    </xf>
    <xf numFmtId="2" fontId="43" fillId="12" borderId="0" xfId="0" applyNumberFormat="1" applyFont="1" applyFill="1" applyAlignment="1">
      <alignment horizontal="left" vertical="bottom"/>
    </xf>
    <xf numFmtId="2" fontId="61" fillId="3" borderId="49" xfId="0" applyNumberFormat="1" applyFont="1" applyFill="1" applyBorder="1" applyAlignment="1">
      <alignment horizontal="left" vertical="center" indent="1"/>
    </xf>
    <xf numFmtId="1" fontId="62" fillId="0" borderId="50" xfId="0" applyNumberFormat="1" applyFont="1" applyBorder="1" applyAlignment="1">
      <alignment horizontal="center" vertical="center"/>
    </xf>
    <xf numFmtId="2" fontId="61" fillId="3" borderId="48" xfId="0" applyNumberFormat="1" applyFont="1" applyFill="1" applyBorder="1" applyAlignment="1">
      <alignment horizontal="left" vertical="center" wrapText="1" indent="1"/>
    </xf>
    <xf numFmtId="3" fontId="43" fillId="4" borderId="31" xfId="0" applyNumberFormat="1" applyFont="1" applyFill="1" applyBorder="1" applyAlignment="1">
      <alignment horizontal="center" vertical="center"/>
      <protection locked="0" hidden="0"/>
    </xf>
    <xf numFmtId="2" fontId="61" fillId="3" borderId="49" xfId="0" applyNumberFormat="1" applyFont="1" applyFill="1" applyBorder="1" applyAlignment="1">
      <alignment horizontal="left" vertical="center" wrapText="1" indent="1"/>
    </xf>
    <xf numFmtId="3" fontId="62" fillId="0" borderId="50" xfId="0" applyNumberFormat="1" applyFont="1" applyBorder="1" applyAlignment="1">
      <alignment horizontal="center" vertical="center"/>
    </xf>
    <xf numFmtId="1" fontId="58" fillId="11" borderId="5" xfId="0" applyNumberFormat="1" applyFont="1" applyFill="1" applyBorder="1" applyAlignment="1">
      <alignment vertical="bottom"/>
    </xf>
    <xf numFmtId="1" fontId="43" fillId="4" borderId="50" xfId="0" applyNumberFormat="1" applyFont="1" applyFill="1" applyBorder="1" applyAlignment="1">
      <alignment horizontal="center" vertical="center"/>
    </xf>
    <xf numFmtId="1" fontId="58" fillId="0" borderId="0" xfId="0" applyNumberFormat="1" applyFont="1" applyAlignment="1">
      <alignment horizontal="center" vertical="bottom"/>
    </xf>
    <xf numFmtId="3" fontId="63" fillId="0" borderId="50" xfId="0" applyNumberFormat="1" applyFont="1" applyBorder="1" applyAlignment="1">
      <alignment horizontal="center" vertical="center"/>
    </xf>
    <xf numFmtId="2" fontId="64" fillId="13" borderId="0" xfId="0" applyNumberFormat="1" applyFont="1" applyFill="1" applyAlignment="1">
      <alignment vertical="bottom"/>
    </xf>
    <xf numFmtId="3" fontId="30" fillId="0" borderId="50" xfId="0" applyNumberFormat="1" applyFont="1" applyBorder="1" applyAlignment="1">
      <alignment horizontal="center" vertical="center"/>
    </xf>
    <xf numFmtId="2" fontId="29" fillId="14" borderId="0" xfId="0" applyNumberFormat="1" applyFont="1" applyFill="1" applyAlignment="1">
      <alignment horizontal="left" vertical="bottom"/>
    </xf>
    <xf numFmtId="1" fontId="20" fillId="3" borderId="5" xfId="0" applyNumberFormat="1" applyFont="1" applyFill="1" applyBorder="1" applyAlignment="1">
      <alignment horizontal="center" vertical="bottom"/>
    </xf>
    <xf numFmtId="1" fontId="62" fillId="11" borderId="5" xfId="0" applyNumberFormat="1" applyFont="1" applyFill="1" applyBorder="1" applyAlignment="1">
      <alignment vertical="bottom"/>
    </xf>
    <xf numFmtId="2" fontId="58" fillId="15" borderId="5" xfId="0" applyNumberFormat="1" applyFont="1" applyFill="1" applyBorder="1" applyAlignment="1">
      <alignment vertical="bottom"/>
    </xf>
    <xf numFmtId="2" fontId="58" fillId="15" borderId="5" xfId="0" applyNumberFormat="1" applyFont="1" applyFill="1" applyBorder="1" applyAlignment="1">
      <alignment horizontal="center" vertical="bottom"/>
    </xf>
    <xf numFmtId="2" fontId="38" fillId="3" borderId="0" xfId="0" applyNumberFormat="1" applyFont="1" applyFill="1" applyAlignment="1">
      <alignment horizontal="left" vertical="bottom"/>
    </xf>
    <xf numFmtId="1" fontId="58" fillId="15" borderId="5" xfId="0" applyNumberFormat="1" applyFont="1" applyFill="1" applyBorder="1" applyAlignment="1">
      <alignment horizontal="center" vertical="bottom"/>
    </xf>
    <xf numFmtId="1" fontId="58" fillId="15" borderId="5" xfId="0" applyNumberFormat="1" applyFont="1" applyFill="1" applyBorder="1" applyAlignment="1">
      <alignment vertical="bottom"/>
    </xf>
    <xf numFmtId="2" fontId="4" fillId="5" borderId="0" xfId="0" applyNumberFormat="1" applyFont="1" applyFill="1" applyAlignment="1">
      <alignment horizontal="left" vertical="bottom"/>
    </xf>
    <xf numFmtId="1" fontId="58" fillId="0" borderId="0" xfId="0" applyNumberFormat="1" applyFont="1" applyAlignment="1">
      <alignment horizontal="right" vertical="bottom"/>
    </xf>
    <xf numFmtId="1" fontId="58" fillId="0" borderId="0" xfId="0" applyNumberFormat="1" applyFont="1" applyAlignment="1">
      <alignment horizontal="right" vertical="center"/>
    </xf>
    <xf numFmtId="1" fontId="63" fillId="0" borderId="50" xfId="0" applyNumberFormat="1" applyFont="1" applyBorder="1" applyAlignment="1">
      <alignment horizontal="center" vertical="center"/>
    </xf>
    <xf numFmtId="2" fontId="65" fillId="5" borderId="0" xfId="0" applyNumberFormat="1" applyFont="1" applyFill="1" applyAlignment="1">
      <alignment horizontal="left" vertical="bottom"/>
    </xf>
    <xf numFmtId="1" fontId="58" fillId="0" borderId="0" xfId="0" applyNumberFormat="1" applyFont="1" applyAlignment="1">
      <alignment vertical="bottom"/>
    </xf>
    <xf numFmtId="1" fontId="46" fillId="4" borderId="50" xfId="0" applyNumberFormat="1" applyFont="1" applyFill="1" applyBorder="1" applyAlignment="1">
      <alignment horizontal="center" vertical="center" wrapText="1"/>
    </xf>
    <xf numFmtId="3" fontId="45" fillId="16" borderId="50" xfId="0" applyNumberFormat="1" applyFont="1" applyFill="1" applyBorder="1" applyAlignment="1">
      <alignment horizontal="center" vertical="center"/>
    </xf>
    <xf numFmtId="1" fontId="13" fillId="3" borderId="50" xfId="0" applyNumberFormat="1" applyFont="1" applyFill="1" applyBorder="1" applyAlignment="1">
      <alignment horizontal="center" vertical="center" wrapText="1"/>
    </xf>
    <xf numFmtId="167" fontId="58" fillId="0" borderId="0" xfId="2" applyNumberFormat="1" applyFont="1" applyBorder="1" applyAlignment="1">
      <alignment vertical="bottom"/>
    </xf>
    <xf numFmtId="1" fontId="45" fillId="4" borderId="50" xfId="0" applyNumberFormat="1" applyFont="1" applyFill="1" applyBorder="1" applyAlignment="1">
      <alignment horizontal="center" vertical="center"/>
    </xf>
    <xf numFmtId="1" fontId="62" fillId="15" borderId="5" xfId="0" applyNumberFormat="1" applyFont="1" applyFill="1" applyBorder="1" applyAlignment="1">
      <alignment vertical="bottom"/>
    </xf>
    <xf numFmtId="0" fontId="58" fillId="0" borderId="0" xfId="0" applyFont="1" applyAlignment="1">
      <alignment horizontal="center" vertical="center"/>
    </xf>
    <xf numFmtId="2" fontId="66" fillId="6" borderId="51" xfId="0" applyNumberFormat="1" applyFont="1" applyFill="1" applyBorder="1" applyAlignment="1">
      <alignment horizontal="right" vertical="bottom" indent="1"/>
    </xf>
    <xf numFmtId="2" fontId="66" fillId="6" borderId="0" xfId="0" applyNumberFormat="1" applyFont="1" applyFill="1" applyBorder="1" applyAlignment="1">
      <alignment horizontal="right" vertical="bottom" indent="1"/>
    </xf>
    <xf numFmtId="2" fontId="66" fillId="6" borderId="15" xfId="0" applyNumberFormat="1" applyFont="1" applyFill="1" applyBorder="1" applyAlignment="1">
      <alignment horizontal="left" vertical="bottom"/>
    </xf>
    <xf numFmtId="4" fontId="66" fillId="6" borderId="15" xfId="0" applyNumberFormat="1" applyFont="1" applyFill="1" applyBorder="1" applyAlignment="1">
      <alignment horizontal="left" vertical="bottom" indent="2"/>
    </xf>
    <xf numFmtId="2" fontId="67" fillId="3" borderId="0" xfId="0" applyNumberFormat="1" applyFont="1" applyFill="1" applyBorder="1" applyAlignment="1">
      <alignment horizontal="center" vertical="center" wrapText="1"/>
    </xf>
    <xf numFmtId="2" fontId="67" fillId="3" borderId="52" xfId="0" applyNumberFormat="1" applyFont="1" applyFill="1" applyBorder="1" applyAlignment="1">
      <alignment horizontal="center" vertical="center" wrapText="1"/>
    </xf>
    <xf numFmtId="2" fontId="68" fillId="15" borderId="0" xfId="0" applyNumberFormat="1" applyFont="1" applyFill="1" applyAlignment="1">
      <alignment horizontal="left" vertical="center"/>
    </xf>
    <xf numFmtId="1" fontId="58" fillId="15" borderId="0" xfId="0" applyNumberFormat="1" applyFont="1" applyFill="1" applyAlignment="1">
      <alignment vertical="bottom"/>
    </xf>
    <xf numFmtId="2" fontId="58" fillId="15" borderId="0" xfId="0" applyNumberFormat="1" applyFont="1" applyFill="1" applyAlignment="1">
      <alignment vertical="bottom"/>
    </xf>
    <xf numFmtId="1" fontId="4" fillId="15" borderId="0" xfId="0" applyNumberFormat="1" applyFont="1" applyFill="1">
      <alignment vertical="center"/>
    </xf>
    <xf numFmtId="2" fontId="66" fillId="6" borderId="18" xfId="0" applyNumberFormat="1" applyFont="1" applyFill="1" applyBorder="1" applyAlignment="1">
      <alignment horizontal="right" vertical="bottom" indent="1"/>
    </xf>
    <xf numFmtId="2" fontId="66" fillId="6" borderId="19" xfId="0" applyNumberFormat="1" applyFont="1" applyFill="1" applyBorder="1" applyAlignment="1">
      <alignment horizontal="right" vertical="bottom" indent="1"/>
    </xf>
    <xf numFmtId="2" fontId="66" fillId="6" borderId="19" xfId="0" applyNumberFormat="1" applyFont="1" applyFill="1" applyBorder="1" applyAlignment="1">
      <alignment horizontal="left" vertical="bottom"/>
    </xf>
    <xf numFmtId="2" fontId="66" fillId="6" borderId="19" xfId="0" applyNumberFormat="1" applyFont="1" applyFill="1" applyBorder="1" applyAlignment="1">
      <alignment horizontal="left" vertical="bottom" indent="2"/>
    </xf>
    <xf numFmtId="2" fontId="69" fillId="6" borderId="0" xfId="0" applyNumberFormat="1" applyFont="1" applyFill="1" applyAlignment="1">
      <alignment horizontal="center" vertical="center" wrapText="1"/>
    </xf>
    <xf numFmtId="2" fontId="70" fillId="6" borderId="10" xfId="0" applyNumberFormat="1" applyFont="1" applyFill="1" applyBorder="1" applyAlignment="1">
      <alignment horizontal="center" vertical="center" wrapText="1"/>
    </xf>
    <xf numFmtId="2" fontId="70" fillId="6" borderId="8" xfId="0" applyNumberFormat="1" applyFont="1" applyFill="1" applyBorder="1" applyAlignment="1">
      <alignment horizontal="center" vertical="center" wrapText="1"/>
    </xf>
    <xf numFmtId="2" fontId="70" fillId="6" borderId="46" xfId="0" applyNumberFormat="1" applyFont="1" applyFill="1" applyBorder="1" applyAlignment="1">
      <alignment horizontal="center" vertical="center" wrapText="1"/>
    </xf>
    <xf numFmtId="2" fontId="71" fillId="17" borderId="10" xfId="0" applyNumberFormat="1" applyFont="1" applyFill="1" applyBorder="1" applyAlignment="1">
      <alignment horizontal="center" vertical="center"/>
    </xf>
    <xf numFmtId="2" fontId="71" fillId="17" borderId="8" xfId="0" applyNumberFormat="1" applyFont="1" applyFill="1" applyBorder="1" applyAlignment="1">
      <alignment horizontal="center" vertical="center"/>
    </xf>
    <xf numFmtId="2" fontId="72" fillId="6" borderId="8" xfId="0" applyNumberFormat="1" applyFont="1" applyFill="1" applyBorder="1" applyAlignment="1">
      <alignment horizontal="center" vertical="center"/>
    </xf>
    <xf numFmtId="2" fontId="71" fillId="17" borderId="46" xfId="0" applyNumberFormat="1" applyFont="1" applyFill="1" applyBorder="1" applyAlignment="1">
      <alignment horizontal="left" vertical="center"/>
    </xf>
    <xf numFmtId="2" fontId="71" fillId="17" borderId="10" xfId="0" applyNumberFormat="1" applyFont="1" applyFill="1" applyBorder="1" applyAlignment="1">
      <alignment horizontal="center" vertical="center" wrapText="1"/>
    </xf>
    <xf numFmtId="2" fontId="71" fillId="17" borderId="8" xfId="0" applyNumberFormat="1" applyFont="1" applyFill="1" applyBorder="1" applyAlignment="1">
      <alignment horizontal="center" vertical="center" wrapText="1"/>
    </xf>
    <xf numFmtId="2" fontId="67" fillId="3" borderId="19" xfId="0" applyNumberFormat="1" applyFont="1" applyFill="1" applyBorder="1" applyAlignment="1">
      <alignment horizontal="center" vertical="center" wrapText="1"/>
    </xf>
    <xf numFmtId="2" fontId="67" fillId="3" borderId="53" xfId="0" applyNumberFormat="1" applyFont="1" applyFill="1" applyBorder="1" applyAlignment="1">
      <alignment horizontal="center" vertical="center" wrapText="1"/>
    </xf>
    <xf numFmtId="2" fontId="73" fillId="18" borderId="10" xfId="0" applyNumberFormat="1" applyFont="1" applyFill="1" applyBorder="1" applyAlignment="1">
      <alignment horizontal="center" vertical="center" wrapText="1"/>
    </xf>
    <xf numFmtId="2" fontId="73" fillId="18" borderId="8" xfId="0" applyNumberFormat="1" applyFont="1" applyFill="1" applyBorder="1" applyAlignment="1">
      <alignment horizontal="center" vertical="center" wrapText="1"/>
    </xf>
    <xf numFmtId="2" fontId="73" fillId="18" borderId="46" xfId="0" applyNumberFormat="1" applyFont="1" applyFill="1" applyBorder="1" applyAlignment="1">
      <alignment horizontal="center" vertical="center" wrapText="1"/>
    </xf>
    <xf numFmtId="2" fontId="73" fillId="6" borderId="14" xfId="0" applyNumberFormat="1" applyFont="1" applyFill="1" applyBorder="1">
      <alignment vertical="center"/>
    </xf>
    <xf numFmtId="2" fontId="73" fillId="6" borderId="47" xfId="0" applyNumberFormat="1" applyFont="1" applyFill="1" applyBorder="1">
      <alignment vertical="center"/>
    </xf>
    <xf numFmtId="2" fontId="65" fillId="19" borderId="54" xfId="0" applyNumberFormat="1" applyFont="1" applyFill="1" applyBorder="1" applyAlignment="1">
      <alignment horizontal="right" vertical="bottom" indent="1"/>
    </xf>
    <xf numFmtId="2" fontId="57" fillId="19" borderId="0" xfId="0" applyNumberFormat="1" applyFont="1" applyFill="1" applyAlignment="1">
      <alignment vertical="bottom"/>
    </xf>
    <xf numFmtId="166" fontId="65" fillId="19" borderId="54" xfId="0" applyNumberFormat="1" applyFont="1" applyFill="1" applyBorder="1" applyAlignment="1">
      <alignment horizontal="left" vertical="center" indent="1"/>
    </xf>
    <xf numFmtId="2" fontId="73" fillId="6" borderId="51" xfId="0" applyNumberFormat="1" applyFont="1" applyFill="1" applyBorder="1">
      <alignment vertical="center"/>
    </xf>
    <xf numFmtId="2" fontId="73" fillId="6" borderId="52" xfId="0" applyNumberFormat="1" applyFont="1" applyFill="1" applyBorder="1">
      <alignment vertical="center"/>
    </xf>
    <xf numFmtId="167" fontId="74" fillId="0" borderId="0" xfId="2" applyNumberFormat="1" applyFont="1" applyBorder="1" applyAlignment="1">
      <alignment vertical="bottom"/>
    </xf>
    <xf numFmtId="166" fontId="65" fillId="19" borderId="5" xfId="0" applyNumberFormat="1" applyFont="1" applyFill="1" applyBorder="1" applyAlignment="1">
      <alignment horizontal="left" vertical="center" indent="1"/>
    </xf>
    <xf numFmtId="166" fontId="45" fillId="4" borderId="5" xfId="0" applyNumberFormat="1" applyFont="1" applyFill="1" applyBorder="1" applyAlignment="1">
      <alignment horizontal="left" vertical="center" indent="1"/>
      <protection locked="0" hidden="0"/>
    </xf>
    <xf numFmtId="2" fontId="75" fillId="6" borderId="51" xfId="0" applyNumberFormat="1" applyFont="1" applyFill="1" applyBorder="1">
      <alignment vertical="center"/>
    </xf>
    <xf numFmtId="2" fontId="75" fillId="6" borderId="52" xfId="0" applyNumberFormat="1" applyFont="1" applyFill="1" applyBorder="1">
      <alignment vertical="center"/>
    </xf>
    <xf numFmtId="3" fontId="74" fillId="0" borderId="0" xfId="2" applyNumberFormat="1" applyFont="1" applyBorder="1" applyAlignment="1">
      <alignment vertical="bottom"/>
    </xf>
    <xf numFmtId="2" fontId="73" fillId="20" borderId="10" xfId="0" applyNumberFormat="1" applyFont="1" applyFill="1" applyBorder="1" applyAlignment="1">
      <alignment horizontal="center" vertical="center"/>
    </xf>
    <xf numFmtId="2" fontId="73" fillId="20" borderId="8" xfId="0" applyNumberFormat="1" applyFont="1" applyFill="1" applyBorder="1" applyAlignment="1">
      <alignment horizontal="center" vertical="center"/>
    </xf>
    <xf numFmtId="2" fontId="57" fillId="20" borderId="0" xfId="0" applyNumberFormat="1" applyFont="1" applyFill="1" applyAlignment="1">
      <alignment vertical="bottom"/>
    </xf>
    <xf numFmtId="2" fontId="73" fillId="20" borderId="14" xfId="0" applyNumberFormat="1" applyFont="1" applyFill="1" applyBorder="1">
      <alignment vertical="center"/>
    </xf>
    <xf numFmtId="166" fontId="76" fillId="19" borderId="5" xfId="0" applyNumberFormat="1" applyFont="1" applyFill="1" applyBorder="1" applyAlignment="1">
      <alignment horizontal="left" vertical="center" indent="1"/>
    </xf>
    <xf numFmtId="2" fontId="45" fillId="21" borderId="5" xfId="0" applyNumberFormat="1" applyFont="1" applyFill="1" applyBorder="1" applyAlignment="1">
      <alignment horizontal="right" vertical="bottom" indent="1"/>
    </xf>
    <xf numFmtId="2" fontId="77" fillId="21" borderId="0" xfId="0" applyNumberFormat="1" applyFont="1" applyFill="1" applyAlignment="1">
      <alignment vertical="bottom"/>
    </xf>
    <xf numFmtId="166" fontId="45" fillId="21" borderId="5" xfId="0" applyNumberFormat="1" applyFont="1" applyFill="1" applyBorder="1" applyAlignment="1">
      <alignment horizontal="left" vertical="center" indent="1"/>
    </xf>
    <xf numFmtId="2" fontId="78" fillId="21" borderId="0" xfId="0" applyNumberFormat="1" applyFont="1" applyFill="1" applyAlignment="1">
      <alignment vertical="bottom"/>
    </xf>
    <xf numFmtId="2" fontId="75" fillId="6" borderId="18" xfId="0" applyNumberFormat="1" applyFont="1" applyFill="1" applyBorder="1">
      <alignment vertical="center"/>
    </xf>
    <xf numFmtId="2" fontId="75" fillId="6" borderId="53" xfId="0" applyNumberFormat="1" applyFont="1" applyFill="1" applyBorder="1">
      <alignment vertical="center"/>
    </xf>
    <xf numFmtId="2" fontId="29" fillId="17" borderId="0" xfId="0" applyNumberFormat="1" applyFont="1" applyFill="1" applyBorder="1" applyAlignment="1">
      <alignment horizontal="center" vertical="center" wrapText="1"/>
    </xf>
    <xf numFmtId="2" fontId="79" fillId="12" borderId="55" xfId="0" applyNumberFormat="1" applyFont="1" applyFill="1" applyBorder="1" applyAlignment="1">
      <alignment horizontal="center" vertical="center"/>
    </xf>
    <xf numFmtId="2" fontId="80" fillId="6" borderId="31" xfId="0" applyNumberFormat="1" applyFont="1" applyFill="1" applyBorder="1" applyAlignment="1">
      <alignment horizontal="center" vertical="center" wrapText="1"/>
    </xf>
    <xf numFmtId="0" fontId="81" fillId="22" borderId="56" xfId="0" applyFont="1" applyFill="1" applyBorder="1" applyAlignment="1">
      <alignment horizontal="center" vertical="center" wrapText="1"/>
    </xf>
    <xf numFmtId="0" fontId="81" fillId="22" borderId="57" xfId="0" applyFont="1" applyFill="1" applyBorder="1" applyAlignment="1">
      <alignment horizontal="center" vertical="center" wrapText="1"/>
    </xf>
    <xf numFmtId="0" fontId="81" fillId="22" borderId="58" xfId="0" applyFont="1" applyFill="1" applyBorder="1" applyAlignment="1">
      <alignment horizontal="center" vertical="center" wrapText="1"/>
    </xf>
    <xf numFmtId="0" fontId="82" fillId="22" borderId="59" xfId="0" applyFont="1" applyFill="1" applyBorder="1" applyAlignment="1">
      <alignment horizontal="center" vertical="center" wrapText="1"/>
    </xf>
    <xf numFmtId="0" fontId="60" fillId="22" borderId="60" xfId="0" applyFont="1" applyFill="1" applyBorder="1" applyAlignment="1">
      <alignment horizontal="center" vertical="center" wrapText="1"/>
    </xf>
    <xf numFmtId="2" fontId="37" fillId="6" borderId="31" xfId="0" applyNumberFormat="1" applyFont="1" applyFill="1" applyBorder="1" applyAlignment="1">
      <alignment horizontal="left" vertical="center"/>
    </xf>
    <xf numFmtId="1" fontId="4" fillId="6" borderId="31" xfId="0" applyNumberFormat="1" applyFont="1" applyFill="1" applyBorder="1" applyAlignment="1">
      <alignment horizontal="center" vertical="center"/>
      <protection locked="0" hidden="0"/>
    </xf>
    <xf numFmtId="14" fontId="37" fillId="6" borderId="61" xfId="0" applyNumberFormat="1" applyFont="1" applyFill="1" applyBorder="1" applyAlignment="1">
      <alignment horizontal="center" vertical="center" wrapText="1"/>
      <protection locked="0" hidden="0"/>
    </xf>
    <xf numFmtId="0" fontId="37" fillId="6" borderId="31" xfId="0" applyNumberFormat="1" applyFont="1" applyFill="1" applyBorder="1" applyAlignment="1">
      <alignment horizontal="left" vertical="center"/>
      <protection locked="0" hidden="0"/>
    </xf>
    <xf numFmtId="14" fontId="37" fillId="6" borderId="31" xfId="0" applyNumberFormat="1" applyFont="1" applyFill="1" applyBorder="1" applyAlignment="1">
      <alignment horizontal="center" vertical="center" wrapText="1"/>
      <protection locked="0" hidden="0"/>
    </xf>
    <xf numFmtId="2" fontId="25" fillId="4" borderId="62" xfId="0" applyNumberFormat="1" applyFont="1" applyFill="1" applyBorder="1" applyAlignment="1">
      <alignment horizontal="center" vertical="center" wrapText="1"/>
    </xf>
    <xf numFmtId="2" fontId="25" fillId="4" borderId="63" xfId="0" applyNumberFormat="1" applyFont="1" applyFill="1" applyBorder="1" applyAlignment="1">
      <alignment horizontal="center" vertical="center"/>
    </xf>
    <xf numFmtId="0" fontId="1" fillId="0" borderId="0" xfId="0" applyAlignment="1">
      <alignment vertical="bottom"/>
      <protection locked="1" hidden="1"/>
    </xf>
    <xf numFmtId="0" fontId="1" fillId="23" borderId="0" xfId="0" applyFill="1" applyAlignment="1">
      <alignment vertical="bottom"/>
      <protection locked="1" hidden="1"/>
    </xf>
    <xf numFmtId="0" fontId="83" fillId="4" borderId="31" xfId="0" applyFont="1" applyFill="1" applyBorder="1" applyAlignment="1">
      <alignment horizontal="center" vertical="center"/>
      <protection locked="1" hidden="1"/>
    </xf>
    <xf numFmtId="0" fontId="83" fillId="23" borderId="0" xfId="0" applyFont="1" applyFill="1" applyBorder="1" applyAlignment="1">
      <alignment horizontal="center" vertical="center"/>
      <protection locked="1" hidden="1"/>
    </xf>
    <xf numFmtId="0" fontId="84" fillId="3" borderId="31" xfId="0" applyFont="1" applyFill="1" applyBorder="1" applyAlignment="1">
      <alignment horizontal="center" vertical="center"/>
      <protection locked="1" hidden="1"/>
    </xf>
    <xf numFmtId="0" fontId="84" fillId="23" borderId="0" xfId="0" applyFont="1" applyFill="1" applyBorder="1" applyAlignment="1">
      <alignment horizontal="center" vertical="center"/>
      <protection locked="1" hidden="1"/>
    </xf>
    <xf numFmtId="0" fontId="85" fillId="18" borderId="31" xfId="0" applyFont="1" applyFill="1" applyBorder="1" applyAlignment="1">
      <alignment horizontal="center" vertical="center"/>
      <protection locked="1" hidden="1"/>
    </xf>
    <xf numFmtId="0" fontId="86" fillId="18" borderId="31" xfId="0" applyFont="1" applyFill="1" applyBorder="1" applyAlignment="1">
      <alignment horizontal="center" vertical="center"/>
      <protection locked="1" hidden="1"/>
    </xf>
    <xf numFmtId="0" fontId="87" fillId="18" borderId="31" xfId="0" applyFont="1" applyFill="1" applyBorder="1" applyAlignment="1">
      <alignment horizontal="center" vertical="center" wrapText="1"/>
      <protection locked="1" hidden="1"/>
    </xf>
    <xf numFmtId="0" fontId="87" fillId="18" borderId="31" xfId="0" applyFont="1" applyFill="1" applyBorder="1" applyAlignment="1">
      <alignment horizontal="center" vertical="center"/>
      <protection locked="1" hidden="1"/>
    </xf>
    <xf numFmtId="0" fontId="9" fillId="24" borderId="31" xfId="0" applyFont="1" applyFill="1" applyBorder="1" applyAlignment="1">
      <alignment horizontal="center" vertical="center"/>
      <protection locked="1" hidden="1"/>
    </xf>
    <xf numFmtId="0" fontId="88" fillId="16" borderId="31" xfId="0" applyFont="1" applyFill="1" applyBorder="1" applyAlignment="1">
      <alignment horizontal="left" vertical="bottom" wrapText="1"/>
      <protection locked="1" hidden="1"/>
    </xf>
    <xf numFmtId="0" fontId="89" fillId="23" borderId="0" xfId="0" applyFont="1" applyFill="1" applyBorder="1" applyAlignment="1">
      <alignment horizontal="left" vertical="bottom" wrapText="1"/>
      <protection locked="1" hidden="1"/>
    </xf>
    <xf numFmtId="49" fontId="90" fillId="18" borderId="31" xfId="0" applyNumberFormat="1" applyFont="1" applyFill="1" applyBorder="1" applyAlignment="1">
      <alignment horizontal="center" vertical="center"/>
      <protection locked="1" hidden="1"/>
    </xf>
    <xf numFmtId="0" fontId="90" fillId="4" borderId="31" xfId="0" applyFont="1" applyFill="1" applyBorder="1" applyAlignment="1">
      <alignment horizontal="center" vertical="center"/>
      <protection locked="0" hidden="0"/>
    </xf>
    <xf numFmtId="0" fontId="90" fillId="18" borderId="31" xfId="0" applyFont="1" applyFill="1" applyBorder="1" applyAlignment="1">
      <alignment horizontal="center" vertical="center"/>
      <protection locked="1" hidden="1"/>
    </xf>
    <xf numFmtId="0" fontId="19" fillId="3" borderId="31" xfId="0" applyFont="1" applyFill="1" applyBorder="1" applyAlignment="1">
      <alignment horizontal="center" vertical="center" wrapText="1"/>
      <protection locked="1" hidden="1"/>
    </xf>
    <xf numFmtId="0" fontId="19" fillId="23" borderId="0" xfId="0" applyFont="1" applyFill="1" applyBorder="1" applyAlignment="1">
      <alignment horizontal="center" vertical="center" wrapText="1"/>
      <protection locked="1" hidden="1"/>
    </xf>
    <xf numFmtId="0" fontId="9" fillId="23" borderId="0" xfId="0" applyFont="1" applyFill="1" applyBorder="1" applyAlignment="1">
      <alignment horizontal="center" vertical="center"/>
      <protection locked="1" hidden="1"/>
    </xf>
    <xf numFmtId="0" fontId="4" fillId="18" borderId="31" xfId="0" applyFont="1" applyFill="1" applyBorder="1" applyAlignment="1">
      <alignment horizontal="right" vertical="center"/>
      <protection locked="1" hidden="1"/>
    </xf>
    <xf numFmtId="1" fontId="71" fillId="4" borderId="31" xfId="0" applyNumberFormat="1" applyFont="1" applyFill="1" applyBorder="1" applyAlignment="1">
      <alignment horizontal="center" vertical="center"/>
      <protection locked="0" hidden="0"/>
    </xf>
    <xf numFmtId="0" fontId="44" fillId="23" borderId="0" xfId="0" applyFont="1" applyFill="1" applyBorder="1" applyAlignment="1">
      <alignment horizontal="center" vertical="center"/>
      <protection locked="1" hidden="1"/>
    </xf>
    <xf numFmtId="0" fontId="91" fillId="0" borderId="0" xfId="0" applyFont="1" applyAlignment="1">
      <alignment vertical="bottom"/>
      <protection locked="1" hidden="1"/>
    </xf>
    <xf numFmtId="1" fontId="71" fillId="18" borderId="31" xfId="0" applyNumberFormat="1" applyFont="1" applyFill="1" applyBorder="1" applyAlignment="1">
      <alignment horizontal="center" vertical="bottom"/>
      <protection locked="1" hidden="1"/>
    </xf>
    <xf numFmtId="0" fontId="92" fillId="3" borderId="31" xfId="0" applyFont="1" applyFill="1" applyBorder="1" applyAlignment="1">
      <alignment horizontal="center" vertical="center"/>
      <protection locked="1" hidden="1"/>
    </xf>
    <xf numFmtId="3" fontId="4" fillId="18" borderId="31" xfId="0" applyNumberFormat="1" applyFont="1" applyFill="1" applyBorder="1" applyAlignment="1">
      <alignment horizontal="center" vertical="center"/>
      <protection locked="1" hidden="1"/>
    </xf>
    <xf numFmtId="0" fontId="4" fillId="18" borderId="31" xfId="0" applyFont="1" applyFill="1" applyBorder="1" applyAlignment="1">
      <alignment horizontal="center" vertical="center"/>
      <protection locked="1" hidden="1"/>
    </xf>
    <xf numFmtId="0" fontId="93" fillId="0" borderId="0" xfId="0" applyFont="1" applyBorder="1" applyAlignment="1">
      <alignment horizontal="center" vertical="center"/>
      <protection locked="1" hidden="1"/>
    </xf>
    <xf numFmtId="0" fontId="94" fillId="23" borderId="0" xfId="0" applyFont="1" applyFill="1" applyBorder="1" applyAlignment="1">
      <alignment vertical="center" wrapText="1"/>
      <protection locked="1" hidden="1"/>
    </xf>
    <xf numFmtId="0" fontId="4" fillId="18" borderId="31" xfId="0" applyFont="1" applyFill="1" applyBorder="1" applyAlignment="1">
      <alignment horizontal="center" vertical="center" wrapText="1"/>
      <protection locked="1" hidden="1"/>
    </xf>
    <xf numFmtId="0" fontId="90" fillId="18" borderId="31" xfId="0" applyFont="1" applyFill="1" applyBorder="1" applyAlignment="1">
      <alignment horizontal="center" vertical="center"/>
    </xf>
    <xf numFmtId="1" fontId="90" fillId="18" borderId="31" xfId="0" applyNumberFormat="1" applyFont="1" applyFill="1" applyBorder="1" applyAlignment="1">
      <alignment horizontal="center" vertical="center"/>
      <protection locked="1" hidden="1"/>
    </xf>
    <xf numFmtId="0" fontId="95" fillId="18" borderId="31" xfId="0" applyFont="1" applyFill="1" applyBorder="1" applyAlignment="1">
      <alignment horizontal="center" vertical="center" wrapText="1"/>
      <protection locked="1" hidden="1"/>
    </xf>
    <xf numFmtId="0" fontId="4" fillId="6" borderId="31" xfId="0" applyFont="1" applyFill="1" applyBorder="1" applyAlignment="1">
      <alignment horizontal="right" vertical="center"/>
      <protection locked="1" hidden="1"/>
    </xf>
    <xf numFmtId="0" fontId="4" fillId="4" borderId="31" xfId="0" applyFont="1" applyFill="1" applyBorder="1" applyAlignment="1">
      <alignment horizontal="center" vertical="center"/>
      <protection locked="0" hidden="0"/>
    </xf>
    <xf numFmtId="0" fontId="96" fillId="23" borderId="0" xfId="0" applyFont="1" applyFill="1" applyBorder="1" applyAlignment="1">
      <alignment horizontal="left" vertical="center"/>
      <protection locked="1" hidden="1"/>
    </xf>
    <xf numFmtId="49" fontId="90" fillId="18" borderId="31" xfId="0" applyNumberFormat="1" applyFont="1" applyFill="1" applyBorder="1" applyAlignment="1">
      <alignment horizontal="center" vertical="center"/>
      <protection locked="1" hidden="1"/>
    </xf>
    <xf numFmtId="3" fontId="90" fillId="18" borderId="31" xfId="0" applyNumberFormat="1" applyFont="1" applyFill="1" applyBorder="1" applyAlignment="1">
      <alignment horizontal="center" vertical="center"/>
      <protection locked="1" hidden="1"/>
    </xf>
    <xf numFmtId="0" fontId="4" fillId="6" borderId="31" xfId="0" applyFont="1" applyFill="1" applyBorder="1" applyAlignment="1">
      <alignment horizontal="center" vertical="center"/>
      <protection locked="1" hidden="1"/>
    </xf>
    <xf numFmtId="0" fontId="30" fillId="15" borderId="29" xfId="0" applyFont="1" applyFill="1" applyBorder="1" applyAlignment="1">
      <alignment horizontal="center" vertical="center"/>
      <protection locked="1" hidden="1"/>
    </xf>
    <xf numFmtId="0" fontId="30" fillId="15" borderId="38" xfId="0" applyFont="1" applyFill="1" applyBorder="1" applyAlignment="1">
      <alignment horizontal="center" vertical="center"/>
      <protection locked="1" hidden="1"/>
    </xf>
    <xf numFmtId="1" fontId="97" fillId="18" borderId="29" xfId="0" applyNumberFormat="1" applyFont="1" applyFill="1" applyBorder="1" applyAlignment="1">
      <alignment horizontal="center" vertical="center"/>
      <protection locked="1" hidden="1"/>
    </xf>
    <xf numFmtId="1" fontId="97" fillId="18" borderId="38" xfId="0" applyNumberFormat="1" applyFont="1" applyFill="1" applyBorder="1" applyAlignment="1">
      <alignment horizontal="center" vertical="center"/>
      <protection locked="1" hidden="1"/>
    </xf>
    <xf numFmtId="1" fontId="98" fillId="18" borderId="29" xfId="0" applyNumberFormat="1" applyFont="1" applyFill="1" applyBorder="1" applyAlignment="1">
      <alignment horizontal="center" vertical="center" wrapText="1"/>
      <protection locked="1" hidden="1"/>
    </xf>
    <xf numFmtId="0" fontId="9" fillId="23" borderId="31" xfId="0" applyFont="1" applyFill="1" applyBorder="1" applyAlignment="1">
      <alignment horizontal="center" vertical="center"/>
      <protection locked="1" hidden="1"/>
    </xf>
    <xf numFmtId="0" fontId="1" fillId="0" borderId="0" xfId="0" applyAlignment="1">
      <alignment horizontal="center" vertical="bottom"/>
      <protection locked="1" hidden="1"/>
    </xf>
    <xf numFmtId="0" fontId="97" fillId="4" borderId="64" xfId="0" applyFont="1" applyFill="1" applyBorder="1" applyAlignment="1">
      <alignment horizontal="center" vertical="center"/>
      <protection locked="1" hidden="1"/>
    </xf>
    <xf numFmtId="0" fontId="97" fillId="4" borderId="0" xfId="0" applyFont="1" applyFill="1" applyBorder="1" applyAlignment="1">
      <alignment horizontal="center" vertical="center"/>
      <protection locked="1" hidden="1"/>
    </xf>
    <xf numFmtId="0" fontId="99" fillId="0" borderId="0" xfId="0" applyFont="1" applyAlignment="1">
      <alignment vertical="bottom"/>
      <protection locked="1" hidden="1"/>
    </xf>
    <xf numFmtId="0" fontId="65" fillId="0" borderId="0" xfId="0" applyFont="1" applyAlignment="1">
      <alignment horizontal="center" vertical="bottom"/>
      <protection locked="1" hidden="1"/>
    </xf>
    <xf numFmtId="0" fontId="100" fillId="0" borderId="1" xfId="0" applyFont="1" applyBorder="1" applyAlignment="1">
      <alignment horizontal="center" vertical="center"/>
      <protection locked="1" hidden="1"/>
    </xf>
    <xf numFmtId="0" fontId="100" fillId="0" borderId="2" xfId="0" applyFont="1" applyBorder="1" applyAlignment="1">
      <alignment horizontal="center" vertical="center"/>
      <protection locked="1" hidden="1"/>
    </xf>
    <xf numFmtId="0" fontId="100" fillId="0" borderId="3" xfId="0" applyFont="1" applyBorder="1" applyAlignment="1">
      <alignment horizontal="center" vertical="center"/>
      <protection locked="1" hidden="1"/>
    </xf>
    <xf numFmtId="0" fontId="65" fillId="0" borderId="52" xfId="0" applyFont="1" applyBorder="1" applyAlignment="1">
      <alignment horizontal="center" vertical="bottom"/>
      <protection locked="1" hidden="1"/>
    </xf>
    <xf numFmtId="0" fontId="65" fillId="0" borderId="51" xfId="0" applyFont="1" applyBorder="1" applyAlignment="1">
      <alignment horizontal="center" vertical="bottom"/>
      <protection locked="1" hidden="1"/>
    </xf>
    <xf numFmtId="0" fontId="101" fillId="0" borderId="1" xfId="0" applyFont="1" applyBorder="1" applyAlignment="1">
      <alignment horizontal="center" vertical="center"/>
      <protection locked="1" hidden="1"/>
    </xf>
    <xf numFmtId="0" fontId="65" fillId="0" borderId="0" xfId="0" applyFont="1" applyAlignment="1">
      <alignment vertical="bottom"/>
      <protection locked="1" hidden="1"/>
    </xf>
    <xf numFmtId="0" fontId="102" fillId="0" borderId="11" xfId="0" applyFont="1" applyBorder="1" applyAlignment="1">
      <alignment horizontal="center" vertical="center"/>
      <protection locked="1" hidden="1"/>
    </xf>
    <xf numFmtId="0" fontId="102" fillId="0" borderId="0" xfId="0" applyFont="1" applyBorder="1" applyAlignment="1">
      <alignment horizontal="center" vertical="center"/>
      <protection locked="1" hidden="1"/>
    </xf>
    <xf numFmtId="0" fontId="102" fillId="0" borderId="65" xfId="0" applyFont="1" applyBorder="1" applyAlignment="1">
      <alignment horizontal="center" vertical="center"/>
      <protection locked="1" hidden="1"/>
    </xf>
    <xf numFmtId="0" fontId="103" fillId="0" borderId="66" xfId="0" applyFont="1" applyBorder="1" applyAlignment="1">
      <alignment horizontal="center" vertical="center"/>
      <protection locked="1" hidden="1"/>
    </xf>
    <xf numFmtId="0" fontId="103" fillId="0" borderId="39" xfId="0" applyFont="1" applyBorder="1" applyAlignment="1">
      <alignment horizontal="center" vertical="center"/>
      <protection locked="1" hidden="1"/>
    </xf>
    <xf numFmtId="0" fontId="103" fillId="0" borderId="67" xfId="0" applyFont="1" applyBorder="1" applyAlignment="1">
      <alignment horizontal="center" vertical="center"/>
      <protection locked="1" hidden="1"/>
    </xf>
    <xf numFmtId="0" fontId="101" fillId="0" borderId="1" xfId="0" applyFont="1" applyBorder="1" applyAlignment="1">
      <alignment horizontal="center" vertical="bottom"/>
      <protection locked="1" hidden="1"/>
    </xf>
    <xf numFmtId="0" fontId="101" fillId="0" borderId="2" xfId="0" applyFont="1" applyBorder="1" applyAlignment="1">
      <alignment horizontal="center" vertical="bottom"/>
      <protection locked="1" hidden="1"/>
    </xf>
    <xf numFmtId="0" fontId="104" fillId="0" borderId="2" xfId="0" applyFont="1" applyBorder="1" applyAlignment="1">
      <alignment horizontal="right" vertical="center"/>
      <protection locked="1" hidden="1"/>
    </xf>
    <xf numFmtId="14" fontId="4" fillId="4" borderId="65" xfId="0" applyNumberFormat="1" applyFont="1" applyFill="1" applyBorder="1" applyAlignment="1">
      <alignment horizontal="left" vertical="center"/>
      <protection locked="0" hidden="0"/>
    </xf>
    <xf numFmtId="0" fontId="105" fillId="0" borderId="11" xfId="0" applyFont="1" applyBorder="1" applyAlignment="1">
      <alignment horizontal="right" vertical="center"/>
      <protection locked="1" hidden="1"/>
    </xf>
    <xf numFmtId="0" fontId="105" fillId="0" borderId="0" xfId="0" applyFont="1" applyBorder="1" applyAlignment="1">
      <alignment horizontal="right" vertical="center"/>
      <protection locked="1" hidden="1"/>
    </xf>
    <xf numFmtId="0" fontId="63" fillId="0" borderId="0" xfId="0" applyFont="1" applyBorder="1" applyAlignment="1">
      <alignment horizontal="left" vertical="center"/>
      <protection locked="1" hidden="1"/>
    </xf>
    <xf numFmtId="0" fontId="63" fillId="0" borderId="65" xfId="0" applyFont="1" applyBorder="1" applyAlignment="1">
      <alignment horizontal="left" vertical="center"/>
      <protection locked="1" hidden="1"/>
    </xf>
    <xf numFmtId="0" fontId="101" fillId="0" borderId="11" xfId="0" applyFont="1" applyBorder="1" applyAlignment="1">
      <alignment horizontal="center" vertical="center"/>
      <protection locked="1" hidden="1"/>
    </xf>
    <xf numFmtId="0" fontId="105" fillId="0" borderId="0" xfId="0" applyFont="1" applyBorder="1">
      <alignment vertical="center"/>
      <protection locked="1" hidden="1"/>
    </xf>
    <xf numFmtId="0" fontId="106" fillId="0" borderId="0" xfId="0" applyFont="1" applyBorder="1" applyAlignment="1">
      <alignment horizontal="left" vertical="center"/>
      <protection locked="1" hidden="1"/>
    </xf>
    <xf numFmtId="0" fontId="106" fillId="0" borderId="65" xfId="0" applyFont="1" applyBorder="1" applyAlignment="1">
      <alignment horizontal="left" vertical="center"/>
      <protection locked="1" hidden="1"/>
    </xf>
    <xf numFmtId="2" fontId="105" fillId="0" borderId="11" xfId="0" applyNumberFormat="1" applyFont="1" applyBorder="1" applyAlignment="1">
      <alignment horizontal="right" vertical="center"/>
      <protection locked="1" hidden="1"/>
    </xf>
    <xf numFmtId="2" fontId="105" fillId="0" borderId="0" xfId="0" applyNumberFormat="1" applyFont="1" applyBorder="1" applyAlignment="1">
      <alignment horizontal="right" vertical="center"/>
      <protection locked="1" hidden="1"/>
    </xf>
    <xf numFmtId="2" fontId="63" fillId="0" borderId="0" xfId="0" applyNumberFormat="1" applyFont="1" applyBorder="1" applyAlignment="1">
      <alignment horizontal="left" vertical="center" wrapText="1"/>
      <protection locked="1" hidden="1"/>
    </xf>
    <xf numFmtId="2" fontId="63" fillId="0" borderId="65" xfId="0" applyNumberFormat="1" applyFont="1" applyBorder="1" applyAlignment="1">
      <alignment horizontal="left" vertical="center" wrapText="1"/>
      <protection locked="1" hidden="1"/>
    </xf>
    <xf numFmtId="2" fontId="106" fillId="0" borderId="0" xfId="0" applyNumberFormat="1" applyFont="1" applyBorder="1" applyAlignment="1">
      <alignment horizontal="left" vertical="center" wrapText="1"/>
      <protection locked="1" hidden="1"/>
    </xf>
    <xf numFmtId="2" fontId="106" fillId="0" borderId="65" xfId="0" applyNumberFormat="1" applyFont="1" applyBorder="1" applyAlignment="1">
      <alignment horizontal="left" vertical="center" wrapText="1"/>
      <protection locked="1" hidden="1"/>
    </xf>
    <xf numFmtId="0" fontId="106" fillId="0" borderId="19" xfId="0" applyFont="1" applyBorder="1" applyAlignment="1">
      <alignment horizontal="left" vertical="center"/>
      <protection locked="1" hidden="1"/>
    </xf>
    <xf numFmtId="0" fontId="106" fillId="0" borderId="20" xfId="0" applyFont="1" applyBorder="1" applyAlignment="1">
      <alignment horizontal="left" vertical="center"/>
      <protection locked="1" hidden="1"/>
    </xf>
    <xf numFmtId="0" fontId="105" fillId="0" borderId="52" xfId="0" applyFont="1" applyBorder="1" applyAlignment="1">
      <alignment horizontal="right" vertical="center"/>
      <protection locked="1" hidden="1"/>
    </xf>
    <xf numFmtId="168" fontId="107" fillId="0" borderId="10" xfId="0" applyNumberFormat="1" applyFont="1" applyBorder="1" applyAlignment="1">
      <alignment horizontal="center" vertical="center"/>
      <protection locked="1" hidden="1"/>
    </xf>
    <xf numFmtId="168" fontId="107" fillId="0" borderId="8" xfId="0" applyNumberFormat="1" applyFont="1" applyBorder="1" applyAlignment="1">
      <alignment horizontal="center" vertical="center"/>
      <protection locked="1" hidden="1"/>
    </xf>
    <xf numFmtId="168" fontId="107" fillId="0" borderId="9" xfId="0" applyNumberFormat="1" applyFont="1" applyBorder="1" applyAlignment="1">
      <alignment horizontal="center" vertical="center"/>
      <protection locked="1" hidden="1"/>
    </xf>
    <xf numFmtId="0" fontId="105" fillId="0" borderId="5" xfId="0" applyFont="1" applyBorder="1" applyAlignment="1">
      <alignment horizontal="left" vertical="center"/>
      <protection locked="1" hidden="1"/>
    </xf>
    <xf numFmtId="168" fontId="107" fillId="0" borderId="5" xfId="0" applyNumberFormat="1" applyFont="1" applyBorder="1" applyAlignment="1">
      <alignment horizontal="center" vertical="center"/>
      <protection locked="1" hidden="1"/>
    </xf>
    <xf numFmtId="168" fontId="107" fillId="0" borderId="6" xfId="0" applyNumberFormat="1" applyFont="1" applyBorder="1" applyAlignment="1">
      <alignment horizontal="center" vertical="center"/>
      <protection locked="1" hidden="1"/>
    </xf>
    <xf numFmtId="0" fontId="105" fillId="0" borderId="11" xfId="0" applyFont="1" applyBorder="1" applyAlignment="1">
      <alignment horizontal="left" vertical="center"/>
      <protection locked="1" hidden="1"/>
    </xf>
    <xf numFmtId="0" fontId="105" fillId="0" borderId="0" xfId="0" applyFont="1" applyBorder="1" applyAlignment="1">
      <alignment horizontal="left" vertical="center"/>
      <protection locked="1" hidden="1"/>
    </xf>
    <xf numFmtId="0" fontId="82" fillId="4" borderId="15" xfId="0" applyFont="1" applyFill="1" applyBorder="1" applyAlignment="1">
      <alignment horizontal="left" vertical="center"/>
      <protection locked="0" hidden="0"/>
    </xf>
    <xf numFmtId="0" fontId="82" fillId="4" borderId="16" xfId="0" applyFont="1" applyFill="1" applyBorder="1" applyAlignment="1">
      <alignment horizontal="left" vertical="center"/>
      <protection locked="0" hidden="0"/>
    </xf>
    <xf numFmtId="0" fontId="101" fillId="0" borderId="11" xfId="0" applyFont="1" applyBorder="1" applyAlignment="1">
      <alignment horizontal="center" vertical="center"/>
      <protection locked="1" hidden="1"/>
    </xf>
    <xf numFmtId="0" fontId="101" fillId="0" borderId="0" xfId="0" applyFont="1" applyBorder="1" applyAlignment="1">
      <alignment horizontal="center" vertical="center"/>
      <protection locked="1" hidden="1"/>
    </xf>
    <xf numFmtId="0" fontId="101" fillId="0" borderId="65" xfId="0" applyFont="1" applyBorder="1" applyAlignment="1">
      <alignment horizontal="center" vertical="center"/>
      <protection locked="1" hidden="1"/>
    </xf>
    <xf numFmtId="0" fontId="101" fillId="0" borderId="0" xfId="0" applyFont="1" applyBorder="1">
      <alignment vertical="center"/>
      <protection locked="1" hidden="1"/>
    </xf>
    <xf numFmtId="168" fontId="4" fillId="0" borderId="10" xfId="0" applyNumberFormat="1" applyFont="1" applyBorder="1" applyAlignment="1">
      <alignment horizontal="center" vertical="center"/>
      <protection locked="1" hidden="1"/>
    </xf>
    <xf numFmtId="168" fontId="4" fillId="0" borderId="46" xfId="0" applyNumberFormat="1" applyFont="1" applyBorder="1" applyAlignment="1">
      <alignment horizontal="center" vertical="center"/>
      <protection locked="1" hidden="1"/>
    </xf>
    <xf numFmtId="0" fontId="101" fillId="0" borderId="51" xfId="0" applyFont="1" applyBorder="1" applyAlignment="1">
      <alignment horizontal="center" vertical="center"/>
      <protection locked="1" hidden="1"/>
    </xf>
    <xf numFmtId="168" fontId="4" fillId="0" borderId="5" xfId="0" applyNumberFormat="1" applyFont="1" applyBorder="1" applyAlignment="1">
      <alignment horizontal="center" vertical="center"/>
      <protection locked="1" hidden="1"/>
    </xf>
    <xf numFmtId="0" fontId="4" fillId="0" borderId="5" xfId="0" applyFont="1" applyBorder="1" applyAlignment="1">
      <alignment horizontal="center" vertical="center"/>
      <protection locked="1" hidden="1"/>
    </xf>
    <xf numFmtId="0" fontId="101" fillId="0" borderId="0" xfId="0" applyFont="1" applyBorder="1" applyAlignment="1">
      <alignment horizontal="center" vertical="bottom"/>
      <protection locked="1" hidden="1"/>
    </xf>
    <xf numFmtId="0" fontId="101" fillId="0" borderId="65" xfId="0" applyFont="1" applyBorder="1" applyAlignment="1">
      <alignment horizontal="center" vertical="bottom"/>
      <protection locked="1" hidden="1"/>
    </xf>
    <xf numFmtId="169" fontId="82" fillId="0" borderId="10" xfId="0" applyNumberFormat="1" applyFont="1" applyBorder="1" applyAlignment="1">
      <alignment horizontal="center" vertical="center"/>
      <protection locked="1" hidden="1"/>
    </xf>
    <xf numFmtId="169" fontId="82" fillId="0" borderId="46" xfId="0" applyNumberFormat="1" applyFont="1" applyBorder="1" applyAlignment="1">
      <alignment horizontal="center" vertical="center"/>
      <protection locked="1" hidden="1"/>
    </xf>
    <xf numFmtId="14" fontId="101" fillId="0" borderId="51" xfId="0" applyNumberFormat="1" applyFont="1" applyBorder="1" applyAlignment="1">
      <alignment horizontal="center" vertical="center"/>
      <protection locked="1" hidden="1"/>
    </xf>
    <xf numFmtId="14" fontId="101" fillId="0" borderId="0" xfId="0" applyNumberFormat="1" applyFont="1" applyBorder="1" applyAlignment="1">
      <alignment horizontal="center" vertical="center"/>
      <protection locked="1" hidden="1"/>
    </xf>
    <xf numFmtId="14" fontId="101" fillId="0" borderId="65" xfId="0" applyNumberFormat="1" applyFont="1" applyBorder="1" applyAlignment="1">
      <alignment horizontal="center" vertical="center"/>
      <protection locked="1" hidden="1"/>
    </xf>
    <xf numFmtId="169" fontId="82" fillId="0" borderId="5" xfId="0" applyNumberFormat="1" applyFont="1" applyBorder="1" applyAlignment="1">
      <alignment horizontal="center" vertical="center"/>
      <protection locked="1" hidden="1"/>
    </xf>
    <xf numFmtId="0" fontId="46" fillId="0" borderId="68" xfId="0" applyFont="1" applyBorder="1" applyAlignment="1">
      <alignment horizontal="center" vertical="center"/>
      <protection locked="1" hidden="1"/>
    </xf>
    <xf numFmtId="0" fontId="46" fillId="0" borderId="69" xfId="0" applyFont="1" applyBorder="1" applyAlignment="1">
      <alignment horizontal="center" vertical="center"/>
      <protection locked="1" hidden="1"/>
    </xf>
    <xf numFmtId="0" fontId="46" fillId="0" borderId="70" xfId="0" applyFont="1" applyBorder="1" applyAlignment="1">
      <alignment horizontal="center" vertical="center"/>
      <protection locked="1" hidden="1"/>
    </xf>
    <xf numFmtId="0" fontId="46" fillId="0" borderId="40" xfId="0" applyFont="1" applyBorder="1" applyAlignment="1">
      <alignment horizontal="center" vertical="center"/>
      <protection locked="1" hidden="1"/>
    </xf>
    <xf numFmtId="0" fontId="46" fillId="0" borderId="41" xfId="0" applyFont="1" applyBorder="1" applyAlignment="1">
      <alignment horizontal="center" vertical="center"/>
      <protection locked="1" hidden="1"/>
    </xf>
    <xf numFmtId="0" fontId="46" fillId="0" borderId="42" xfId="0" applyFont="1" applyBorder="1" applyAlignment="1">
      <alignment horizontal="center" vertical="center"/>
      <protection locked="1" hidden="1"/>
    </xf>
    <xf numFmtId="0" fontId="44" fillId="0" borderId="7" xfId="0" applyFont="1" applyBorder="1" applyAlignment="1">
      <alignment horizontal="center" vertical="top" wrapText="1"/>
      <protection locked="1" hidden="1"/>
    </xf>
    <xf numFmtId="0" fontId="44" fillId="0" borderId="8" xfId="0" applyFont="1" applyBorder="1" applyAlignment="1">
      <alignment horizontal="center" vertical="top" wrapText="1"/>
      <protection locked="1" hidden="1"/>
    </xf>
    <xf numFmtId="0" fontId="44" fillId="0" borderId="9" xfId="0" applyFont="1" applyBorder="1" applyAlignment="1">
      <alignment horizontal="center" vertical="top" wrapText="1"/>
      <protection locked="1" hidden="1"/>
    </xf>
    <xf numFmtId="0" fontId="105" fillId="0" borderId="7" xfId="0" applyFont="1" applyBorder="1" applyAlignment="1">
      <alignment horizontal="center" vertical="center"/>
      <protection locked="1" hidden="1"/>
    </xf>
    <xf numFmtId="0" fontId="105" fillId="0" borderId="46" xfId="0" applyFont="1" applyBorder="1" applyAlignment="1">
      <alignment horizontal="center" vertical="center"/>
      <protection locked="1" hidden="1"/>
    </xf>
    <xf numFmtId="0" fontId="44" fillId="0" borderId="10" xfId="0" applyFont="1" applyBorder="1" applyAlignment="1">
      <alignment horizontal="center" vertical="center"/>
      <protection locked="1" hidden="1"/>
    </xf>
    <xf numFmtId="0" fontId="44" fillId="0" borderId="8" xfId="0" applyFont="1" applyBorder="1" applyAlignment="1">
      <alignment horizontal="center" vertical="center"/>
      <protection locked="1" hidden="1"/>
    </xf>
    <xf numFmtId="0" fontId="44" fillId="0" borderId="9" xfId="0" applyFont="1" applyBorder="1" applyAlignment="1">
      <alignment horizontal="center" vertical="center"/>
      <protection locked="1" hidden="1"/>
    </xf>
    <xf numFmtId="0" fontId="105" fillId="0" borderId="4" xfId="0" applyFont="1" applyBorder="1" applyAlignment="1">
      <alignment horizontal="center" vertical="center"/>
      <protection locked="1" hidden="1"/>
    </xf>
    <xf numFmtId="0" fontId="105" fillId="0" borderId="5" xfId="0" applyFont="1" applyBorder="1" applyAlignment="1">
      <alignment horizontal="center" vertical="center"/>
      <protection locked="1" hidden="1"/>
    </xf>
    <xf numFmtId="0" fontId="44" fillId="0" borderId="5" xfId="0" applyFont="1" applyBorder="1" applyAlignment="1">
      <alignment horizontal="center" vertical="center"/>
      <protection locked="1" hidden="1"/>
    </xf>
    <xf numFmtId="0" fontId="44" fillId="0" borderId="6" xfId="0" applyFont="1" applyBorder="1" applyAlignment="1">
      <alignment horizontal="center" vertical="center"/>
      <protection locked="1" hidden="1"/>
    </xf>
    <xf numFmtId="0" fontId="46" fillId="0" borderId="7" xfId="0" applyFont="1" applyBorder="1" applyAlignment="1">
      <alignment horizontal="center" vertical="center"/>
      <protection locked="1" hidden="1"/>
    </xf>
    <xf numFmtId="0" fontId="46" fillId="0" borderId="8" xfId="0" applyFont="1" applyBorder="1" applyAlignment="1">
      <alignment horizontal="center" vertical="center"/>
      <protection locked="1" hidden="1"/>
    </xf>
    <xf numFmtId="0" fontId="46" fillId="0" borderId="9" xfId="0" applyFont="1" applyBorder="1" applyAlignment="1">
      <alignment horizontal="center" vertical="center"/>
      <protection locked="1" hidden="1"/>
    </xf>
    <xf numFmtId="0" fontId="46" fillId="0" borderId="4" xfId="0" applyFont="1" applyBorder="1" applyAlignment="1">
      <alignment horizontal="center" vertical="center"/>
      <protection locked="1" hidden="1"/>
    </xf>
    <xf numFmtId="0" fontId="46" fillId="0" borderId="5" xfId="0" applyFont="1" applyBorder="1" applyAlignment="1">
      <alignment horizontal="center" vertical="center"/>
      <protection locked="1" hidden="1"/>
    </xf>
    <xf numFmtId="0" fontId="46" fillId="0" borderId="6" xfId="0" applyFont="1" applyBorder="1" applyAlignment="1">
      <alignment horizontal="center" vertical="center"/>
      <protection locked="1" hidden="1"/>
    </xf>
    <xf numFmtId="0" fontId="105" fillId="0" borderId="12" xfId="0" applyFont="1" applyBorder="1" applyAlignment="1">
      <alignment horizontal="center" vertical="center" wrapText="1"/>
      <protection locked="1" hidden="1"/>
    </xf>
    <xf numFmtId="0" fontId="105" fillId="0" borderId="15" xfId="0" applyFont="1" applyBorder="1" applyAlignment="1">
      <alignment horizontal="center" vertical="center" wrapText="1"/>
      <protection locked="1" hidden="1"/>
    </xf>
    <xf numFmtId="0" fontId="105" fillId="0" borderId="16" xfId="0" applyFont="1" applyBorder="1" applyAlignment="1">
      <alignment horizontal="center" vertical="center" wrapText="1"/>
      <protection locked="1" hidden="1"/>
    </xf>
    <xf numFmtId="0" fontId="105" fillId="0" borderId="4" xfId="0" applyFont="1" applyBorder="1" applyAlignment="1">
      <alignment horizontal="center" vertical="center" wrapText="1"/>
      <protection locked="1" hidden="1"/>
    </xf>
    <xf numFmtId="0" fontId="105" fillId="0" borderId="5" xfId="0" applyFont="1" applyBorder="1" applyAlignment="1">
      <alignment horizontal="center" vertical="center" wrapText="1"/>
      <protection locked="1" hidden="1"/>
    </xf>
    <xf numFmtId="0" fontId="105" fillId="0" borderId="6" xfId="0" applyFont="1" applyBorder="1" applyAlignment="1">
      <alignment horizontal="center" vertical="center" wrapText="1"/>
      <protection locked="1" hidden="1"/>
    </xf>
    <xf numFmtId="0" fontId="105" fillId="0" borderId="71" xfId="0" applyFont="1" applyBorder="1" applyAlignment="1">
      <alignment horizontal="center" vertical="center" wrapText="1"/>
      <protection locked="1" hidden="1"/>
    </xf>
    <xf numFmtId="0" fontId="105" fillId="0" borderId="19" xfId="0" applyFont="1" applyBorder="1" applyAlignment="1">
      <alignment horizontal="center" vertical="center" wrapText="1"/>
      <protection locked="1" hidden="1"/>
    </xf>
    <xf numFmtId="0" fontId="105" fillId="0" borderId="20" xfId="0" applyFont="1" applyBorder="1" applyAlignment="1">
      <alignment horizontal="center" vertical="center" wrapText="1"/>
      <protection locked="1" hidden="1"/>
    </xf>
    <xf numFmtId="0" fontId="44" fillId="0" borderId="21" xfId="0" applyFont="1" applyBorder="1" applyAlignment="1">
      <alignment horizontal="center" vertical="center"/>
      <protection locked="1" hidden="1"/>
    </xf>
    <xf numFmtId="0" fontId="44" fillId="0" borderId="22" xfId="0" applyFont="1" applyBorder="1" applyAlignment="1">
      <alignment horizontal="center" vertical="center"/>
      <protection locked="1" hidden="1"/>
    </xf>
    <xf numFmtId="0" fontId="44" fillId="0" borderId="72" xfId="0" applyFont="1" applyBorder="1" applyAlignment="1">
      <alignment horizontal="center" vertical="center"/>
      <protection locked="1" hidden="1"/>
    </xf>
    <xf numFmtId="0" fontId="106" fillId="0" borderId="73" xfId="0" applyFont="1" applyBorder="1" applyAlignment="1">
      <alignment horizontal="center" vertical="center"/>
      <protection locked="1" hidden="1"/>
    </xf>
    <xf numFmtId="0" fontId="106" fillId="0" borderId="23" xfId="0" applyFont="1" applyBorder="1" applyAlignment="1">
      <alignment horizontal="center" vertical="center"/>
      <protection locked="1" hidden="1"/>
    </xf>
    <xf numFmtId="0" fontId="106" fillId="0" borderId="44" xfId="0" applyFont="1" applyBorder="1" applyAlignment="1">
      <alignment horizontal="center" vertical="center"/>
      <protection locked="1" hidden="1"/>
    </xf>
    <xf numFmtId="0" fontId="106" fillId="0" borderId="45" xfId="0" applyFont="1" applyBorder="1" applyAlignment="1">
      <alignment horizontal="center" vertical="center"/>
      <protection locked="1" hidden="1"/>
    </xf>
    <xf numFmtId="0" fontId="101" fillId="0" borderId="66" xfId="0" applyFont="1" applyBorder="1" applyAlignment="1">
      <alignment horizontal="center" vertical="center"/>
      <protection locked="1" hidden="1"/>
    </xf>
    <xf numFmtId="0" fontId="101" fillId="0" borderId="39" xfId="0" applyFont="1" applyBorder="1" applyAlignment="1">
      <alignment horizontal="center" vertical="bottom"/>
      <protection locked="1" hidden="1"/>
    </xf>
    <xf numFmtId="0" fontId="101" fillId="0" borderId="74" xfId="0" applyFont="1" applyBorder="1" applyAlignment="1">
      <alignment horizontal="center" vertical="bottom"/>
      <protection locked="1" hidden="1"/>
    </xf>
    <xf numFmtId="0" fontId="101" fillId="0" borderId="75" xfId="0" applyFont="1" applyBorder="1" applyAlignment="1">
      <alignment horizontal="center" vertical="bottom"/>
      <protection locked="1" hidden="1"/>
    </xf>
    <xf numFmtId="0" fontId="101" fillId="0" borderId="66" xfId="0" applyFont="1" applyBorder="1" applyAlignment="1">
      <alignment horizontal="center" vertical="center"/>
      <protection locked="1" hidden="1"/>
    </xf>
    <xf numFmtId="0" fontId="101" fillId="0" borderId="67" xfId="0" applyFont="1" applyBorder="1" applyAlignment="1">
      <alignment horizontal="center" vertical="bottom"/>
      <protection locked="1" hidden="1"/>
    </xf>
    <xf numFmtId="0" fontId="105" fillId="0" borderId="10" xfId="0" applyFont="1" applyBorder="1" applyAlignment="1">
      <alignment horizontal="left" vertical="center"/>
      <protection locked="1" hidden="1"/>
    </xf>
    <xf numFmtId="0" fontId="105" fillId="0" borderId="8" xfId="0" applyFont="1" applyBorder="1" applyAlignment="1">
      <alignment horizontal="left" vertical="center"/>
      <protection locked="1" hidden="1"/>
    </xf>
    <xf numFmtId="0" fontId="105" fillId="0" borderId="46" xfId="0" applyFont="1" applyBorder="1" applyAlignment="1">
      <alignment horizontal="left" vertical="center"/>
      <protection locked="1" hidden="1"/>
    </xf>
    <xf numFmtId="0" fontId="105" fillId="0" borderId="15" xfId="0" applyFont="1" applyBorder="1" applyAlignment="1">
      <alignment horizontal="left" vertical="center"/>
      <protection locked="1" hidden="1"/>
    </xf>
    <xf numFmtId="0" fontId="37" fillId="0" borderId="0" xfId="3" applyFont="1" applyAlignment="1">
      <alignment vertical="bottom"/>
    </xf>
    <xf numFmtId="0" fontId="108" fillId="0" borderId="0" xfId="3" applyFont="1" applyAlignment="1">
      <alignment vertical="bottom"/>
    </xf>
    <xf numFmtId="0" fontId="109" fillId="0" borderId="0" xfId="3" applyFont="1" applyAlignment="1">
      <alignment horizontal="right" vertical="bottom"/>
    </xf>
    <xf numFmtId="0" fontId="108" fillId="0" borderId="0" xfId="3" applyFont="1" applyAlignment="1">
      <alignment horizontal="right" vertical="bottom"/>
    </xf>
    <xf numFmtId="0" fontId="26" fillId="6" borderId="0" xfId="0" applyFont="1" applyFill="1" applyAlignment="1">
      <alignment vertical="bottom"/>
    </xf>
    <xf numFmtId="0" fontId="1" fillId="0" borderId="0" xfId="0">
      <alignment vertical="center"/>
    </xf>
    <xf numFmtId="0" fontId="1" fillId="4" borderId="0" xfId="0" applyFill="1">
      <alignment vertical="center"/>
    </xf>
    <xf numFmtId="0" fontId="110" fillId="0" borderId="1" xfId="3" applyFont="1" applyBorder="1" applyAlignment="1">
      <alignment horizontal="center" vertical="center"/>
    </xf>
    <xf numFmtId="0" fontId="110" fillId="0" borderId="2" xfId="3" applyFont="1" applyBorder="1" applyAlignment="1">
      <alignment horizontal="center" vertical="center"/>
    </xf>
    <xf numFmtId="0" fontId="110" fillId="0" borderId="2" xfId="3" applyFont="1" applyBorder="1" applyAlignment="1">
      <alignment horizontal="center" vertical="center"/>
    </xf>
    <xf numFmtId="0" fontId="110" fillId="0" borderId="3" xfId="3" applyFont="1" applyBorder="1" applyAlignment="1">
      <alignment horizontal="center" vertical="center"/>
    </xf>
    <xf numFmtId="0" fontId="26" fillId="6" borderId="0" xfId="0" applyFont="1" applyFill="1">
      <alignment vertical="center"/>
    </xf>
    <xf numFmtId="0" fontId="111" fillId="0" borderId="66" xfId="3" applyFont="1" applyBorder="1" applyAlignment="1">
      <alignment horizontal="right" vertical="center"/>
    </xf>
    <xf numFmtId="0" fontId="111" fillId="0" borderId="39" xfId="3" applyFont="1" applyBorder="1" applyAlignment="1">
      <alignment horizontal="right" vertical="center"/>
    </xf>
    <xf numFmtId="0" fontId="111" fillId="0" borderId="67" xfId="3" applyFont="1" applyBorder="1" applyAlignment="1">
      <alignment horizontal="right" vertical="center"/>
    </xf>
    <xf numFmtId="0" fontId="111" fillId="0" borderId="66" xfId="3" applyFont="1" applyBorder="1" applyAlignment="1">
      <alignment horizontal="center" vertical="center"/>
    </xf>
    <xf numFmtId="0" fontId="111" fillId="0" borderId="39" xfId="3" applyFont="1" applyBorder="1" applyAlignment="1">
      <alignment horizontal="center" vertical="center"/>
    </xf>
    <xf numFmtId="0" fontId="111" fillId="0" borderId="39" xfId="3" applyFont="1" applyBorder="1" applyAlignment="1">
      <alignment horizontal="center" vertical="center"/>
    </xf>
    <xf numFmtId="0" fontId="111" fillId="0" borderId="67" xfId="3" applyFont="1" applyBorder="1" applyAlignment="1">
      <alignment horizontal="center" vertical="center"/>
    </xf>
    <xf numFmtId="0" fontId="112" fillId="0" borderId="68" xfId="3" applyFont="1" applyBorder="1" applyAlignment="1">
      <alignment horizontal="center" vertical="center"/>
    </xf>
    <xf numFmtId="0" fontId="113" fillId="0" borderId="76" xfId="3" applyFont="1" applyBorder="1" applyAlignment="1">
      <alignment horizontal="left" vertical="center"/>
    </xf>
    <xf numFmtId="0" fontId="113" fillId="0" borderId="69" xfId="3" applyFont="1" applyBorder="1" applyAlignment="1">
      <alignment horizontal="left" vertical="center"/>
    </xf>
    <xf numFmtId="0" fontId="114" fillId="0" borderId="69" xfId="4" applyFont="1" applyBorder="1" applyAlignment="1">
      <alignment horizontal="left" vertical="center"/>
    </xf>
    <xf numFmtId="0" fontId="115" fillId="0" borderId="69" xfId="3" applyFont="1" applyBorder="1" applyAlignment="1">
      <alignment horizontal="center" vertical="center"/>
    </xf>
    <xf numFmtId="0" fontId="116" fillId="0" borderId="69" xfId="3" applyFont="1" applyBorder="1" applyAlignment="1">
      <alignment horizontal="left" vertical="center"/>
    </xf>
    <xf numFmtId="0" fontId="112" fillId="0" borderId="69" xfId="3" applyFont="1" applyBorder="1" applyAlignment="1">
      <alignment horizontal="right" vertical="center"/>
    </xf>
    <xf numFmtId="0" fontId="114" fillId="0" borderId="69" xfId="3" applyFont="1" applyBorder="1" applyAlignment="1">
      <alignment horizontal="left" vertical="center"/>
    </xf>
    <xf numFmtId="0" fontId="114" fillId="0" borderId="70" xfId="3" applyFont="1" applyBorder="1" applyAlignment="1">
      <alignment horizontal="left" vertical="center"/>
    </xf>
    <xf numFmtId="0" fontId="112" fillId="0" borderId="4" xfId="3" applyFont="1" applyBorder="1" applyAlignment="1">
      <alignment horizontal="center" vertical="center"/>
    </xf>
    <xf numFmtId="0" fontId="117" fillId="0" borderId="54" xfId="3" applyFont="1" applyBorder="1" applyAlignment="1">
      <alignment horizontal="left" vertical="center"/>
    </xf>
    <xf numFmtId="0" fontId="117" fillId="0" borderId="5" xfId="3" applyFont="1" applyBorder="1" applyAlignment="1">
      <alignment horizontal="left" vertical="center"/>
    </xf>
    <xf numFmtId="170" fontId="43" fillId="0" borderId="10" xfId="5" applyNumberFormat="1" applyFont="1" applyBorder="1" applyAlignment="1">
      <alignment horizontal="left" vertical="center"/>
    </xf>
    <xf numFmtId="170" fontId="43" fillId="0" borderId="9" xfId="5" applyNumberFormat="1" applyFont="1" applyBorder="1" applyAlignment="1">
      <alignment horizontal="left" vertical="center"/>
    </xf>
    <xf numFmtId="170" fontId="41" fillId="0" borderId="10" xfId="5" applyNumberFormat="1" applyFont="1" applyBorder="1" applyAlignment="1">
      <alignment horizontal="left" vertical="center"/>
    </xf>
    <xf numFmtId="170" fontId="41" fillId="0" borderId="9" xfId="5" applyNumberFormat="1" applyFont="1" applyBorder="1" applyAlignment="1">
      <alignment horizontal="left" vertical="center"/>
    </xf>
    <xf numFmtId="0" fontId="118" fillId="0" borderId="5" xfId="3" applyFont="1" applyBorder="1" applyAlignment="1">
      <alignment horizontal="right" vertical="center" indent="1"/>
    </xf>
    <xf numFmtId="170" fontId="62" fillId="0" borderId="10" xfId="5" applyNumberFormat="1" applyFont="1" applyBorder="1" applyAlignment="1">
      <alignment horizontal="left" vertical="center"/>
    </xf>
    <xf numFmtId="170" fontId="62" fillId="0" borderId="9" xfId="5" applyNumberFormat="1" applyFont="1" applyBorder="1" applyAlignment="1">
      <alignment horizontal="left" vertical="center"/>
    </xf>
    <xf numFmtId="0" fontId="112" fillId="0" borderId="13" xfId="3" applyFont="1" applyBorder="1" applyAlignment="1">
      <alignment horizontal="center" vertical="top"/>
    </xf>
    <xf numFmtId="0" fontId="117" fillId="0" borderId="10" xfId="3" applyFont="1" applyBorder="1" applyAlignment="1">
      <alignment horizontal="left" vertical="center"/>
    </xf>
    <xf numFmtId="0" fontId="117" fillId="0" borderId="8" xfId="3" applyFont="1" applyBorder="1" applyAlignment="1">
      <alignment horizontal="left" vertical="center"/>
    </xf>
    <xf numFmtId="2" fontId="41" fillId="0" borderId="5" xfId="3" applyNumberFormat="1" applyFont="1" applyBorder="1" applyAlignment="1">
      <alignment horizontal="center" vertical="center"/>
    </xf>
    <xf numFmtId="0" fontId="117" fillId="0" borderId="14" xfId="3" applyFont="1" applyBorder="1" applyAlignment="1">
      <alignment horizontal="center" vertical="center"/>
    </xf>
    <xf numFmtId="0" fontId="119" fillId="0" borderId="16" xfId="0" applyFont="1" applyBorder="1" applyAlignment="1">
      <alignment vertical="bottom"/>
    </xf>
    <xf numFmtId="0" fontId="112" fillId="0" borderId="77" xfId="3" applyFont="1" applyBorder="1" applyAlignment="1">
      <alignment horizontal="center" vertical="top"/>
    </xf>
    <xf numFmtId="0" fontId="119" fillId="0" borderId="51" xfId="0" applyFont="1" applyBorder="1" applyAlignment="1">
      <alignment vertical="bottom"/>
    </xf>
    <xf numFmtId="0" fontId="119" fillId="0" borderId="65" xfId="0" applyFont="1" applyBorder="1" applyAlignment="1">
      <alignment vertical="bottom"/>
    </xf>
    <xf numFmtId="0" fontId="119" fillId="0" borderId="18" xfId="0" applyFont="1" applyBorder="1" applyAlignment="1">
      <alignment vertical="bottom"/>
    </xf>
    <xf numFmtId="0" fontId="119" fillId="0" borderId="20" xfId="0" applyFont="1" applyBorder="1" applyAlignment="1">
      <alignment vertical="bottom"/>
    </xf>
    <xf numFmtId="0" fontId="112" fillId="0" borderId="17" xfId="3" applyFont="1" applyBorder="1" applyAlignment="1">
      <alignment horizontal="center" vertical="top"/>
    </xf>
    <xf numFmtId="0" fontId="118" fillId="0" borderId="10" xfId="3" applyFont="1" applyBorder="1" applyAlignment="1">
      <alignment horizontal="right" vertical="center" indent="1"/>
    </xf>
    <xf numFmtId="0" fontId="118" fillId="0" borderId="8" xfId="3" applyFont="1" applyBorder="1" applyAlignment="1">
      <alignment horizontal="right" vertical="center" indent="1"/>
    </xf>
    <xf numFmtId="0" fontId="118" fillId="0" borderId="46" xfId="3" applyFont="1" applyBorder="1" applyAlignment="1">
      <alignment horizontal="right" vertical="center" indent="1"/>
    </xf>
    <xf numFmtId="170" fontId="120" fillId="0" borderId="10" xfId="5" applyNumberFormat="1" applyFont="1" applyBorder="1" applyAlignment="1">
      <alignment horizontal="left" vertical="center"/>
    </xf>
    <xf numFmtId="170" fontId="120" fillId="0" borderId="9" xfId="5" applyNumberFormat="1" applyFont="1" applyBorder="1" applyAlignment="1">
      <alignment horizontal="left" vertical="center"/>
    </xf>
    <xf numFmtId="0" fontId="112" fillId="0" borderId="4" xfId="3" applyFont="1" applyBorder="1" applyAlignment="1">
      <alignment horizontal="center" vertical="top"/>
    </xf>
    <xf numFmtId="0" fontId="115" fillId="0" borderId="5" xfId="3" applyFont="1" applyBorder="1" applyAlignment="1">
      <alignment horizontal="left" vertical="center"/>
    </xf>
    <xf numFmtId="0" fontId="117" fillId="0" borderId="5" xfId="3" applyFont="1" applyBorder="1" applyAlignment="1">
      <alignment horizontal="center" vertical="center"/>
    </xf>
    <xf numFmtId="0" fontId="108" fillId="0" borderId="5" xfId="3" applyFont="1" applyBorder="1" applyAlignment="1">
      <alignment horizontal="center" vertical="center"/>
    </xf>
    <xf numFmtId="0" fontId="108" fillId="0" borderId="6" xfId="3" applyFont="1" applyBorder="1" applyAlignment="1">
      <alignment horizontal="center" vertical="center"/>
    </xf>
    <xf numFmtId="0" fontId="118" fillId="0" borderId="14" xfId="3" applyFont="1" applyBorder="1" applyAlignment="1">
      <alignment horizontal="left" vertical="center" wrapText="1"/>
    </xf>
    <xf numFmtId="0" fontId="118" fillId="0" borderId="47" xfId="3" applyFont="1" applyBorder="1" applyAlignment="1">
      <alignment horizontal="left" vertical="center" wrapText="1"/>
    </xf>
    <xf numFmtId="0" fontId="117" fillId="0" borderId="10" xfId="3" applyFont="1" applyBorder="1" applyAlignment="1">
      <alignment horizontal="center" vertical="center"/>
    </xf>
    <xf numFmtId="0" fontId="117" fillId="0" borderId="8" xfId="3" applyFont="1" applyBorder="1" applyAlignment="1">
      <alignment horizontal="center" vertical="center"/>
    </xf>
    <xf numFmtId="0" fontId="117" fillId="0" borderId="46" xfId="3" applyFont="1" applyBorder="1" applyAlignment="1">
      <alignment horizontal="center" vertical="center"/>
    </xf>
    <xf numFmtId="0" fontId="117" fillId="0" borderId="5" xfId="3" applyFont="1" applyBorder="1" applyAlignment="1">
      <alignment horizontal="center" vertical="top"/>
    </xf>
    <xf numFmtId="0" fontId="118" fillId="0" borderId="18" xfId="3" applyFont="1" applyBorder="1" applyAlignment="1">
      <alignment horizontal="left" vertical="center" wrapText="1"/>
    </xf>
    <xf numFmtId="0" fontId="118" fillId="0" borderId="53" xfId="3" applyFont="1" applyBorder="1" applyAlignment="1">
      <alignment horizontal="left" vertical="center" wrapText="1"/>
    </xf>
    <xf numFmtId="2" fontId="41" fillId="0" borderId="10" xfId="3" applyNumberFormat="1" applyFont="1" applyBorder="1" applyAlignment="1">
      <alignment horizontal="center" vertical="center"/>
    </xf>
    <xf numFmtId="2" fontId="41" fillId="0" borderId="8" xfId="3" applyNumberFormat="1" applyFont="1" applyBorder="1" applyAlignment="1">
      <alignment horizontal="center" vertical="center"/>
    </xf>
    <xf numFmtId="2" fontId="41" fillId="0" borderId="46" xfId="3" applyNumberFormat="1" applyFont="1" applyBorder="1" applyAlignment="1">
      <alignment horizontal="center" vertical="center"/>
    </xf>
    <xf numFmtId="0" fontId="37" fillId="0" borderId="4" xfId="3" applyFont="1" applyBorder="1" applyAlignment="1">
      <alignment horizontal="center" vertical="center"/>
    </xf>
    <xf numFmtId="0" fontId="118" fillId="0" borderId="10" xfId="3" applyFont="1" applyBorder="1" applyAlignment="1">
      <alignment horizontal="right" vertical="center"/>
    </xf>
    <xf numFmtId="0" fontId="118" fillId="0" borderId="8" xfId="3" applyFont="1" applyBorder="1" applyAlignment="1">
      <alignment horizontal="right" vertical="center"/>
    </xf>
    <xf numFmtId="0" fontId="118" fillId="0" borderId="46" xfId="3" applyFont="1" applyBorder="1" applyAlignment="1">
      <alignment horizontal="right" vertical="center"/>
    </xf>
    <xf numFmtId="170" fontId="58" fillId="0" borderId="10" xfId="5" applyNumberFormat="1" applyFont="1" applyBorder="1" applyAlignment="1">
      <alignment horizontal="left" vertical="center"/>
    </xf>
    <xf numFmtId="170" fontId="58" fillId="0" borderId="9" xfId="5" applyNumberFormat="1" applyFont="1" applyBorder="1" applyAlignment="1">
      <alignment horizontal="left" vertical="center"/>
    </xf>
    <xf numFmtId="0" fontId="118" fillId="0" borderId="5" xfId="3" applyFont="1" applyBorder="1" applyAlignment="1">
      <alignment horizontal="left" vertical="center"/>
    </xf>
    <xf numFmtId="0" fontId="113" fillId="0" borderId="5" xfId="3" applyFont="1" applyBorder="1" applyAlignment="1">
      <alignment horizontal="left" vertical="center"/>
    </xf>
    <xf numFmtId="0" fontId="113" fillId="0" borderId="6" xfId="3" applyFont="1" applyBorder="1" applyAlignment="1">
      <alignment horizontal="left" vertical="center"/>
    </xf>
    <xf numFmtId="0" fontId="121" fillId="0" borderId="10" xfId="3" applyFont="1" applyBorder="1" applyAlignment="1">
      <alignment horizontal="left" vertical="bottom"/>
    </xf>
    <xf numFmtId="0" fontId="121" fillId="0" borderId="8" xfId="3" applyFont="1" applyBorder="1" applyAlignment="1">
      <alignment horizontal="left" vertical="bottom"/>
    </xf>
    <xf numFmtId="0" fontId="117" fillId="0" borderId="8" xfId="3" applyFont="1" applyBorder="1" applyAlignment="1">
      <alignment horizontal="right" vertical="center"/>
    </xf>
    <xf numFmtId="0" fontId="117" fillId="0" borderId="46" xfId="3" applyFont="1" applyBorder="1" applyAlignment="1">
      <alignment horizontal="right" vertical="center"/>
    </xf>
    <xf numFmtId="0" fontId="121" fillId="0" borderId="10" xfId="3" applyFont="1" applyBorder="1" applyAlignment="1">
      <alignment horizontal="left" vertical="top" wrapText="1"/>
    </xf>
    <xf numFmtId="0" fontId="121" fillId="0" borderId="8" xfId="3" applyFont="1" applyBorder="1" applyAlignment="1">
      <alignment horizontal="left" vertical="top" wrapText="1"/>
    </xf>
    <xf numFmtId="0" fontId="121" fillId="0" borderId="46" xfId="3" applyFont="1" applyBorder="1" applyAlignment="1">
      <alignment horizontal="left" vertical="top" wrapText="1"/>
    </xf>
    <xf numFmtId="0" fontId="121" fillId="0" borderId="10" xfId="3" applyFont="1" applyBorder="1" applyAlignment="1">
      <alignment horizontal="left" vertical="center" wrapText="1"/>
    </xf>
    <xf numFmtId="0" fontId="121" fillId="0" borderId="8" xfId="3" applyFont="1" applyBorder="1" applyAlignment="1">
      <alignment horizontal="left" vertical="center" wrapText="1"/>
    </xf>
    <xf numFmtId="0" fontId="121" fillId="0" borderId="46" xfId="3" applyFont="1" applyBorder="1" applyAlignment="1">
      <alignment horizontal="left" vertical="center" wrapText="1"/>
    </xf>
    <xf numFmtId="0" fontId="118" fillId="0" borderId="10" xfId="3" applyFont="1" applyBorder="1" applyAlignment="1">
      <alignment horizontal="right" vertical="bottom" indent="1"/>
    </xf>
    <xf numFmtId="0" fontId="118" fillId="0" borderId="8" xfId="3" applyFont="1" applyBorder="1" applyAlignment="1">
      <alignment horizontal="right" vertical="bottom" indent="1"/>
    </xf>
    <xf numFmtId="0" fontId="118" fillId="0" borderId="46" xfId="3" applyFont="1" applyBorder="1" applyAlignment="1">
      <alignment horizontal="right" vertical="bottom" indent="1"/>
    </xf>
    <xf numFmtId="0" fontId="118" fillId="0" borderId="6" xfId="3" applyFont="1" applyBorder="1" applyAlignment="1">
      <alignment horizontal="left" vertical="center"/>
    </xf>
    <xf numFmtId="0" fontId="117" fillId="0" borderId="46" xfId="3" applyFont="1" applyBorder="1" applyAlignment="1">
      <alignment horizontal="left" vertical="center"/>
    </xf>
    <xf numFmtId="0" fontId="118" fillId="0" borderId="5" xfId="3" applyFont="1" applyBorder="1" applyAlignment="1">
      <alignment horizontal="right" vertical="center"/>
    </xf>
    <xf numFmtId="170" fontId="37" fillId="0" borderId="0" xfId="0" applyNumberFormat="1" applyFont="1">
      <alignment vertical="center"/>
    </xf>
    <xf numFmtId="0" fontId="117" fillId="0" borderId="6" xfId="3" applyFont="1" applyBorder="1" applyAlignment="1">
      <alignment horizontal="left" vertical="center"/>
    </xf>
    <xf numFmtId="0" fontId="122" fillId="0" borderId="5" xfId="3" applyFont="1" applyBorder="1" applyAlignment="1">
      <alignment horizontal="center" vertical="center"/>
    </xf>
    <xf numFmtId="0" fontId="123" fillId="0" borderId="5" xfId="3" applyFont="1" applyBorder="1" applyAlignment="1">
      <alignment horizontal="center" vertical="center"/>
    </xf>
    <xf numFmtId="0" fontId="123" fillId="0" borderId="10" xfId="3" applyFont="1" applyBorder="1" applyAlignment="1">
      <alignment horizontal="center" vertical="center"/>
    </xf>
    <xf numFmtId="0" fontId="123" fillId="0" borderId="8" xfId="3" applyFont="1" applyBorder="1" applyAlignment="1">
      <alignment horizontal="center" vertical="center"/>
    </xf>
    <xf numFmtId="0" fontId="123" fillId="0" borderId="46" xfId="3" applyFont="1" applyBorder="1" applyAlignment="1">
      <alignment horizontal="center" vertical="center"/>
    </xf>
    <xf numFmtId="0" fontId="109" fillId="0" borderId="10" xfId="3" applyFont="1" applyBorder="1" applyAlignment="1">
      <alignment horizontal="center" vertical="center"/>
    </xf>
    <xf numFmtId="0" fontId="109" fillId="0" borderId="9" xfId="3" applyFont="1" applyBorder="1" applyAlignment="1">
      <alignment horizontal="center" vertical="center"/>
    </xf>
    <xf numFmtId="3" fontId="124" fillId="0" borderId="10" xfId="3" applyNumberFormat="1" applyFont="1" applyBorder="1" applyAlignment="1">
      <alignment horizontal="center" vertical="center"/>
    </xf>
    <xf numFmtId="3" fontId="124" fillId="0" borderId="8" xfId="3" applyNumberFormat="1" applyFont="1" applyBorder="1" applyAlignment="1">
      <alignment horizontal="center" vertical="center"/>
    </xf>
    <xf numFmtId="3" fontId="124" fillId="0" borderId="46" xfId="3" applyNumberFormat="1" applyFont="1" applyBorder="1" applyAlignment="1">
      <alignment horizontal="center" vertical="center"/>
    </xf>
    <xf numFmtId="0" fontId="124" fillId="0" borderId="5" xfId="3" applyFont="1" applyBorder="1" applyAlignment="1">
      <alignment horizontal="center" vertical="center"/>
    </xf>
    <xf numFmtId="0" fontId="124" fillId="0" borderId="5" xfId="3" applyFont="1" applyBorder="1" applyAlignment="1">
      <alignment horizontal="center" vertical="center"/>
    </xf>
    <xf numFmtId="0" fontId="124" fillId="0" borderId="10" xfId="3" applyFont="1" applyBorder="1" applyAlignment="1">
      <alignment horizontal="center" vertical="center"/>
    </xf>
    <xf numFmtId="9" fontId="124" fillId="0" borderId="5" xfId="3" applyNumberFormat="1" applyFont="1" applyBorder="1" applyAlignment="1">
      <alignment horizontal="center" vertical="center"/>
    </xf>
    <xf numFmtId="9" fontId="124" fillId="0" borderId="5" xfId="3" applyNumberFormat="1" applyFont="1" applyBorder="1" applyAlignment="1">
      <alignment horizontal="center" vertical="center"/>
    </xf>
    <xf numFmtId="9" fontId="124" fillId="0" borderId="14" xfId="3" applyNumberFormat="1" applyFont="1" applyBorder="1" applyAlignment="1">
      <alignment horizontal="center" vertical="center"/>
    </xf>
    <xf numFmtId="9" fontId="124" fillId="0" borderId="47" xfId="3" applyNumberFormat="1" applyFont="1" applyBorder="1" applyAlignment="1">
      <alignment horizontal="center" vertical="center"/>
    </xf>
    <xf numFmtId="170" fontId="1" fillId="0" borderId="0" xfId="0" applyNumberFormat="1">
      <alignment vertical="center"/>
    </xf>
    <xf numFmtId="2" fontId="118" fillId="0" borderId="10" xfId="0" applyNumberFormat="1" applyFont="1" applyBorder="1" applyAlignment="1">
      <alignment horizontal="left" vertical="center"/>
    </xf>
    <xf numFmtId="2" fontId="118" fillId="0" borderId="8" xfId="0" applyNumberFormat="1" applyFont="1" applyBorder="1" applyAlignment="1">
      <alignment horizontal="left" vertical="center"/>
    </xf>
    <xf numFmtId="2" fontId="118" fillId="0" borderId="46" xfId="0" applyNumberFormat="1" applyFont="1" applyBorder="1" applyAlignment="1">
      <alignment horizontal="left" vertical="center"/>
    </xf>
    <xf numFmtId="170" fontId="42" fillId="0" borderId="10" xfId="3" applyNumberFormat="1" applyFont="1" applyBorder="1" applyAlignment="1">
      <alignment horizontal="center" vertical="center"/>
    </xf>
    <xf numFmtId="170" fontId="42" fillId="0" borderId="9" xfId="3" applyNumberFormat="1" applyFont="1" applyBorder="1" applyAlignment="1">
      <alignment horizontal="center" vertical="center"/>
    </xf>
    <xf numFmtId="0" fontId="44" fillId="0" borderId="0" xfId="0" applyFont="1">
      <alignment vertical="center"/>
    </xf>
    <xf numFmtId="0" fontId="1" fillId="0" borderId="5" xfId="0" applyBorder="1">
      <alignment vertical="center"/>
    </xf>
    <xf numFmtId="0" fontId="26" fillId="6" borderId="5" xfId="0" applyFont="1" applyFill="1" applyBorder="1">
      <alignment vertical="center"/>
    </xf>
    <xf numFmtId="0" fontId="115" fillId="0" borderId="10" xfId="0" applyNumberFormat="1" applyFont="1" applyBorder="1" applyAlignment="1">
      <alignment horizontal="left" vertical="center"/>
    </xf>
    <xf numFmtId="2" fontId="125" fillId="0" borderId="5" xfId="0" applyNumberFormat="1" applyFont="1" applyBorder="1" applyAlignment="1">
      <alignment horizontal="left" vertical="top" wrapText="1"/>
    </xf>
    <xf numFmtId="2" fontId="62" fillId="0" borderId="5" xfId="0" applyNumberFormat="1" applyFont="1" applyBorder="1" applyAlignment="1">
      <alignment horizontal="center" vertical="center"/>
    </xf>
    <xf numFmtId="2" fontId="124" fillId="0" borderId="5" xfId="0" applyNumberFormat="1" applyFont="1" applyBorder="1" applyAlignment="1">
      <alignment horizontal="left" vertical="center" wrapText="1"/>
    </xf>
    <xf numFmtId="2" fontId="62" fillId="0" borderId="10" xfId="0" applyNumberFormat="1" applyFont="1" applyBorder="1" applyAlignment="1">
      <alignment horizontal="center" vertical="center"/>
    </xf>
    <xf numFmtId="2" fontId="62" fillId="0" borderId="46" xfId="0" applyNumberFormat="1" applyFont="1" applyBorder="1" applyAlignment="1">
      <alignment horizontal="center" vertical="center"/>
    </xf>
    <xf numFmtId="170" fontId="58" fillId="0" borderId="10" xfId="3" applyNumberFormat="1" applyFont="1" applyBorder="1" applyAlignment="1">
      <alignment horizontal="center" vertical="center"/>
    </xf>
    <xf numFmtId="170" fontId="58" fillId="0" borderId="9" xfId="3" applyNumberFormat="1" applyFont="1" applyBorder="1" applyAlignment="1">
      <alignment horizontal="center" vertical="center"/>
    </xf>
    <xf numFmtId="0" fontId="101" fillId="0" borderId="5" xfId="0" applyFont="1" applyBorder="1" applyAlignment="1">
      <alignment horizontal="left" vertical="center"/>
      <protection locked="1" hidden="1"/>
    </xf>
    <xf numFmtId="0" fontId="65" fillId="6" borderId="5" xfId="0" applyFont="1" applyFill="1" applyBorder="1" applyAlignment="1">
      <alignment horizontal="left" vertical="center"/>
      <protection locked="1" hidden="1"/>
    </xf>
    <xf numFmtId="2" fontId="26" fillId="6" borderId="5" xfId="0" applyNumberFormat="1" applyFont="1" applyFill="1" applyBorder="1" applyAlignment="1">
      <alignment horizontal="right" vertical="center"/>
    </xf>
    <xf numFmtId="2" fontId="115" fillId="0" borderId="5" xfId="0" applyNumberFormat="1" applyFont="1" applyBorder="1" applyAlignment="1">
      <alignment horizontal="left" vertical="center"/>
    </xf>
    <xf numFmtId="170" fontId="58" fillId="0" borderId="10" xfId="5" applyNumberFormat="1" applyFont="1" applyBorder="1" applyAlignment="1">
      <alignment horizontal="center" vertical="center"/>
    </xf>
    <xf numFmtId="170" fontId="58" fillId="0" borderId="9" xfId="5" applyNumberFormat="1" applyFont="1" applyBorder="1" applyAlignment="1">
      <alignment horizontal="center" vertical="center"/>
    </xf>
    <xf numFmtId="0" fontId="26" fillId="6" borderId="5" xfId="0" applyFont="1" applyFill="1" applyBorder="1" applyAlignment="1">
      <alignment horizontal="right" vertical="center"/>
    </xf>
    <xf numFmtId="2" fontId="118" fillId="0" borderId="5" xfId="0" applyNumberFormat="1" applyFont="1" applyBorder="1" applyAlignment="1">
      <alignment horizontal="center" vertical="center"/>
    </xf>
    <xf numFmtId="170" fontId="42" fillId="0" borderId="10" xfId="5" applyNumberFormat="1" applyFont="1" applyBorder="1" applyAlignment="1">
      <alignment horizontal="center" vertical="center"/>
    </xf>
    <xf numFmtId="170" fontId="42" fillId="0" borderId="9" xfId="5" applyNumberFormat="1" applyFont="1" applyBorder="1" applyAlignment="1">
      <alignment horizontal="center" vertical="center"/>
    </xf>
    <xf numFmtId="2" fontId="26" fillId="6" borderId="5" xfId="0" applyNumberFormat="1" applyFont="1" applyFill="1" applyBorder="1">
      <alignment vertical="center"/>
    </xf>
    <xf numFmtId="0" fontId="101" fillId="0" borderId="5" xfId="0" applyFont="1" applyBorder="1" applyAlignment="1">
      <alignment horizontal="left" vertical="center"/>
      <protection locked="1" hidden="1"/>
    </xf>
    <xf numFmtId="0" fontId="113" fillId="0" borderId="15" xfId="3" applyFont="1" applyBorder="1" applyAlignment="1">
      <alignment horizontal="center" vertical="center" wrapText="1"/>
    </xf>
    <xf numFmtId="0" fontId="113" fillId="0" borderId="47" xfId="3" applyFont="1" applyBorder="1" applyAlignment="1">
      <alignment horizontal="center" vertical="center" wrapText="1"/>
    </xf>
    <xf numFmtId="0" fontId="115" fillId="0" borderId="5" xfId="3" applyFont="1" applyBorder="1" applyAlignment="1">
      <alignment horizontal="center" vertical="center" wrapText="1"/>
    </xf>
    <xf numFmtId="0" fontId="115" fillId="0" borderId="10" xfId="3" applyFont="1" applyBorder="1" applyAlignment="1">
      <alignment horizontal="center" vertical="center" wrapText="1"/>
    </xf>
    <xf numFmtId="0" fontId="115" fillId="0" borderId="46" xfId="3" applyFont="1" applyBorder="1" applyAlignment="1">
      <alignment horizontal="center" vertical="center" wrapText="1"/>
    </xf>
    <xf numFmtId="0" fontId="115" fillId="0" borderId="5" xfId="3" applyFont="1" applyBorder="1" applyAlignment="1">
      <alignment horizontal="center" vertical="center" wrapText="1"/>
    </xf>
    <xf numFmtId="0" fontId="115" fillId="0" borderId="9" xfId="3" applyFont="1" applyBorder="1" applyAlignment="1">
      <alignment horizontal="center" vertical="center" wrapText="1"/>
    </xf>
    <xf numFmtId="0" fontId="113" fillId="0" borderId="19" xfId="3" applyFont="1" applyBorder="1" applyAlignment="1">
      <alignment horizontal="center" vertical="center" wrapText="1"/>
    </xf>
    <xf numFmtId="0" fontId="113" fillId="0" borderId="53" xfId="3" applyFont="1" applyBorder="1" applyAlignment="1">
      <alignment horizontal="center" vertical="center" wrapText="1"/>
    </xf>
    <xf numFmtId="0" fontId="110" fillId="0" borderId="5" xfId="3" applyFont="1" applyBorder="1" applyAlignment="1">
      <alignment horizontal="center" vertical="center" wrapText="1"/>
    </xf>
    <xf numFmtId="0" fontId="110" fillId="0" borderId="5" xfId="3" applyFont="1" applyBorder="1" applyAlignment="1">
      <alignment horizontal="center" vertical="center"/>
    </xf>
    <xf numFmtId="1" fontId="110" fillId="0" borderId="5" xfId="3" applyNumberFormat="1" applyFont="1" applyBorder="1" applyAlignment="1">
      <alignment horizontal="center" vertical="center" wrapText="1"/>
    </xf>
    <xf numFmtId="170" fontId="62" fillId="0" borderId="10" xfId="5" applyNumberFormat="1" applyFont="1" applyBorder="1" applyAlignment="1">
      <alignment horizontal="left" vertical="center" wrapText="1"/>
    </xf>
    <xf numFmtId="170" fontId="62" fillId="0" borderId="9" xfId="5" applyNumberFormat="1" applyFont="1" applyBorder="1" applyAlignment="1">
      <alignment horizontal="left" vertical="center" wrapText="1"/>
    </xf>
    <xf numFmtId="0" fontId="126" fillId="6" borderId="43" xfId="3" applyFont="1" applyFill="1" applyBorder="1" applyAlignment="1">
      <alignment horizontal="right" vertical="center"/>
    </xf>
    <xf numFmtId="0" fontId="126" fillId="6" borderId="44" xfId="3" applyFont="1" applyFill="1" applyBorder="1" applyAlignment="1">
      <alignment horizontal="right" vertical="center"/>
    </xf>
    <xf numFmtId="170" fontId="49" fillId="0" borderId="73" xfId="5" applyNumberFormat="1" applyFont="1" applyBorder="1" applyAlignment="1">
      <alignment horizontal="center" vertical="center" wrapText="1"/>
    </xf>
    <xf numFmtId="170" fontId="49" fillId="0" borderId="23" xfId="5" applyNumberFormat="1" applyFont="1" applyBorder="1" applyAlignment="1">
      <alignment horizontal="center" vertical="center" wrapText="1"/>
    </xf>
    <xf numFmtId="0" fontId="37" fillId="0" borderId="0" xfId="3" applyFont="1" applyAlignment="1">
      <alignment horizontal="right" vertical="center"/>
    </xf>
    <xf numFmtId="0" fontId="127" fillId="0" borderId="0" xfId="3" applyFont="1" applyAlignment="1">
      <alignment horizontal="right" vertical="center"/>
    </xf>
    <xf numFmtId="0" fontId="57" fillId="0" borderId="0" xfId="3" applyFont="1" applyAlignment="1">
      <alignment horizontal="right" vertical="center"/>
    </xf>
    <xf numFmtId="2" fontId="58" fillId="0" borderId="0" xfId="3" applyNumberFormat="1" applyFont="1" applyAlignment="1">
      <alignment horizontal="right" vertical="center"/>
    </xf>
    <xf numFmtId="0" fontId="128" fillId="0" borderId="0" xfId="0" applyFont="1" applyAlignment="1">
      <alignment horizontal="center" vertical="top"/>
    </xf>
    <xf numFmtId="2" fontId="129" fillId="4" borderId="5" xfId="0" applyNumberFormat="1" applyFont="1" applyFill="1" applyBorder="1" applyAlignment="1">
      <alignment horizontal="center" vertical="bottom" wrapText="1"/>
    </xf>
    <xf numFmtId="0" fontId="83" fillId="4" borderId="64" xfId="0" applyFont="1" applyFill="1" applyBorder="1" applyAlignment="1">
      <alignment horizontal="center" vertical="center"/>
      <protection locked="1" hidden="1"/>
    </xf>
    <xf numFmtId="0" fontId="83" fillId="4" borderId="0" xfId="0" applyFont="1" applyFill="1" applyBorder="1" applyAlignment="1">
      <alignment horizontal="center" vertical="center"/>
      <protection locked="1" hidden="1"/>
    </xf>
    <xf numFmtId="0" fontId="83" fillId="4" borderId="52" xfId="0" applyFont="1" applyFill="1" applyBorder="1" applyAlignment="1">
      <alignment horizontal="center" vertical="center"/>
      <protection locked="1" hidden="1"/>
    </xf>
    <xf numFmtId="0" fontId="129" fillId="4" borderId="5" xfId="0" applyFont="1" applyFill="1" applyBorder="1" applyAlignment="1">
      <alignment horizontal="center" vertical="bottom" wrapText="1"/>
    </xf>
    <xf numFmtId="0" fontId="130" fillId="0" borderId="0" xfId="3" applyFont="1" applyAlignment="1">
      <alignment vertical="top"/>
    </xf>
    <xf numFmtId="0" fontId="131" fillId="0" borderId="0" xfId="3" applyFont="1" applyAlignment="1">
      <alignment vertical="bottom"/>
    </xf>
    <xf numFmtId="0" fontId="110" fillId="0" borderId="3" xfId="3" applyFont="1" applyBorder="1" applyAlignment="1">
      <alignment horizontal="center" vertical="center"/>
    </xf>
    <xf numFmtId="0" fontId="30" fillId="0" borderId="39" xfId="3" applyFont="1" applyBorder="1" applyAlignment="1">
      <alignment horizontal="center" vertical="bottom"/>
    </xf>
    <xf numFmtId="0" fontId="132" fillId="0" borderId="39" xfId="3" applyFont="1" applyBorder="1" applyAlignment="1">
      <alignment horizontal="center" vertical="center"/>
    </xf>
    <xf numFmtId="0" fontId="132" fillId="0" borderId="67" xfId="3" applyFont="1" applyBorder="1" applyAlignment="1">
      <alignment horizontal="center" vertical="center"/>
    </xf>
    <xf numFmtId="0" fontId="133" fillId="0" borderId="68" xfId="3" applyFont="1" applyBorder="1" applyAlignment="1">
      <alignment horizontal="center" vertical="center"/>
    </xf>
    <xf numFmtId="0" fontId="115" fillId="0" borderId="76" xfId="3" applyFont="1" applyBorder="1" applyAlignment="1">
      <alignment horizontal="left" vertical="center"/>
    </xf>
    <xf numFmtId="0" fontId="115" fillId="0" borderId="69" xfId="3" applyFont="1" applyBorder="1" applyAlignment="1">
      <alignment horizontal="left" vertical="center"/>
    </xf>
    <xf numFmtId="0" fontId="114" fillId="0" borderId="69" xfId="3" applyFont="1" applyBorder="1" applyAlignment="1">
      <alignment horizontal="center" vertical="center"/>
    </xf>
    <xf numFmtId="0" fontId="114" fillId="0" borderId="70" xfId="3" applyFont="1" applyBorder="1" applyAlignment="1">
      <alignment horizontal="center" vertical="center"/>
    </xf>
    <xf numFmtId="0" fontId="133" fillId="0" borderId="4" xfId="3" applyFont="1" applyBorder="1" applyAlignment="1">
      <alignment horizontal="center" vertical="center"/>
    </xf>
    <xf numFmtId="170" fontId="43" fillId="0" borderId="10" xfId="5" applyNumberFormat="1" applyFont="1" applyBorder="1" applyAlignment="1">
      <alignment horizontal="center" vertical="center"/>
    </xf>
    <xf numFmtId="170" fontId="43" fillId="0" borderId="9" xfId="5" applyNumberFormat="1" applyFont="1" applyBorder="1" applyAlignment="1">
      <alignment horizontal="center" vertical="center"/>
    </xf>
    <xf numFmtId="170" fontId="41" fillId="0" borderId="10" xfId="5" applyNumberFormat="1" applyFont="1" applyBorder="1" applyAlignment="1">
      <alignment horizontal="center" vertical="center"/>
    </xf>
    <xf numFmtId="170" fontId="41" fillId="0" borderId="9" xfId="5" applyNumberFormat="1" applyFont="1" applyBorder="1" applyAlignment="1">
      <alignment horizontal="center" vertical="center"/>
    </xf>
    <xf numFmtId="170" fontId="62" fillId="0" borderId="10" xfId="5" applyNumberFormat="1" applyFont="1" applyBorder="1" applyAlignment="1">
      <alignment horizontal="center" vertical="center"/>
    </xf>
    <xf numFmtId="170" fontId="62" fillId="0" borderId="9" xfId="5" applyNumberFormat="1" applyFont="1" applyBorder="1" applyAlignment="1">
      <alignment horizontal="center" vertical="center"/>
    </xf>
    <xf numFmtId="0" fontId="133" fillId="0" borderId="13" xfId="3" applyFont="1" applyBorder="1" applyAlignment="1">
      <alignment horizontal="center" vertical="top"/>
    </xf>
    <xf numFmtId="1" fontId="41" fillId="0" borderId="5" xfId="3" applyNumberFormat="1" applyFont="1" applyBorder="1" applyAlignment="1">
      <alignment horizontal="center" vertical="center"/>
    </xf>
    <xf numFmtId="0" fontId="133" fillId="0" borderId="77" xfId="3" applyFont="1" applyBorder="1" applyAlignment="1">
      <alignment horizontal="center" vertical="top"/>
    </xf>
    <xf numFmtId="0" fontId="133" fillId="0" borderId="17" xfId="3" applyFont="1" applyBorder="1" applyAlignment="1">
      <alignment horizontal="center" vertical="top"/>
    </xf>
    <xf numFmtId="0" fontId="133" fillId="0" borderId="4" xfId="3" applyFont="1" applyBorder="1" applyAlignment="1">
      <alignment horizontal="center" vertical="top"/>
    </xf>
    <xf numFmtId="0" fontId="115" fillId="0" borderId="14" xfId="3" applyFont="1" applyBorder="1" applyAlignment="1">
      <alignment horizontal="left" vertical="center" wrapText="1"/>
    </xf>
    <xf numFmtId="0" fontId="115" fillId="0" borderId="47" xfId="3" applyFont="1" applyBorder="1" applyAlignment="1">
      <alignment horizontal="left" vertical="center" wrapText="1"/>
    </xf>
    <xf numFmtId="0" fontId="115" fillId="0" borderId="18" xfId="3" applyFont="1" applyBorder="1" applyAlignment="1">
      <alignment horizontal="left" vertical="center" wrapText="1"/>
    </xf>
    <xf numFmtId="0" fontId="115" fillId="0" borderId="53" xfId="3" applyFont="1" applyBorder="1" applyAlignment="1">
      <alignment horizontal="left" vertical="center" wrapText="1"/>
    </xf>
    <xf numFmtId="0" fontId="121" fillId="0" borderId="5" xfId="3" applyFont="1" applyBorder="1" applyAlignment="1">
      <alignment horizontal="left" vertical="center"/>
    </xf>
    <xf numFmtId="0" fontId="121" fillId="0" borderId="6" xfId="3" applyFont="1" applyBorder="1" applyAlignment="1">
      <alignment horizontal="left" vertical="center"/>
    </xf>
    <xf numFmtId="0" fontId="134" fillId="0" borderId="5" xfId="3" applyFont="1" applyBorder="1" applyAlignment="1">
      <alignment horizontal="center" vertical="center"/>
    </xf>
    <xf numFmtId="171" fontId="124" fillId="0" borderId="10" xfId="5" applyNumberFormat="1" applyFont="1" applyBorder="1" applyAlignment="1">
      <alignment horizontal="center" vertical="center"/>
    </xf>
    <xf numFmtId="171" fontId="124" fillId="0" borderId="46" xfId="5" applyNumberFormat="1" applyFont="1" applyBorder="1" applyAlignment="1">
      <alignment horizontal="center" vertical="center"/>
    </xf>
    <xf numFmtId="0" fontId="134" fillId="0" borderId="78" xfId="3" applyFont="1" applyBorder="1" applyAlignment="1">
      <alignment horizontal="center" vertical="top"/>
    </xf>
    <xf numFmtId="0" fontId="135" fillId="0" borderId="14" xfId="3" applyFont="1" applyBorder="1" applyAlignment="1">
      <alignment horizontal="left" vertical="center" wrapText="1"/>
    </xf>
    <xf numFmtId="0" fontId="135" fillId="0" borderId="15" xfId="3" applyFont="1" applyBorder="1" applyAlignment="1">
      <alignment horizontal="left" vertical="center" wrapText="1"/>
    </xf>
    <xf numFmtId="0" fontId="135" fillId="0" borderId="47" xfId="3" applyFont="1" applyBorder="1" applyAlignment="1">
      <alignment horizontal="left" vertical="center" wrapText="1"/>
    </xf>
    <xf numFmtId="171" fontId="124" fillId="4" borderId="14" xfId="5" applyNumberFormat="1" applyFont="1" applyFill="1" applyBorder="1" applyAlignment="1">
      <alignment horizontal="center" vertical="center"/>
      <protection locked="0" hidden="0"/>
    </xf>
    <xf numFmtId="171" fontId="124" fillId="4" borderId="47" xfId="5" applyNumberFormat="1" applyFont="1" applyFill="1" applyBorder="1" applyAlignment="1">
      <alignment horizontal="center" vertical="center"/>
      <protection locked="0" hidden="0"/>
    </xf>
    <xf numFmtId="0" fontId="117" fillId="0" borderId="16" xfId="3" applyFont="1" applyBorder="1" applyAlignment="1">
      <alignment horizontal="center" vertical="center"/>
    </xf>
    <xf numFmtId="0" fontId="134" fillId="0" borderId="54" xfId="3" applyFont="1" applyBorder="1" applyAlignment="1">
      <alignment horizontal="center" vertical="top"/>
    </xf>
    <xf numFmtId="0" fontId="135" fillId="0" borderId="18" xfId="3" applyFont="1" applyBorder="1" applyAlignment="1">
      <alignment horizontal="left" vertical="center" wrapText="1"/>
    </xf>
    <xf numFmtId="0" fontId="135" fillId="0" borderId="19" xfId="3" applyFont="1" applyBorder="1" applyAlignment="1">
      <alignment horizontal="left" vertical="center" wrapText="1"/>
    </xf>
    <xf numFmtId="0" fontId="135" fillId="0" borderId="53" xfId="3" applyFont="1" applyBorder="1" applyAlignment="1">
      <alignment horizontal="left" vertical="center" wrapText="1"/>
    </xf>
    <xf numFmtId="171" fontId="124" fillId="4" borderId="18" xfId="5" applyNumberFormat="1" applyFont="1" applyFill="1" applyBorder="1" applyAlignment="1">
      <alignment horizontal="center" vertical="center"/>
      <protection locked="0" hidden="0"/>
    </xf>
    <xf numFmtId="171" fontId="124" fillId="4" borderId="53" xfId="5" applyNumberFormat="1" applyFont="1" applyFill="1" applyBorder="1" applyAlignment="1">
      <alignment horizontal="center" vertical="center"/>
      <protection locked="0" hidden="0"/>
    </xf>
    <xf numFmtId="0" fontId="117" fillId="0" borderId="51" xfId="3" applyFont="1" applyBorder="1" applyAlignment="1">
      <alignment horizontal="center" vertical="center"/>
    </xf>
    <xf numFmtId="0" fontId="117" fillId="0" borderId="65" xfId="3" applyFont="1" applyBorder="1" applyAlignment="1">
      <alignment horizontal="center" vertical="center"/>
    </xf>
    <xf numFmtId="0" fontId="117" fillId="0" borderId="5" xfId="3" applyFont="1" applyBorder="1">
      <alignment vertical="center"/>
    </xf>
    <xf numFmtId="171" fontId="124" fillId="0" borderId="10" xfId="5" applyNumberFormat="1" applyFont="1" applyBorder="1" applyAlignment="1">
      <alignment horizontal="left" vertical="center"/>
    </xf>
    <xf numFmtId="171" fontId="124" fillId="0" borderId="46" xfId="5" applyNumberFormat="1" applyFont="1" applyBorder="1" applyAlignment="1">
      <alignment horizontal="left" vertical="center"/>
    </xf>
    <xf numFmtId="0" fontId="124" fillId="0" borderId="10" xfId="3" applyFont="1" applyBorder="1" applyAlignment="1">
      <alignment horizontal="left" vertical="center"/>
    </xf>
    <xf numFmtId="0" fontId="124" fillId="0" borderId="8" xfId="3" applyFont="1" applyBorder="1" applyAlignment="1">
      <alignment horizontal="left" vertical="center"/>
    </xf>
    <xf numFmtId="0" fontId="124" fillId="0" borderId="46" xfId="3" applyFont="1" applyBorder="1" applyAlignment="1">
      <alignment horizontal="left" vertical="center"/>
    </xf>
    <xf numFmtId="171" fontId="114" fillId="0" borderId="10" xfId="5" applyNumberFormat="1" applyFont="1" applyBorder="1" applyAlignment="1">
      <alignment horizontal="left" vertical="center"/>
    </xf>
    <xf numFmtId="171" fontId="114" fillId="0" borderId="46" xfId="5" applyNumberFormat="1" applyFont="1" applyBorder="1" applyAlignment="1">
      <alignment horizontal="left" vertical="center"/>
    </xf>
    <xf numFmtId="0" fontId="136" fillId="0" borderId="10" xfId="3" applyFont="1" applyBorder="1" applyAlignment="1">
      <alignment horizontal="left" vertical="top" wrapText="1"/>
    </xf>
    <xf numFmtId="0" fontId="136" fillId="0" borderId="8" xfId="3" applyFont="1" applyBorder="1" applyAlignment="1">
      <alignment horizontal="left" vertical="top" wrapText="1"/>
    </xf>
    <xf numFmtId="0" fontId="136" fillId="0" borderId="46" xfId="3" applyFont="1" applyBorder="1" applyAlignment="1">
      <alignment horizontal="left" vertical="top" wrapText="1"/>
    </xf>
    <xf numFmtId="170" fontId="41" fillId="0" borderId="10" xfId="5" applyNumberFormat="1" applyFont="1" applyBorder="1" applyAlignment="1">
      <alignment horizontal="center" vertical="center"/>
      <protection locked="1" hidden="1"/>
    </xf>
    <xf numFmtId="170" fontId="41" fillId="0" borderId="9" xfId="5" applyNumberFormat="1" applyFont="1" applyBorder="1" applyAlignment="1">
      <alignment horizontal="center" vertical="center"/>
      <protection locked="1" hidden="1"/>
    </xf>
    <xf numFmtId="0" fontId="137" fillId="0" borderId="5" xfId="3" applyFont="1" applyBorder="1" applyAlignment="1">
      <alignment horizontal="left" vertical="center"/>
    </xf>
    <xf numFmtId="0" fontId="137" fillId="0" borderId="6" xfId="3" applyFont="1" applyBorder="1" applyAlignment="1">
      <alignment horizontal="left" vertical="center"/>
    </xf>
    <xf numFmtId="0" fontId="138" fillId="6" borderId="79" xfId="3" applyFont="1" applyFill="1" applyBorder="1" applyAlignment="1">
      <alignment horizontal="center" vertical="center"/>
      <protection locked="1" hidden="1"/>
    </xf>
    <xf numFmtId="0" fontId="117" fillId="0" borderId="10" xfId="3" applyFont="1" applyBorder="1" applyAlignment="1">
      <alignment horizontal="left" vertical="top"/>
    </xf>
    <xf numFmtId="0" fontId="117" fillId="0" borderId="8" xfId="3" applyFont="1" applyBorder="1" applyAlignment="1">
      <alignment horizontal="left" vertical="top"/>
    </xf>
    <xf numFmtId="0" fontId="117" fillId="0" borderId="46" xfId="3" applyFont="1" applyBorder="1" applyAlignment="1">
      <alignment horizontal="left" vertical="top"/>
    </xf>
    <xf numFmtId="0" fontId="117" fillId="0" borderId="8" xfId="3" applyFont="1" applyBorder="1" applyAlignment="1">
      <alignment horizontal="left" vertical="center"/>
    </xf>
    <xf numFmtId="0" fontId="117" fillId="0" borderId="46" xfId="3" applyFont="1" applyBorder="1" applyAlignment="1">
      <alignment horizontal="left" vertical="center"/>
    </xf>
    <xf numFmtId="170" fontId="41" fillId="0" borderId="10" xfId="5" applyNumberFormat="1" applyFont="1" applyBorder="1" applyAlignment="1">
      <alignment horizontal="center" vertical="center"/>
    </xf>
    <xf numFmtId="170" fontId="41" fillId="0" borderId="9" xfId="5" applyNumberFormat="1" applyFont="1" applyBorder="1" applyAlignment="1">
      <alignment horizontal="center" vertical="center"/>
    </xf>
    <xf numFmtId="170" fontId="110" fillId="0" borderId="10" xfId="5" applyNumberFormat="1" applyFont="1" applyBorder="1" applyAlignment="1">
      <alignment horizontal="center" vertical="center"/>
    </xf>
    <xf numFmtId="170" fontId="110" fillId="0" borderId="9" xfId="5" applyNumberFormat="1" applyFont="1" applyBorder="1" applyAlignment="1">
      <alignment horizontal="center" vertical="center"/>
    </xf>
    <xf numFmtId="0" fontId="115" fillId="0" borderId="6" xfId="3" applyFont="1" applyBorder="1" applyAlignment="1">
      <alignment horizontal="left" vertical="center"/>
    </xf>
    <xf numFmtId="0" fontId="139" fillId="0" borderId="5" xfId="3" applyFont="1" applyBorder="1" applyAlignment="1">
      <alignment horizontal="center" vertical="center"/>
    </xf>
    <xf numFmtId="0" fontId="139" fillId="0" borderId="10" xfId="3" applyFont="1" applyBorder="1" applyAlignment="1">
      <alignment horizontal="center" vertical="center"/>
    </xf>
    <xf numFmtId="0" fontId="139" fillId="0" borderId="8" xfId="3" applyFont="1" applyBorder="1" applyAlignment="1">
      <alignment horizontal="center" vertical="center"/>
    </xf>
    <xf numFmtId="0" fontId="139" fillId="0" borderId="46" xfId="3" applyFont="1" applyBorder="1" applyAlignment="1">
      <alignment horizontal="center" vertical="center"/>
    </xf>
    <xf numFmtId="0" fontId="140" fillId="0" borderId="10" xfId="3" applyFont="1" applyBorder="1" applyAlignment="1">
      <alignment horizontal="center" vertical="center"/>
    </xf>
    <xf numFmtId="0" fontId="140" fillId="0" borderId="9" xfId="3" applyFont="1" applyBorder="1" applyAlignment="1">
      <alignment horizontal="center" vertical="center"/>
    </xf>
    <xf numFmtId="0" fontId="124" fillId="0" borderId="10" xfId="3" applyFont="1" applyBorder="1" applyAlignment="1">
      <alignment horizontal="center" vertical="center"/>
    </xf>
    <xf numFmtId="0" fontId="124" fillId="0" borderId="8" xfId="3" applyFont="1" applyBorder="1" applyAlignment="1">
      <alignment horizontal="center" vertical="center"/>
    </xf>
    <xf numFmtId="0" fontId="124" fillId="0" borderId="46" xfId="3" applyFont="1" applyBorder="1" applyAlignment="1">
      <alignment horizontal="center" vertical="center"/>
    </xf>
    <xf numFmtId="9" fontId="124" fillId="0" borderId="10" xfId="3" applyNumberFormat="1" applyFont="1" applyBorder="1" applyAlignment="1">
      <alignment horizontal="center" vertical="center"/>
    </xf>
    <xf numFmtId="9" fontId="124" fillId="0" borderId="46" xfId="3" applyNumberFormat="1" applyFont="1" applyBorder="1" applyAlignment="1">
      <alignment horizontal="center" vertical="center"/>
    </xf>
    <xf numFmtId="0" fontId="141" fillId="0" borderId="10" xfId="3" applyFont="1" applyBorder="1" applyAlignment="1">
      <alignment horizontal="center" vertical="center"/>
    </xf>
    <xf numFmtId="0" fontId="141" fillId="0" borderId="8" xfId="3" applyFont="1" applyBorder="1" applyAlignment="1">
      <alignment horizontal="center" vertical="center"/>
    </xf>
    <xf numFmtId="0" fontId="141" fillId="0" borderId="46" xfId="3" applyFont="1" applyBorder="1" applyAlignment="1">
      <alignment horizontal="center" vertical="center"/>
    </xf>
    <xf numFmtId="2" fontId="142" fillId="0" borderId="10" xfId="0" applyNumberFormat="1" applyFont="1" applyBorder="1" applyAlignment="1">
      <alignment horizontal="left" vertical="center"/>
    </xf>
    <xf numFmtId="2" fontId="142" fillId="0" borderId="8" xfId="0" applyNumberFormat="1" applyFont="1" applyBorder="1" applyAlignment="1">
      <alignment horizontal="left" vertical="center"/>
    </xf>
    <xf numFmtId="2" fontId="142" fillId="0" borderId="46" xfId="0" applyNumberFormat="1" applyFont="1" applyBorder="1" applyAlignment="1">
      <alignment horizontal="left" vertical="center"/>
    </xf>
    <xf numFmtId="2" fontId="139" fillId="0" borderId="10" xfId="0" applyNumberFormat="1" applyFont="1" applyBorder="1" applyAlignment="1">
      <alignment horizontal="left" vertical="top"/>
    </xf>
    <xf numFmtId="2" fontId="139" fillId="0" borderId="8" xfId="0" applyNumberFormat="1" applyFont="1" applyBorder="1" applyAlignment="1">
      <alignment horizontal="left" vertical="top"/>
    </xf>
    <xf numFmtId="2" fontId="139" fillId="0" borderId="46" xfId="0" applyNumberFormat="1" applyFont="1" applyBorder="1" applyAlignment="1">
      <alignment horizontal="left" vertical="top"/>
    </xf>
    <xf numFmtId="0" fontId="115" fillId="0" borderId="10" xfId="3" applyFont="1" applyBorder="1" applyAlignment="1">
      <alignment horizontal="left" vertical="center"/>
    </xf>
    <xf numFmtId="0" fontId="115" fillId="0" borderId="8" xfId="3" applyFont="1" applyBorder="1" applyAlignment="1">
      <alignment horizontal="left" vertical="center"/>
    </xf>
    <xf numFmtId="0" fontId="115" fillId="0" borderId="46" xfId="3" applyFont="1" applyBorder="1" applyAlignment="1">
      <alignment horizontal="left" vertical="center"/>
    </xf>
    <xf numFmtId="0" fontId="142" fillId="0" borderId="5" xfId="3" applyFont="1" applyBorder="1" applyAlignment="1">
      <alignment horizontal="left" vertical="center"/>
    </xf>
    <xf numFmtId="0" fontId="143" fillId="0" borderId="15" xfId="3" applyFont="1" applyBorder="1" applyAlignment="1">
      <alignment horizontal="center" vertical="center" wrapText="1"/>
    </xf>
    <xf numFmtId="0" fontId="143" fillId="0" borderId="47" xfId="3" applyFont="1" applyBorder="1" applyAlignment="1">
      <alignment horizontal="center" vertical="center" wrapText="1"/>
    </xf>
    <xf numFmtId="0" fontId="144" fillId="0" borderId="5" xfId="3" applyFont="1" applyBorder="1" applyAlignment="1">
      <alignment horizontal="center" vertical="center" wrapText="1"/>
    </xf>
    <xf numFmtId="0" fontId="145" fillId="0" borderId="10" xfId="3" applyFont="1" applyBorder="1" applyAlignment="1">
      <alignment horizontal="center" vertical="center" wrapText="1"/>
    </xf>
    <xf numFmtId="0" fontId="145" fillId="0" borderId="9" xfId="3" applyFont="1" applyBorder="1" applyAlignment="1">
      <alignment horizontal="center" vertical="center" wrapText="1"/>
    </xf>
    <xf numFmtId="0" fontId="143" fillId="0" borderId="19" xfId="3" applyFont="1" applyBorder="1" applyAlignment="1">
      <alignment horizontal="center" vertical="center" wrapText="1"/>
    </xf>
    <xf numFmtId="0" fontId="143" fillId="0" borderId="53" xfId="3" applyFont="1" applyBorder="1" applyAlignment="1">
      <alignment horizontal="center" vertical="center" wrapText="1"/>
    </xf>
    <xf numFmtId="0" fontId="146" fillId="0" borderId="21" xfId="3" applyFont="1" applyBorder="1" applyAlignment="1">
      <alignment horizontal="right" vertical="center"/>
    </xf>
    <xf numFmtId="0" fontId="147" fillId="0" borderId="22" xfId="0" applyFont="1" applyBorder="1" applyAlignment="1">
      <alignment vertical="bottom"/>
    </xf>
    <xf numFmtId="0" fontId="147" fillId="0" borderId="72" xfId="0" applyFont="1" applyBorder="1" applyAlignment="1">
      <alignment vertical="bottom"/>
    </xf>
    <xf numFmtId="170" fontId="49" fillId="6" borderId="73" xfId="5" applyNumberFormat="1" applyFont="1" applyFill="1" applyBorder="1" applyAlignment="1">
      <alignment horizontal="center" vertical="center" wrapText="1"/>
    </xf>
    <xf numFmtId="170" fontId="49" fillId="6" borderId="23" xfId="5" applyNumberFormat="1" applyFont="1" applyFill="1" applyBorder="1" applyAlignment="1">
      <alignment horizontal="center" vertical="center" wrapText="1"/>
    </xf>
    <xf numFmtId="0" fontId="148" fillId="0" borderId="0" xfId="0" applyFont="1" applyAlignment="1">
      <alignment horizontal="center" vertical="top"/>
    </xf>
    <xf numFmtId="0" fontId="77" fillId="4" borderId="5" xfId="0" applyFont="1" applyFill="1" applyBorder="1" applyAlignment="1">
      <alignment horizontal="center" vertical="bottom" wrapText="1"/>
    </xf>
    <xf numFmtId="0" fontId="130" fillId="0" borderId="0" xfId="3" applyFont="1" applyAlignment="1">
      <alignment vertical="top" wrapText="1"/>
    </xf>
    <xf numFmtId="0" fontId="149" fillId="0" borderId="0" xfId="3" applyFont="1" applyAlignment="1">
      <alignment horizontal="center" vertical="center" wrapText="1"/>
    </xf>
    <xf numFmtId="0" fontId="150" fillId="0" borderId="0" xfId="3" applyFont="1" applyAlignment="1">
      <alignment horizontal="center" vertical="bottom"/>
    </xf>
    <xf numFmtId="0" fontId="1" fillId="6" borderId="0" xfId="0" applyFill="1" applyAlignment="1">
      <alignment vertical="bottom"/>
    </xf>
    <xf numFmtId="0" fontId="131" fillId="6" borderId="0" xfId="3" applyFont="1" applyFill="1" applyAlignment="1">
      <alignment vertical="bottom"/>
    </xf>
    <xf numFmtId="0" fontId="108" fillId="6" borderId="0" xfId="3" applyFont="1" applyFill="1" applyAlignment="1">
      <alignment vertical="bottom"/>
    </xf>
    <xf numFmtId="0" fontId="109" fillId="6" borderId="0" xfId="3" applyFont="1" applyFill="1" applyAlignment="1">
      <alignment horizontal="right" vertical="bottom"/>
    </xf>
    <xf numFmtId="0" fontId="108" fillId="6" borderId="0" xfId="3" applyFont="1" applyFill="1" applyAlignment="1">
      <alignment horizontal="right" vertical="bottom"/>
    </xf>
    <xf numFmtId="0" fontId="1" fillId="0" borderId="0" xfId="0" applyAlignment="1">
      <alignment vertical="bottom"/>
    </xf>
    <xf numFmtId="0" fontId="83" fillId="4" borderId="64" xfId="0" applyFont="1" applyFill="1" applyBorder="1" applyAlignment="1">
      <alignment horizontal="center" vertical="center"/>
    </xf>
    <xf numFmtId="0" fontId="83" fillId="4" borderId="0" xfId="0" applyFont="1" applyFill="1" applyBorder="1" applyAlignment="1">
      <alignment horizontal="center" vertical="center"/>
    </xf>
    <xf numFmtId="1" fontId="151" fillId="4" borderId="80" xfId="0" applyNumberFormat="1" applyFont="1" applyFill="1" applyBorder="1" applyAlignment="1">
      <alignment horizontal="center" vertical="bottom"/>
    </xf>
    <xf numFmtId="1" fontId="151" fillId="4" borderId="81" xfId="0" applyNumberFormat="1" applyFont="1" applyFill="1" applyBorder="1" applyAlignment="1">
      <alignment horizontal="center" vertical="bottom"/>
    </xf>
    <xf numFmtId="1" fontId="151" fillId="4" borderId="82" xfId="0" applyNumberFormat="1" applyFont="1" applyFill="1" applyBorder="1" applyAlignment="1">
      <alignment horizontal="center" vertical="bottom"/>
    </xf>
    <xf numFmtId="0" fontId="1" fillId="0" borderId="83" xfId="0" applyBorder="1" applyAlignment="1">
      <alignment horizontal="center" vertical="bottom"/>
    </xf>
    <xf numFmtId="1" fontId="127" fillId="4" borderId="84" xfId="0" applyNumberFormat="1" applyFont="1" applyFill="1" applyBorder="1" applyAlignment="1">
      <alignment horizontal="center" vertical="bottom"/>
    </xf>
    <xf numFmtId="1" fontId="127" fillId="4" borderId="0" xfId="0" applyNumberFormat="1" applyFont="1" applyFill="1" applyBorder="1" applyAlignment="1">
      <alignment horizontal="center" vertical="bottom"/>
    </xf>
    <xf numFmtId="1" fontId="127" fillId="4" borderId="85" xfId="0" applyNumberFormat="1" applyFont="1" applyFill="1" applyBorder="1" applyAlignment="1">
      <alignment horizontal="center" vertical="bottom"/>
    </xf>
    <xf numFmtId="0" fontId="44" fillId="6" borderId="0" xfId="0" applyFont="1" applyFill="1" applyAlignment="1">
      <alignment horizontal="center" vertical="center"/>
    </xf>
    <xf numFmtId="1" fontId="50" fillId="6" borderId="84" xfId="0" applyNumberFormat="1" applyFont="1" applyFill="1" applyBorder="1" applyAlignment="1">
      <alignment horizontal="center" vertical="bottom"/>
    </xf>
    <xf numFmtId="1" fontId="50" fillId="6" borderId="0" xfId="0" applyNumberFormat="1" applyFont="1" applyFill="1" applyBorder="1" applyAlignment="1">
      <alignment horizontal="center" vertical="bottom"/>
    </xf>
    <xf numFmtId="1" fontId="50" fillId="6" borderId="85" xfId="0" applyNumberFormat="1" applyFont="1" applyFill="1" applyBorder="1" applyAlignment="1">
      <alignment horizontal="center" vertical="bottom"/>
    </xf>
    <xf numFmtId="0" fontId="43" fillId="6" borderId="0" xfId="0" applyFont="1" applyFill="1" applyAlignment="1">
      <alignment horizontal="center" vertical="center"/>
    </xf>
    <xf numFmtId="1" fontId="152" fillId="6" borderId="84" xfId="0" applyNumberFormat="1" applyFont="1" applyFill="1" applyBorder="1" applyAlignment="1">
      <alignment horizontal="center" vertical="bottom"/>
    </xf>
    <xf numFmtId="1" fontId="152" fillId="6" borderId="0" xfId="0" applyNumberFormat="1" applyFont="1" applyFill="1" applyBorder="1" applyAlignment="1">
      <alignment horizontal="center" vertical="bottom"/>
    </xf>
    <xf numFmtId="1" fontId="152" fillId="6" borderId="85" xfId="0" applyNumberFormat="1" applyFont="1" applyFill="1" applyBorder="1" applyAlignment="1">
      <alignment horizontal="center" vertical="bottom"/>
    </xf>
    <xf numFmtId="1" fontId="152" fillId="6" borderId="86" xfId="0" applyNumberFormat="1" applyFont="1" applyFill="1" applyBorder="1" applyAlignment="1">
      <alignment horizontal="center" vertical="bottom"/>
    </xf>
    <xf numFmtId="1" fontId="152" fillId="6" borderId="19" xfId="0" applyNumberFormat="1" applyFont="1" applyFill="1" applyBorder="1" applyAlignment="1">
      <alignment horizontal="center" vertical="bottom"/>
    </xf>
    <xf numFmtId="1" fontId="152" fillId="6" borderId="87" xfId="0" applyNumberFormat="1" applyFont="1" applyFill="1" applyBorder="1" applyAlignment="1">
      <alignment horizontal="center" vertical="bottom"/>
    </xf>
    <xf numFmtId="1" fontId="50" fillId="6" borderId="88" xfId="0" applyNumberFormat="1" applyFont="1" applyFill="1" applyBorder="1" applyAlignment="1">
      <alignment horizontal="center" vertical="center"/>
    </xf>
    <xf numFmtId="1" fontId="50" fillId="6" borderId="8" xfId="0" applyNumberFormat="1" applyFont="1" applyFill="1" applyBorder="1" applyAlignment="1">
      <alignment horizontal="center" vertical="center"/>
    </xf>
    <xf numFmtId="1" fontId="50" fillId="6" borderId="15" xfId="0" applyNumberFormat="1" applyFont="1" applyFill="1" applyBorder="1" applyAlignment="1">
      <alignment horizontal="center" vertical="center"/>
    </xf>
    <xf numFmtId="1" fontId="50" fillId="6" borderId="89" xfId="0" applyNumberFormat="1" applyFont="1" applyFill="1" applyBorder="1" applyAlignment="1">
      <alignment horizontal="center" vertical="center"/>
    </xf>
    <xf numFmtId="1" fontId="50" fillId="25" borderId="90" xfId="0" applyNumberFormat="1" applyFont="1" applyFill="1" applyBorder="1" applyAlignment="1">
      <alignment horizontal="right" vertical="center"/>
    </xf>
    <xf numFmtId="1" fontId="50" fillId="25" borderId="91" xfId="0" applyNumberFormat="1" applyFont="1" applyFill="1" applyBorder="1" applyAlignment="1">
      <alignment horizontal="right" vertical="center"/>
    </xf>
    <xf numFmtId="1" fontId="50" fillId="25" borderId="92" xfId="0" applyNumberFormat="1" applyFont="1" applyFill="1" applyBorder="1" applyAlignment="1">
      <alignment horizontal="center" vertical="center"/>
    </xf>
    <xf numFmtId="1" fontId="127" fillId="25" borderId="93" xfId="0" applyNumberFormat="1" applyFont="1" applyFill="1" applyBorder="1" applyAlignment="1">
      <alignment horizontal="left" vertical="center"/>
    </xf>
    <xf numFmtId="1" fontId="50" fillId="6" borderId="94" xfId="0" applyNumberFormat="1" applyFont="1" applyFill="1" applyBorder="1" applyAlignment="1">
      <alignment horizontal="center" vertical="center"/>
    </xf>
    <xf numFmtId="1" fontId="26" fillId="6" borderId="5" xfId="0" applyNumberFormat="1" applyFont="1" applyFill="1" applyBorder="1">
      <alignment vertical="center"/>
    </xf>
    <xf numFmtId="1" fontId="50" fillId="6" borderId="5" xfId="0" applyNumberFormat="1" applyFont="1" applyFill="1" applyBorder="1" applyAlignment="1">
      <alignment horizontal="center" vertical="center"/>
    </xf>
    <xf numFmtId="1" fontId="50" fillId="6" borderId="54" xfId="0" applyNumberFormat="1" applyFont="1" applyFill="1" applyBorder="1" applyAlignment="1">
      <alignment horizontal="center" vertical="center"/>
    </xf>
    <xf numFmtId="1" fontId="50" fillId="6" borderId="95" xfId="0" applyNumberFormat="1" applyFont="1" applyFill="1" applyBorder="1" applyAlignment="1">
      <alignment horizontal="center" vertical="center"/>
    </xf>
    <xf numFmtId="1" fontId="43" fillId="6" borderId="96" xfId="0" applyNumberFormat="1" applyFont="1" applyFill="1" applyBorder="1" applyAlignment="1">
      <alignment horizontal="center" vertical="center" wrapText="1"/>
    </xf>
    <xf numFmtId="1" fontId="43" fillId="6" borderId="15" xfId="0" applyNumberFormat="1" applyFont="1" applyFill="1" applyBorder="1" applyAlignment="1">
      <alignment horizontal="center" vertical="center" wrapText="1"/>
    </xf>
    <xf numFmtId="1" fontId="43" fillId="6" borderId="47" xfId="0" applyNumberFormat="1" applyFont="1" applyFill="1" applyBorder="1" applyAlignment="1">
      <alignment horizontal="center" vertical="center" wrapText="1"/>
    </xf>
    <xf numFmtId="1" fontId="153" fillId="6" borderId="14" xfId="0" applyNumberFormat="1" applyFont="1" applyFill="1" applyBorder="1" applyAlignment="1">
      <alignment horizontal="center" vertical="center" wrapText="1"/>
    </xf>
    <xf numFmtId="1" fontId="153" fillId="6" borderId="15" xfId="0" applyNumberFormat="1" applyFont="1" applyFill="1" applyBorder="1" applyAlignment="1">
      <alignment horizontal="center" vertical="center" wrapText="1"/>
    </xf>
    <xf numFmtId="1" fontId="153" fillId="6" borderId="89" xfId="0" applyNumberFormat="1" applyFont="1" applyFill="1" applyBorder="1" applyAlignment="1">
      <alignment horizontal="center" vertical="center" wrapText="1"/>
    </xf>
    <xf numFmtId="1" fontId="43" fillId="6" borderId="84" xfId="0" applyNumberFormat="1" applyFont="1" applyFill="1" applyBorder="1" applyAlignment="1">
      <alignment horizontal="center" vertical="center" wrapText="1"/>
    </xf>
    <xf numFmtId="1" fontId="43" fillId="6" borderId="0" xfId="0" applyNumberFormat="1" applyFont="1" applyFill="1" applyBorder="1" applyAlignment="1">
      <alignment horizontal="center" vertical="center" wrapText="1"/>
    </xf>
    <xf numFmtId="1" fontId="43" fillId="6" borderId="52" xfId="0" applyNumberFormat="1" applyFont="1" applyFill="1" applyBorder="1" applyAlignment="1">
      <alignment horizontal="center" vertical="center" wrapText="1"/>
    </xf>
    <xf numFmtId="1" fontId="153" fillId="6" borderId="51" xfId="0" applyNumberFormat="1" applyFont="1" applyFill="1" applyBorder="1" applyAlignment="1">
      <alignment horizontal="center" vertical="center" wrapText="1"/>
    </xf>
    <xf numFmtId="1" fontId="153" fillId="6" borderId="0" xfId="0" applyNumberFormat="1" applyFont="1" applyFill="1" applyBorder="1" applyAlignment="1">
      <alignment horizontal="center" vertical="center" wrapText="1"/>
    </xf>
    <xf numFmtId="1" fontId="153" fillId="6" borderId="85" xfId="0" applyNumberFormat="1" applyFont="1" applyFill="1" applyBorder="1" applyAlignment="1">
      <alignment horizontal="center" vertical="center" wrapText="1"/>
    </xf>
    <xf numFmtId="1" fontId="43" fillId="6" borderId="86" xfId="0" applyNumberFormat="1" applyFont="1" applyFill="1" applyBorder="1" applyAlignment="1">
      <alignment horizontal="center" vertical="center" wrapText="1"/>
    </xf>
    <xf numFmtId="1" fontId="43" fillId="6" borderId="19" xfId="0" applyNumberFormat="1" applyFont="1" applyFill="1" applyBorder="1" applyAlignment="1">
      <alignment horizontal="center" vertical="center" wrapText="1"/>
    </xf>
    <xf numFmtId="1" fontId="43" fillId="6" borderId="53" xfId="0" applyNumberFormat="1" applyFont="1" applyFill="1" applyBorder="1" applyAlignment="1">
      <alignment horizontal="center" vertical="center" wrapText="1"/>
    </xf>
    <xf numFmtId="1" fontId="153" fillId="6" borderId="18" xfId="0" applyNumberFormat="1" applyFont="1" applyFill="1" applyBorder="1" applyAlignment="1">
      <alignment horizontal="center" vertical="center" wrapText="1"/>
    </xf>
    <xf numFmtId="1" fontId="153" fillId="6" borderId="19" xfId="0" applyNumberFormat="1" applyFont="1" applyFill="1" applyBorder="1" applyAlignment="1">
      <alignment horizontal="center" vertical="center" wrapText="1"/>
    </xf>
    <xf numFmtId="1" fontId="153" fillId="6" borderId="87" xfId="0" applyNumberFormat="1" applyFont="1" applyFill="1" applyBorder="1" applyAlignment="1">
      <alignment horizontal="center" vertical="center" wrapText="1"/>
    </xf>
    <xf numFmtId="1" fontId="50" fillId="6" borderId="46" xfId="0" applyNumberFormat="1" applyFont="1" applyFill="1" applyBorder="1" applyAlignment="1">
      <alignment horizontal="center" vertical="center"/>
    </xf>
    <xf numFmtId="1" fontId="50" fillId="6" borderId="10" xfId="0" applyNumberFormat="1" applyFont="1" applyFill="1" applyBorder="1" applyAlignment="1">
      <alignment horizontal="center" vertical="center"/>
    </xf>
    <xf numFmtId="1" fontId="50" fillId="6" borderId="97" xfId="0" applyNumberFormat="1" applyFont="1" applyFill="1" applyBorder="1" applyAlignment="1">
      <alignment horizontal="center" vertical="center"/>
    </xf>
    <xf numFmtId="1" fontId="1" fillId="0" borderId="0" xfId="0" applyNumberFormat="1" applyAlignment="1">
      <alignment horizontal="center" vertical="bottom"/>
    </xf>
    <xf numFmtId="1" fontId="26" fillId="26" borderId="88" xfId="0" applyNumberFormat="1" applyFont="1" applyFill="1" applyBorder="1" applyAlignment="1">
      <alignment horizontal="center" vertical="center"/>
      <protection locked="0" hidden="0"/>
    </xf>
    <xf numFmtId="1" fontId="26" fillId="26" borderId="8" xfId="0" applyNumberFormat="1" applyFont="1" applyFill="1" applyBorder="1" applyAlignment="1">
      <alignment horizontal="center" vertical="center"/>
      <protection locked="0" hidden="0"/>
    </xf>
    <xf numFmtId="1" fontId="26" fillId="26" borderId="46" xfId="0" applyNumberFormat="1" applyFont="1" applyFill="1" applyBorder="1" applyAlignment="1">
      <alignment horizontal="center" vertical="center"/>
      <protection locked="0" hidden="0"/>
    </xf>
    <xf numFmtId="1" fontId="50" fillId="6" borderId="96" xfId="0" applyNumberFormat="1" applyFont="1" applyFill="1" applyBorder="1">
      <alignment vertical="center"/>
    </xf>
    <xf numFmtId="1" fontId="26" fillId="6" borderId="15" xfId="0" applyNumberFormat="1" applyFont="1" applyFill="1" applyBorder="1">
      <alignment vertical="center"/>
    </xf>
    <xf numFmtId="1" fontId="26" fillId="6" borderId="98" xfId="0" applyNumberFormat="1" applyFont="1" applyFill="1" applyBorder="1">
      <alignment vertical="center"/>
    </xf>
    <xf numFmtId="1" fontId="154" fillId="26" borderId="99" xfId="6" applyNumberFormat="1" applyFont="1" applyFill="1" applyBorder="1" applyAlignment="1">
      <alignment horizontal="left" vertical="center"/>
      <protection locked="0" hidden="0"/>
    </xf>
    <xf numFmtId="1" fontId="154" fillId="26" borderId="15" xfId="6" applyNumberFormat="1" applyFont="1" applyFill="1" applyBorder="1" applyAlignment="1">
      <alignment horizontal="left" vertical="center"/>
      <protection locked="0" hidden="0"/>
    </xf>
    <xf numFmtId="1" fontId="154" fillId="26" borderId="47" xfId="6" applyNumberFormat="1" applyFont="1" applyFill="1" applyBorder="1" applyAlignment="1">
      <alignment horizontal="left" vertical="center"/>
      <protection locked="0" hidden="0"/>
    </xf>
    <xf numFmtId="1" fontId="1" fillId="6" borderId="8" xfId="0" applyNumberFormat="1" applyFill="1" applyBorder="1">
      <alignment vertical="center"/>
    </xf>
    <xf numFmtId="1" fontId="1" fillId="6" borderId="97" xfId="0" applyNumberFormat="1" applyFill="1" applyBorder="1">
      <alignment vertical="center"/>
    </xf>
    <xf numFmtId="1" fontId="50" fillId="6" borderId="84" xfId="0" applyNumberFormat="1" applyFont="1" applyFill="1" applyBorder="1">
      <alignment vertical="center"/>
    </xf>
    <xf numFmtId="1" fontId="26" fillId="6" borderId="0" xfId="0" applyNumberFormat="1" applyFont="1" applyFill="1" applyBorder="1">
      <alignment vertical="center"/>
    </xf>
    <xf numFmtId="1" fontId="26" fillId="6" borderId="100" xfId="0" applyNumberFormat="1" applyFont="1" applyFill="1" applyBorder="1">
      <alignment vertical="center"/>
    </xf>
    <xf numFmtId="1" fontId="154" fillId="26" borderId="101" xfId="6" applyNumberFormat="1" applyFont="1" applyFill="1" applyBorder="1" applyAlignment="1">
      <alignment horizontal="left" vertical="center"/>
      <protection locked="0" hidden="0"/>
    </xf>
    <xf numFmtId="1" fontId="154" fillId="26" borderId="0" xfId="6" applyNumberFormat="1" applyFont="1" applyFill="1" applyBorder="1" applyAlignment="1">
      <alignment horizontal="left" vertical="center"/>
      <protection locked="0" hidden="0"/>
    </xf>
    <xf numFmtId="1" fontId="154" fillId="26" borderId="52" xfId="6" applyNumberFormat="1" applyFont="1" applyFill="1" applyBorder="1" applyAlignment="1">
      <alignment horizontal="left" vertical="center"/>
      <protection locked="0" hidden="0"/>
    </xf>
    <xf numFmtId="1" fontId="50" fillId="6" borderId="5" xfId="0" applyNumberFormat="1" applyFont="1" applyFill="1" applyBorder="1" applyAlignment="1">
      <alignment horizontal="center" vertical="center"/>
    </xf>
    <xf numFmtId="1" fontId="151" fillId="6" borderId="14" xfId="0" applyNumberFormat="1" applyFont="1" applyFill="1" applyBorder="1" applyAlignment="1">
      <alignment horizontal="center" vertical="center"/>
    </xf>
    <xf numFmtId="1" fontId="151" fillId="6" borderId="15" xfId="0" applyNumberFormat="1" applyFont="1" applyFill="1" applyBorder="1">
      <alignment vertical="center"/>
    </xf>
    <xf numFmtId="1" fontId="151" fillId="6" borderId="89" xfId="0" applyNumberFormat="1" applyFont="1" applyFill="1" applyBorder="1">
      <alignment vertical="center"/>
    </xf>
    <xf numFmtId="1" fontId="50" fillId="6" borderId="86" xfId="0" applyNumberFormat="1" applyFont="1" applyFill="1" applyBorder="1">
      <alignment vertical="center"/>
    </xf>
    <xf numFmtId="1" fontId="26" fillId="6" borderId="19" xfId="0" applyNumberFormat="1" applyFont="1" applyFill="1" applyBorder="1">
      <alignment vertical="center"/>
    </xf>
    <xf numFmtId="1" fontId="26" fillId="6" borderId="102" xfId="0" applyNumberFormat="1" applyFont="1" applyFill="1" applyBorder="1">
      <alignment vertical="center"/>
    </xf>
    <xf numFmtId="1" fontId="154" fillId="26" borderId="103" xfId="6" applyNumberFormat="1" applyFont="1" applyFill="1" applyBorder="1" applyAlignment="1">
      <alignment horizontal="left" vertical="center"/>
      <protection locked="0" hidden="0"/>
    </xf>
    <xf numFmtId="1" fontId="154" fillId="26" borderId="19" xfId="6" applyNumberFormat="1" applyFont="1" applyFill="1" applyBorder="1" applyAlignment="1">
      <alignment horizontal="left" vertical="center"/>
      <protection locked="0" hidden="0"/>
    </xf>
    <xf numFmtId="1" fontId="154" fillId="26" borderId="53" xfId="6" applyNumberFormat="1" applyFont="1" applyFill="1" applyBorder="1" applyAlignment="1">
      <alignment horizontal="left" vertical="center"/>
      <protection locked="0" hidden="0"/>
    </xf>
    <xf numFmtId="172" fontId="127" fillId="6" borderId="10" xfId="0" applyNumberFormat="1" applyFont="1" applyFill="1" applyBorder="1" applyAlignment="1">
      <alignment horizontal="center" vertical="center"/>
      <protection locked="0" hidden="0"/>
    </xf>
    <xf numFmtId="172" fontId="127" fillId="6" borderId="46" xfId="0" applyNumberFormat="1" applyFont="1" applyFill="1" applyBorder="1" applyAlignment="1">
      <alignment horizontal="center" vertical="center"/>
      <protection locked="0" hidden="0"/>
    </xf>
    <xf numFmtId="172" fontId="127" fillId="6" borderId="54" xfId="0" applyNumberFormat="1" applyFont="1" applyFill="1" applyBorder="1" applyAlignment="1">
      <alignment horizontal="left" vertical="center"/>
      <protection locked="0" hidden="0"/>
    </xf>
    <xf numFmtId="1" fontId="151" fillId="6" borderId="18" xfId="0" applyNumberFormat="1" applyFont="1" applyFill="1" applyBorder="1">
      <alignment vertical="center"/>
    </xf>
    <xf numFmtId="1" fontId="151" fillId="6" borderId="19" xfId="0" applyNumberFormat="1" applyFont="1" applyFill="1" applyBorder="1">
      <alignment vertical="center"/>
    </xf>
    <xf numFmtId="1" fontId="151" fillId="6" borderId="87" xfId="0" applyNumberFormat="1" applyFont="1" applyFill="1" applyBorder="1">
      <alignment vertical="center"/>
    </xf>
    <xf numFmtId="1" fontId="26" fillId="6" borderId="19" xfId="6" applyNumberFormat="1" applyFont="1" applyFill="1" applyBorder="1">
      <alignment vertical="center"/>
    </xf>
    <xf numFmtId="1" fontId="26" fillId="6" borderId="19" xfId="0" applyNumberFormat="1" applyFont="1" applyFill="1" applyBorder="1" applyAlignment="1">
      <alignment horizontal="center" vertical="center"/>
    </xf>
    <xf numFmtId="1" fontId="26" fillId="6" borderId="87" xfId="0" applyNumberFormat="1" applyFont="1" applyFill="1" applyBorder="1" applyAlignment="1">
      <alignment horizontal="center" vertical="center"/>
    </xf>
    <xf numFmtId="1" fontId="26" fillId="6" borderId="5" xfId="0" applyNumberFormat="1" applyFont="1" applyFill="1" applyBorder="1" applyAlignment="1">
      <alignment horizontal="center" vertical="center" wrapText="1"/>
    </xf>
    <xf numFmtId="1" fontId="26" fillId="6" borderId="5" xfId="6" applyNumberFormat="1" applyFont="1" applyFill="1" applyBorder="1" applyAlignment="1">
      <alignment horizontal="center" vertical="center" wrapText="1"/>
    </xf>
    <xf numFmtId="1" fontId="26" fillId="6" borderId="10" xfId="0" applyNumberFormat="1" applyFont="1" applyFill="1" applyBorder="1" applyAlignment="1">
      <alignment horizontal="center" vertical="center" wrapText="1"/>
    </xf>
    <xf numFmtId="1" fontId="26" fillId="6" borderId="8" xfId="0" applyNumberFormat="1" applyFont="1" applyFill="1" applyBorder="1" applyAlignment="1">
      <alignment horizontal="center" vertical="center" wrapText="1"/>
    </xf>
    <xf numFmtId="1" fontId="26" fillId="6" borderId="46" xfId="0" applyNumberFormat="1" applyFont="1" applyFill="1" applyBorder="1" applyAlignment="1">
      <alignment horizontal="center" vertical="center" wrapText="1"/>
    </xf>
    <xf numFmtId="1" fontId="26" fillId="6" borderId="104" xfId="0" applyNumberFormat="1" applyFont="1" applyFill="1" applyBorder="1" applyAlignment="1">
      <alignment horizontal="center" vertical="center" wrapText="1"/>
    </xf>
    <xf numFmtId="1" fontId="26" fillId="6" borderId="88" xfId="0" applyNumberFormat="1" applyFont="1" applyFill="1" applyBorder="1" applyAlignment="1">
      <alignment horizontal="center" vertical="center"/>
    </xf>
    <xf numFmtId="1" fontId="26" fillId="6" borderId="46" xfId="0" applyNumberFormat="1" applyFont="1" applyFill="1" applyBorder="1" applyAlignment="1">
      <alignment horizontal="center" vertical="center"/>
    </xf>
    <xf numFmtId="1" fontId="26" fillId="26" borderId="10" xfId="0" applyNumberFormat="1" applyFont="1" applyFill="1" applyBorder="1" applyAlignment="1">
      <alignment horizontal="center" vertical="center"/>
      <protection locked="0" hidden="0"/>
    </xf>
    <xf numFmtId="1" fontId="26" fillId="26" borderId="10" xfId="6" applyNumberFormat="1" applyFont="1" applyFill="1" applyBorder="1" applyAlignment="1">
      <alignment horizontal="center" vertical="center"/>
      <protection locked="0" hidden="0"/>
    </xf>
    <xf numFmtId="1" fontId="26" fillId="26" borderId="46" xfId="6" applyNumberFormat="1" applyFont="1" applyFill="1" applyBorder="1" applyAlignment="1">
      <alignment horizontal="center" vertical="center"/>
      <protection locked="0" hidden="0"/>
    </xf>
    <xf numFmtId="1" fontId="26" fillId="6" borderId="10" xfId="6" applyNumberFormat="1" applyFont="1" applyFill="1" applyBorder="1" applyAlignment="1">
      <alignment horizontal="center" vertical="center"/>
    </xf>
    <xf numFmtId="1" fontId="1" fillId="6" borderId="97" xfId="0" applyNumberFormat="1" applyFill="1" applyBorder="1" applyAlignment="1">
      <alignment horizontal="center" vertical="center"/>
    </xf>
    <xf numFmtId="1" fontId="1" fillId="0" borderId="0" xfId="0" applyNumberFormat="1" applyAlignment="1">
      <alignment vertical="bottom"/>
    </xf>
    <xf numFmtId="1" fontId="26" fillId="6" borderId="97" xfId="6" applyNumberFormat="1" applyFont="1" applyFill="1" applyBorder="1" applyAlignment="1">
      <alignment horizontal="center" vertical="center"/>
    </xf>
    <xf numFmtId="1" fontId="50" fillId="6" borderId="10" xfId="6" applyNumberFormat="1" applyFont="1" applyFill="1" applyBorder="1" applyAlignment="1">
      <alignment horizontal="center" vertical="center"/>
    </xf>
    <xf numFmtId="1" fontId="50" fillId="6" borderId="46" xfId="6" applyNumberFormat="1" applyFont="1" applyFill="1" applyBorder="1" applyAlignment="1">
      <alignment horizontal="center" vertical="center"/>
    </xf>
    <xf numFmtId="1" fontId="50" fillId="6" borderId="97" xfId="6" applyNumberFormat="1" applyFont="1" applyFill="1" applyBorder="1" applyAlignment="1">
      <alignment horizontal="center" vertical="center"/>
    </xf>
    <xf numFmtId="1" fontId="127" fillId="6" borderId="96" xfId="6" applyNumberFormat="1" applyFont="1" applyFill="1" applyBorder="1" applyAlignment="1">
      <alignment horizontal="center" vertical="center"/>
    </xf>
    <xf numFmtId="1" fontId="127" fillId="6" borderId="15" xfId="6" applyNumberFormat="1" applyFont="1" applyFill="1" applyBorder="1" applyAlignment="1">
      <alignment horizontal="center" vertical="center"/>
    </xf>
    <xf numFmtId="1" fontId="127" fillId="6" borderId="8" xfId="6" applyNumberFormat="1" applyFont="1" applyFill="1" applyBorder="1" applyAlignment="1">
      <alignment horizontal="center" vertical="center"/>
    </xf>
    <xf numFmtId="1" fontId="127" fillId="6" borderId="97" xfId="6" applyNumberFormat="1" applyFont="1" applyFill="1" applyBorder="1" applyAlignment="1">
      <alignment horizontal="center" vertical="center"/>
    </xf>
    <xf numFmtId="1" fontId="26" fillId="6" borderId="105" xfId="0" applyNumberFormat="1" applyFont="1" applyFill="1" applyBorder="1" applyAlignment="1">
      <alignment horizontal="center" vertical="center"/>
    </xf>
    <xf numFmtId="1" fontId="26" fillId="6" borderId="15" xfId="0" applyNumberFormat="1" applyFont="1" applyFill="1" applyBorder="1" applyAlignment="1">
      <alignment horizontal="center" vertical="center"/>
    </xf>
    <xf numFmtId="1" fontId="26" fillId="6" borderId="47" xfId="0" applyNumberFormat="1" applyFont="1" applyFill="1" applyBorder="1" applyAlignment="1">
      <alignment horizontal="center" vertical="center"/>
    </xf>
    <xf numFmtId="1" fontId="26" fillId="6" borderId="14" xfId="6" applyNumberFormat="1" applyFont="1" applyFill="1" applyBorder="1" applyAlignment="1">
      <alignment horizontal="center" vertical="center"/>
    </xf>
    <xf numFmtId="1" fontId="26" fillId="6" borderId="15" xfId="6" applyNumberFormat="1" applyFont="1" applyFill="1" applyBorder="1" applyAlignment="1">
      <alignment horizontal="center" vertical="center"/>
    </xf>
    <xf numFmtId="1" fontId="26" fillId="6" borderId="8" xfId="6" applyNumberFormat="1" applyFont="1" applyFill="1" applyBorder="1" applyAlignment="1">
      <alignment horizontal="center" vertical="center"/>
    </xf>
    <xf numFmtId="1" fontId="26" fillId="6" borderId="89" xfId="6" applyNumberFormat="1" applyFont="1" applyFill="1" applyBorder="1" applyAlignment="1">
      <alignment horizontal="center" vertical="center"/>
    </xf>
    <xf numFmtId="1" fontId="50" fillId="6" borderId="106" xfId="0" applyNumberFormat="1" applyFont="1" applyFill="1" applyBorder="1">
      <alignment vertical="center"/>
    </xf>
    <xf numFmtId="1" fontId="26" fillId="6" borderId="0" xfId="0" applyNumberFormat="1" applyFont="1" applyFill="1" applyBorder="1" applyAlignment="1">
      <alignment horizontal="center" vertical="center"/>
    </xf>
    <xf numFmtId="1" fontId="154" fillId="6" borderId="14" xfId="6" applyNumberFormat="1" applyFont="1" applyFill="1" applyBorder="1" applyAlignment="1">
      <alignment horizontal="center" vertical="center"/>
    </xf>
    <xf numFmtId="1" fontId="154" fillId="6" borderId="15" xfId="6" applyNumberFormat="1" applyFont="1" applyFill="1" applyBorder="1" applyAlignment="1">
      <alignment horizontal="center" vertical="center"/>
    </xf>
    <xf numFmtId="1" fontId="154" fillId="6" borderId="47" xfId="6" applyNumberFormat="1" applyFont="1" applyFill="1" applyBorder="1" applyAlignment="1">
      <alignment horizontal="center" vertical="center"/>
    </xf>
    <xf numFmtId="1" fontId="155" fillId="6" borderId="14" xfId="0" applyNumberFormat="1" applyFont="1" applyFill="1" applyBorder="1" applyAlignment="1">
      <alignment horizontal="center" vertical="center"/>
    </xf>
    <xf numFmtId="1" fontId="155" fillId="6" borderId="89" xfId="0" applyNumberFormat="1" applyFont="1" applyFill="1" applyBorder="1" applyAlignment="1">
      <alignment horizontal="center" vertical="center"/>
    </xf>
    <xf numFmtId="1" fontId="26" fillId="6" borderId="0" xfId="0" applyNumberFormat="1" applyFont="1" applyFill="1" applyBorder="1" applyAlignment="1">
      <alignment horizontal="center" vertical="center"/>
    </xf>
    <xf numFmtId="1" fontId="154" fillId="6" borderId="51" xfId="6" applyNumberFormat="1" applyFont="1" applyFill="1" applyBorder="1" applyAlignment="1">
      <alignment horizontal="center" vertical="center"/>
    </xf>
    <xf numFmtId="1" fontId="154" fillId="6" borderId="52" xfId="6" applyNumberFormat="1" applyFont="1" applyFill="1" applyBorder="1" applyAlignment="1">
      <alignment horizontal="center" vertical="center"/>
    </xf>
    <xf numFmtId="1" fontId="155" fillId="6" borderId="51" xfId="0" applyNumberFormat="1" applyFont="1" applyFill="1" applyBorder="1" applyAlignment="1">
      <alignment horizontal="center" vertical="center"/>
    </xf>
    <xf numFmtId="1" fontId="155" fillId="6" borderId="85" xfId="0" applyNumberFormat="1" applyFont="1" applyFill="1" applyBorder="1" applyAlignment="1">
      <alignment horizontal="center" vertical="center"/>
    </xf>
    <xf numFmtId="1" fontId="50" fillId="6" borderId="107" xfId="0" applyNumberFormat="1" applyFont="1" applyFill="1" applyBorder="1">
      <alignment vertical="center"/>
    </xf>
    <xf numFmtId="1" fontId="26" fillId="6" borderId="19" xfId="0" applyNumberFormat="1" applyFont="1" applyFill="1" applyBorder="1" applyAlignment="1">
      <alignment horizontal="center" vertical="center"/>
    </xf>
    <xf numFmtId="1" fontId="154" fillId="6" borderId="18" xfId="6" applyNumberFormat="1" applyFont="1" applyFill="1" applyBorder="1">
      <alignment vertical="center"/>
    </xf>
    <xf numFmtId="1" fontId="154" fillId="6" borderId="19" xfId="6" applyNumberFormat="1" applyFont="1" applyFill="1" applyBorder="1">
      <alignment vertical="center"/>
    </xf>
    <xf numFmtId="1" fontId="26" fillId="6" borderId="18" xfId="0" applyNumberFormat="1" applyFont="1" applyFill="1" applyBorder="1" applyAlignment="1">
      <alignment horizontal="center" vertical="center"/>
    </xf>
    <xf numFmtId="1" fontId="26" fillId="6" borderId="53" xfId="0" applyNumberFormat="1" applyFont="1" applyFill="1" applyBorder="1" applyAlignment="1">
      <alignment horizontal="center" vertical="center"/>
    </xf>
    <xf numFmtId="1" fontId="26" fillId="6" borderId="51" xfId="0" applyNumberFormat="1" applyFont="1" applyFill="1" applyBorder="1" applyAlignment="1">
      <alignment horizontal="center" vertical="center"/>
    </xf>
    <xf numFmtId="1" fontId="26" fillId="6" borderId="85" xfId="0" applyNumberFormat="1" applyFont="1" applyFill="1" applyBorder="1" applyAlignment="1">
      <alignment horizontal="center" vertical="center"/>
    </xf>
    <xf numFmtId="1" fontId="50" fillId="6" borderId="94" xfId="0" applyNumberFormat="1" applyFont="1" applyFill="1" applyBorder="1" applyAlignment="1">
      <alignment horizontal="center" vertical="center"/>
    </xf>
    <xf numFmtId="1" fontId="26" fillId="26" borderId="5" xfId="0" applyNumberFormat="1" applyFont="1" applyFill="1" applyBorder="1" applyAlignment="1">
      <alignment horizontal="center" vertical="center"/>
      <protection locked="0" hidden="0"/>
    </xf>
    <xf numFmtId="1" fontId="26" fillId="26" borderId="97" xfId="0" applyNumberFormat="1" applyFont="1" applyFill="1" applyBorder="1" applyAlignment="1">
      <alignment horizontal="center" vertical="center"/>
      <protection locked="0" hidden="0"/>
    </xf>
    <xf numFmtId="1" fontId="50" fillId="6" borderId="107" xfId="0" applyNumberFormat="1" applyFont="1" applyFill="1" applyBorder="1" applyAlignment="1">
      <alignment horizontal="center" vertical="center"/>
    </xf>
    <xf numFmtId="1" fontId="26" fillId="6" borderId="10" xfId="0" applyNumberFormat="1" applyFont="1" applyFill="1" applyBorder="1" applyAlignment="1">
      <alignment horizontal="center" vertical="center"/>
    </xf>
    <xf numFmtId="1" fontId="26" fillId="6" borderId="8" xfId="0" applyNumberFormat="1" applyFont="1" applyFill="1" applyBorder="1" applyAlignment="1">
      <alignment horizontal="center" vertical="center"/>
    </xf>
    <xf numFmtId="1" fontId="26" fillId="6" borderId="46" xfId="6" applyNumberFormat="1" applyFont="1" applyFill="1" applyBorder="1" applyAlignment="1">
      <alignment horizontal="center" vertical="center"/>
    </xf>
    <xf numFmtId="1" fontId="26" fillId="6" borderId="5" xfId="0" applyNumberFormat="1" applyFont="1" applyFill="1" applyBorder="1" applyAlignment="1">
      <alignment horizontal="center" vertical="center"/>
    </xf>
    <xf numFmtId="1" fontId="26" fillId="6" borderId="97" xfId="0" applyNumberFormat="1" applyFont="1" applyFill="1" applyBorder="1" applyAlignment="1">
      <alignment horizontal="center" vertical="center"/>
    </xf>
    <xf numFmtId="1" fontId="26" fillId="6" borderId="8" xfId="0" applyNumberFormat="1" applyFont="1" applyFill="1" applyBorder="1" applyAlignment="1">
      <alignment horizontal="center" vertical="center"/>
    </xf>
    <xf numFmtId="1" fontId="26" fillId="6" borderId="8" xfId="6" applyNumberFormat="1" applyFont="1" applyFill="1" applyBorder="1" applyAlignment="1">
      <alignment horizontal="center" vertical="center"/>
    </xf>
    <xf numFmtId="1" fontId="154" fillId="6" borderId="0" xfId="6" applyNumberFormat="1" applyFont="1" applyFill="1" applyBorder="1" applyAlignment="1">
      <alignment horizontal="center" vertical="center"/>
    </xf>
    <xf numFmtId="1" fontId="26" fillId="6" borderId="51" xfId="0" applyNumberFormat="1" applyFont="1" applyFill="1" applyBorder="1" applyAlignment="1">
      <alignment horizontal="center" vertical="center"/>
    </xf>
    <xf numFmtId="1" fontId="26" fillId="6" borderId="52" xfId="0" applyNumberFormat="1" applyFont="1" applyFill="1" applyBorder="1" applyAlignment="1">
      <alignment horizontal="center" vertical="center"/>
    </xf>
    <xf numFmtId="1" fontId="26" fillId="6" borderId="10" xfId="6" applyNumberFormat="1" applyFont="1" applyFill="1" applyBorder="1" applyAlignment="1" quotePrefix="1">
      <alignment horizontal="center" vertical="center"/>
    </xf>
    <xf numFmtId="1" fontId="26" fillId="6" borderId="46" xfId="6" applyNumberFormat="1" applyFont="1" applyFill="1" applyBorder="1" applyAlignment="1" quotePrefix="1">
      <alignment horizontal="center" vertical="center"/>
    </xf>
    <xf numFmtId="14" fontId="26" fillId="6" borderId="10" xfId="0" applyNumberFormat="1" applyFont="1" applyFill="1" applyBorder="1" applyAlignment="1">
      <alignment horizontal="center" vertical="center"/>
    </xf>
    <xf numFmtId="14" fontId="26" fillId="6" borderId="46" xfId="0" applyNumberFormat="1" applyFont="1" applyFill="1" applyBorder="1" applyAlignment="1">
      <alignment horizontal="center" vertical="center"/>
    </xf>
    <xf numFmtId="1" fontId="26" fillId="6" borderId="5" xfId="0" applyNumberFormat="1" applyFont="1" applyFill="1" applyBorder="1" applyAlignment="1" quotePrefix="1">
      <alignment horizontal="center" vertical="center"/>
    </xf>
    <xf numFmtId="1" fontId="50" fillId="6" borderId="94" xfId="0" applyNumberFormat="1" applyFont="1" applyFill="1" applyBorder="1">
      <alignment vertical="center"/>
    </xf>
    <xf numFmtId="1" fontId="156" fillId="6" borderId="88" xfId="6" applyNumberFormat="1" applyFont="1" applyFill="1" applyBorder="1" applyAlignment="1">
      <alignment horizontal="center" vertical="center"/>
    </xf>
    <xf numFmtId="1" fontId="156" fillId="6" borderId="8" xfId="6" applyNumberFormat="1" applyFont="1" applyFill="1" applyBorder="1" applyAlignment="1">
      <alignment horizontal="center" vertical="center"/>
    </xf>
    <xf numFmtId="1" fontId="156" fillId="6" borderId="97" xfId="6" applyNumberFormat="1" applyFont="1" applyFill="1" applyBorder="1" applyAlignment="1">
      <alignment horizontal="center" vertical="center"/>
    </xf>
    <xf numFmtId="1" fontId="26" fillId="6" borderId="96" xfId="6" applyNumberFormat="1" applyFont="1" applyFill="1" applyBorder="1" applyAlignment="1">
      <alignment horizontal="right" vertical="center"/>
    </xf>
    <xf numFmtId="1" fontId="50" fillId="6" borderId="8" xfId="6" applyNumberFormat="1" applyFont="1" applyFill="1" applyBorder="1" applyAlignment="1">
      <alignment horizontal="center" vertical="center"/>
    </xf>
    <xf numFmtId="1" fontId="1" fillId="6" borderId="15" xfId="0" applyNumberFormat="1" applyFill="1" applyBorder="1">
      <alignment vertical="center"/>
    </xf>
    <xf numFmtId="1" fontId="50" fillId="26" borderId="8" xfId="0" applyNumberFormat="1" applyFont="1" applyFill="1" applyBorder="1" applyAlignment="1">
      <alignment horizontal="center" vertical="center"/>
      <protection locked="0" hidden="0"/>
    </xf>
    <xf numFmtId="1" fontId="106" fillId="26" borderId="8" xfId="0" applyNumberFormat="1" applyFont="1" applyFill="1" applyBorder="1" applyAlignment="1">
      <alignment horizontal="center" vertical="center"/>
      <protection locked="0" hidden="0"/>
    </xf>
    <xf numFmtId="1" fontId="1" fillId="6" borderId="85" xfId="0" applyNumberFormat="1" applyFill="1" applyBorder="1">
      <alignment vertical="center"/>
    </xf>
    <xf numFmtId="1" fontId="50" fillId="26" borderId="86" xfId="6" applyNumberFormat="1" applyFont="1" applyFill="1" applyBorder="1" applyAlignment="1">
      <alignment horizontal="center" vertical="center"/>
      <protection locked="0" hidden="0"/>
    </xf>
    <xf numFmtId="1" fontId="50" fillId="26" borderId="19" xfId="6" applyNumberFormat="1" applyFont="1" applyFill="1" applyBorder="1" applyAlignment="1">
      <alignment horizontal="center" vertical="center"/>
      <protection locked="0" hidden="0"/>
    </xf>
    <xf numFmtId="1" fontId="1" fillId="6" borderId="0" xfId="0" applyNumberFormat="1" applyFill="1" applyBorder="1">
      <alignment vertical="center"/>
    </xf>
    <xf numFmtId="1" fontId="50" fillId="6" borderId="19" xfId="0" applyNumberFormat="1" applyFont="1" applyFill="1" applyBorder="1" applyAlignment="1">
      <alignment horizontal="center" vertical="center"/>
    </xf>
    <xf numFmtId="1" fontId="1" fillId="6" borderId="0" xfId="0" applyNumberFormat="1" applyFill="1" applyBorder="1" applyAlignment="1">
      <alignment horizontal="right" vertical="center"/>
    </xf>
    <xf numFmtId="1" fontId="26" fillId="26" borderId="87" xfId="0" applyNumberFormat="1" applyFont="1" applyFill="1" applyBorder="1" applyAlignment="1">
      <alignment horizontal="right" vertical="center"/>
      <protection locked="0" hidden="0"/>
    </xf>
    <xf numFmtId="1" fontId="50" fillId="26" borderId="86" xfId="0" applyNumberFormat="1" applyFont="1" applyFill="1" applyBorder="1" applyAlignment="1">
      <alignment horizontal="left" vertical="center"/>
      <protection locked="0" hidden="0"/>
    </xf>
    <xf numFmtId="1" fontId="50" fillId="26" borderId="19" xfId="0" applyNumberFormat="1" applyFont="1" applyFill="1" applyBorder="1" applyAlignment="1">
      <alignment horizontal="left" vertical="center"/>
      <protection locked="0" hidden="0"/>
    </xf>
    <xf numFmtId="1" fontId="155" fillId="6" borderId="0" xfId="6" applyNumberFormat="1" applyFont="1" applyFill="1" applyBorder="1">
      <alignment vertical="center"/>
    </xf>
    <xf numFmtId="1" fontId="26" fillId="6" borderId="0" xfId="6" applyNumberFormat="1" applyFont="1" applyFill="1" applyBorder="1" applyAlignment="1">
      <alignment horizontal="left" vertical="center"/>
    </xf>
    <xf numFmtId="1" fontId="26" fillId="6" borderId="85" xfId="6" applyNumberFormat="1" applyFont="1" applyFill="1" applyBorder="1" applyAlignment="1">
      <alignment horizontal="left" vertical="center"/>
    </xf>
    <xf numFmtId="1" fontId="26" fillId="6" borderId="84" xfId="6" applyNumberFormat="1" applyFont="1" applyFill="1" applyBorder="1" applyAlignment="1">
      <alignment horizontal="left" vertical="center" wrapText="1"/>
    </xf>
    <xf numFmtId="1" fontId="26" fillId="6" borderId="0" xfId="6" applyNumberFormat="1" applyFont="1" applyFill="1" applyBorder="1" applyAlignment="1">
      <alignment horizontal="left" vertical="center" wrapText="1"/>
    </xf>
    <xf numFmtId="1" fontId="26" fillId="6" borderId="85" xfId="6" applyNumberFormat="1" applyFont="1" applyFill="1" applyBorder="1" applyAlignment="1">
      <alignment horizontal="left" vertical="center" wrapText="1"/>
    </xf>
    <xf numFmtId="1" fontId="26" fillId="6" borderId="86" xfId="6" applyNumberFormat="1" applyFont="1" applyFill="1" applyBorder="1" applyAlignment="1">
      <alignment horizontal="left" vertical="center" wrapText="1"/>
    </xf>
    <xf numFmtId="1" fontId="26" fillId="6" borderId="19" xfId="6" applyNumberFormat="1" applyFont="1" applyFill="1" applyBorder="1" applyAlignment="1">
      <alignment horizontal="left" vertical="center" wrapText="1"/>
    </xf>
    <xf numFmtId="1" fontId="26" fillId="6" borderId="87" xfId="6" applyNumberFormat="1" applyFont="1" applyFill="1" applyBorder="1" applyAlignment="1">
      <alignment horizontal="left" vertical="center" wrapText="1"/>
    </xf>
    <xf numFmtId="1" fontId="26" fillId="6" borderId="96" xfId="6" applyNumberFormat="1" applyFont="1" applyFill="1" applyBorder="1" applyAlignment="1">
      <alignment horizontal="center" vertical="center" wrapText="1"/>
    </xf>
    <xf numFmtId="1" fontId="26" fillId="6" borderId="15" xfId="6" applyNumberFormat="1" applyFont="1" applyFill="1" applyBorder="1" applyAlignment="1">
      <alignment horizontal="center" vertical="center" wrapText="1"/>
    </xf>
    <xf numFmtId="1" fontId="26" fillId="6" borderId="15" xfId="6" applyNumberFormat="1" applyFont="1" applyFill="1" applyBorder="1" applyAlignment="1">
      <alignment horizontal="left" vertical="center" wrapText="1"/>
    </xf>
    <xf numFmtId="1" fontId="26" fillId="6" borderId="89" xfId="6" applyNumberFormat="1" applyFont="1" applyFill="1" applyBorder="1" applyAlignment="1">
      <alignment horizontal="left" vertical="center" wrapText="1"/>
    </xf>
    <xf numFmtId="1" fontId="155" fillId="6" borderId="84" xfId="6" applyNumberFormat="1" applyFont="1" applyFill="1" applyBorder="1" applyAlignment="1">
      <alignment horizontal="left" vertical="center" wrapText="1"/>
    </xf>
    <xf numFmtId="1" fontId="155" fillId="6" borderId="0" xfId="6" applyNumberFormat="1" applyFont="1" applyFill="1" applyBorder="1" applyAlignment="1">
      <alignment horizontal="left" vertical="center" wrapText="1"/>
    </xf>
    <xf numFmtId="1" fontId="155" fillId="6" borderId="85" xfId="6" applyNumberFormat="1" applyFont="1" applyFill="1" applyBorder="1" applyAlignment="1">
      <alignment horizontal="left" vertical="center" wrapText="1"/>
    </xf>
    <xf numFmtId="1" fontId="26" fillId="6" borderId="0" xfId="6" applyNumberFormat="1" applyFont="1" applyFill="1" applyBorder="1" applyAlignment="1">
      <alignment horizontal="left" vertical="center" wrapText="1"/>
    </xf>
    <xf numFmtId="1" fontId="26" fillId="6" borderId="85" xfId="6" applyNumberFormat="1" applyFont="1" applyFill="1" applyBorder="1" applyAlignment="1">
      <alignment horizontal="left" vertical="center" wrapText="1"/>
    </xf>
    <xf numFmtId="1" fontId="26" fillId="6" borderId="85" xfId="0" applyNumberFormat="1" applyFont="1" applyFill="1" applyBorder="1">
      <alignment vertical="center"/>
    </xf>
    <xf numFmtId="1" fontId="26" fillId="6" borderId="84" xfId="0" applyNumberFormat="1" applyFont="1" applyFill="1" applyBorder="1">
      <alignment vertical="center"/>
    </xf>
    <xf numFmtId="1" fontId="50" fillId="6" borderId="108" xfId="6" applyNumberFormat="1" applyFont="1" applyFill="1" applyBorder="1" applyAlignment="1">
      <alignment horizontal="left" vertical="center" wrapText="1"/>
    </xf>
    <xf numFmtId="1" fontId="26" fillId="6" borderId="55" xfId="6" applyNumberFormat="1" applyFont="1" applyFill="1" applyBorder="1" applyAlignment="1">
      <alignment horizontal="left" vertical="center" wrapText="1"/>
    </xf>
    <xf numFmtId="1" fontId="26" fillId="6" borderId="109" xfId="6" applyNumberFormat="1" applyFont="1" applyFill="1" applyBorder="1" applyAlignment="1">
      <alignment horizontal="left" vertical="center" wrapText="1"/>
    </xf>
    <xf numFmtId="1" fontId="50" fillId="6" borderId="80" xfId="0" applyNumberFormat="1" applyFont="1" applyFill="1" applyBorder="1" applyAlignment="1">
      <alignment horizontal="center" vertical="center"/>
    </xf>
    <xf numFmtId="1" fontId="50" fillId="6" borderId="81" xfId="0" applyNumberFormat="1" applyFont="1" applyFill="1" applyBorder="1" applyAlignment="1">
      <alignment horizontal="center" vertical="center"/>
    </xf>
    <xf numFmtId="1" fontId="50" fillId="6" borderId="82" xfId="0" applyNumberFormat="1" applyFont="1" applyFill="1" applyBorder="1" applyAlignment="1">
      <alignment horizontal="center" vertical="center"/>
    </xf>
    <xf numFmtId="1" fontId="157" fillId="6" borderId="86" xfId="0" applyNumberFormat="1" applyFont="1" applyFill="1" applyBorder="1" applyAlignment="1">
      <alignment horizontal="center" vertical="center"/>
    </xf>
    <xf numFmtId="1" fontId="157" fillId="6" borderId="19" xfId="0" applyNumberFormat="1" applyFont="1" applyFill="1" applyBorder="1" applyAlignment="1">
      <alignment horizontal="center" vertical="center"/>
    </xf>
    <xf numFmtId="1" fontId="157" fillId="6" borderId="87" xfId="0" applyNumberFormat="1" applyFont="1" applyFill="1" applyBorder="1" applyAlignment="1">
      <alignment horizontal="center" vertical="center"/>
    </xf>
    <xf numFmtId="1" fontId="50" fillId="6" borderId="84" xfId="6" applyNumberFormat="1" applyFont="1" applyFill="1" applyBorder="1">
      <alignment vertical="center"/>
    </xf>
    <xf numFmtId="1" fontId="158" fillId="6" borderId="0" xfId="6" applyNumberFormat="1" applyFont="1" applyFill="1" applyBorder="1">
      <alignment vertical="center"/>
    </xf>
    <xf numFmtId="1" fontId="26" fillId="6" borderId="0" xfId="6" applyNumberFormat="1" applyFont="1" applyFill="1" applyBorder="1">
      <alignment vertical="center"/>
    </xf>
    <xf numFmtId="1" fontId="26" fillId="6" borderId="51" xfId="6" applyNumberFormat="1" applyFont="1" applyFill="1" applyBorder="1">
      <alignment vertical="center"/>
    </xf>
    <xf numFmtId="1" fontId="26" fillId="6" borderId="110" xfId="6" applyNumberFormat="1" applyFont="1" applyFill="1" applyBorder="1">
      <alignment vertical="center"/>
    </xf>
    <xf numFmtId="1" fontId="26" fillId="6" borderId="52" xfId="6" applyNumberFormat="1" applyFont="1" applyFill="1" applyBorder="1">
      <alignment vertical="center"/>
    </xf>
    <xf numFmtId="1" fontId="26" fillId="6" borderId="111" xfId="6" applyNumberFormat="1" applyFont="1" applyFill="1" applyBorder="1">
      <alignment vertical="center"/>
    </xf>
    <xf numFmtId="1" fontId="26" fillId="6" borderId="84" xfId="6" applyNumberFormat="1" applyFont="1" applyFill="1" applyBorder="1">
      <alignment vertical="center"/>
    </xf>
    <xf numFmtId="165" fontId="26" fillId="6" borderId="51" xfId="6" applyNumberFormat="1" applyFont="1" applyFill="1" applyBorder="1">
      <alignment vertical="center"/>
    </xf>
    <xf numFmtId="1" fontId="127" fillId="6" borderId="0" xfId="6" applyNumberFormat="1" applyFont="1" applyFill="1" applyBorder="1">
      <alignment vertical="center"/>
    </xf>
    <xf numFmtId="1" fontId="50" fillId="6" borderId="0" xfId="6" applyNumberFormat="1" applyFont="1" applyFill="1" applyBorder="1">
      <alignment vertical="center"/>
    </xf>
    <xf numFmtId="1" fontId="50" fillId="6" borderId="51" xfId="6" applyNumberFormat="1" applyFont="1" applyFill="1" applyBorder="1">
      <alignment vertical="center"/>
    </xf>
    <xf numFmtId="165" fontId="50" fillId="6" borderId="51" xfId="6" applyNumberFormat="1" applyFont="1" applyFill="1" applyBorder="1" applyAlignment="1">
      <alignment horizontal="center" vertical="center"/>
    </xf>
    <xf numFmtId="165" fontId="50" fillId="6" borderId="52" xfId="6" applyNumberFormat="1" applyFont="1" applyFill="1" applyBorder="1" applyAlignment="1">
      <alignment horizontal="center" vertical="center"/>
    </xf>
    <xf numFmtId="1" fontId="26" fillId="6" borderId="84" xfId="6" applyNumberFormat="1" applyFont="1" applyFill="1" applyBorder="1">
      <alignment vertical="center"/>
    </xf>
    <xf numFmtId="1" fontId="26" fillId="6" borderId="0" xfId="6" applyNumberFormat="1" applyFont="1" applyFill="1" applyBorder="1">
      <alignment vertical="center"/>
    </xf>
    <xf numFmtId="1" fontId="26" fillId="6" borderId="18" xfId="6" applyNumberFormat="1" applyFont="1" applyFill="1" applyBorder="1">
      <alignment vertical="center"/>
    </xf>
    <xf numFmtId="1" fontId="50" fillId="15" borderId="84" xfId="6" applyNumberFormat="1" applyFont="1" applyFill="1" applyBorder="1">
      <alignment vertical="center"/>
    </xf>
    <xf numFmtId="1" fontId="26" fillId="15" borderId="0" xfId="6" applyNumberFormat="1" applyFont="1" applyFill="1" applyBorder="1">
      <alignment vertical="center"/>
    </xf>
    <xf numFmtId="1" fontId="26" fillId="15" borderId="51" xfId="6" applyNumberFormat="1" applyFont="1" applyFill="1" applyBorder="1">
      <alignment vertical="center"/>
    </xf>
    <xf numFmtId="165" fontId="50" fillId="15" borderId="51" xfId="6" applyNumberFormat="1" applyFont="1" applyFill="1" applyBorder="1" applyAlignment="1">
      <alignment horizontal="center" vertical="center"/>
    </xf>
    <xf numFmtId="165" fontId="50" fillId="15" borderId="52" xfId="6" applyNumberFormat="1" applyFont="1" applyFill="1" applyBorder="1" applyAlignment="1">
      <alignment horizontal="center" vertical="center"/>
    </xf>
    <xf numFmtId="2" fontId="1" fillId="0" borderId="0" xfId="0" applyNumberFormat="1" applyAlignment="1">
      <alignment vertical="bottom"/>
    </xf>
    <xf numFmtId="165" fontId="26" fillId="6" borderId="0" xfId="6" applyNumberFormat="1" applyFont="1" applyFill="1" applyBorder="1" quotePrefix="1">
      <alignment vertical="center"/>
    </xf>
    <xf numFmtId="1" fontId="26" fillId="6" borderId="52" xfId="6" applyNumberFormat="1" applyFont="1" applyFill="1" applyBorder="1" quotePrefix="1">
      <alignment vertical="center"/>
    </xf>
    <xf numFmtId="165" fontId="26" fillId="6" borderId="18" xfId="6" applyNumberFormat="1" applyFont="1" applyFill="1" applyBorder="1">
      <alignment vertical="center"/>
    </xf>
    <xf numFmtId="1" fontId="50" fillId="6" borderId="52" xfId="6" applyNumberFormat="1" applyFont="1" applyFill="1" applyBorder="1">
      <alignment vertical="center"/>
    </xf>
    <xf numFmtId="165" fontId="50" fillId="6" borderId="111" xfId="6" applyNumberFormat="1" applyFont="1" applyFill="1" applyBorder="1" applyAlignment="1">
      <alignment horizontal="center" vertical="center"/>
    </xf>
    <xf numFmtId="1" fontId="26" fillId="6" borderId="111" xfId="6" applyNumberFormat="1" applyFont="1" applyFill="1" applyBorder="1" applyAlignment="1">
      <alignment horizontal="center" vertical="center"/>
    </xf>
    <xf numFmtId="165" fontId="26" fillId="6" borderId="111" xfId="6" applyNumberFormat="1" applyFont="1" applyFill="1" applyBorder="1" applyAlignment="1">
      <alignment horizontal="center" vertical="center"/>
    </xf>
    <xf numFmtId="1" fontId="26" fillId="15" borderId="18" xfId="6" applyNumberFormat="1" applyFont="1" applyFill="1" applyBorder="1">
      <alignment vertical="center"/>
    </xf>
    <xf numFmtId="1" fontId="26" fillId="15" borderId="52" xfId="6" applyNumberFormat="1" applyFont="1" applyFill="1" applyBorder="1">
      <alignment vertical="center"/>
    </xf>
    <xf numFmtId="165" fontId="50" fillId="15" borderId="95" xfId="6" applyNumberFormat="1" applyFont="1" applyFill="1" applyBorder="1" applyAlignment="1">
      <alignment horizontal="center" vertical="center"/>
    </xf>
    <xf numFmtId="1" fontId="50" fillId="6" borderId="96" xfId="6" applyNumberFormat="1" applyFont="1" applyFill="1" applyBorder="1">
      <alignment vertical="center"/>
    </xf>
    <xf numFmtId="1" fontId="26" fillId="6" borderId="15" xfId="6" applyNumberFormat="1" applyFont="1" applyFill="1" applyBorder="1">
      <alignment vertical="center"/>
    </xf>
    <xf numFmtId="1" fontId="26" fillId="6" borderId="14" xfId="6" applyNumberFormat="1" applyFont="1" applyFill="1" applyBorder="1">
      <alignment vertical="center"/>
    </xf>
    <xf numFmtId="1" fontId="26" fillId="6" borderId="47" xfId="6" applyNumberFormat="1" applyFont="1" applyFill="1" applyBorder="1">
      <alignment vertical="center"/>
    </xf>
    <xf numFmtId="1" fontId="26" fillId="6" borderId="85" xfId="6" applyNumberFormat="1" applyFont="1" applyFill="1" applyBorder="1">
      <alignment vertical="center"/>
    </xf>
    <xf numFmtId="1" fontId="50" fillId="6" borderId="84" xfId="6" applyNumberFormat="1" applyFont="1" applyFill="1" applyBorder="1" applyAlignment="1">
      <alignment horizontal="center" vertical="center"/>
    </xf>
    <xf numFmtId="1" fontId="50" fillId="6" borderId="0" xfId="6" applyNumberFormat="1" applyFont="1" applyFill="1" applyBorder="1" applyAlignment="1">
      <alignment horizontal="center" vertical="center"/>
    </xf>
    <xf numFmtId="1" fontId="50" fillId="6" borderId="84" xfId="6" applyNumberFormat="1" applyFont="1" applyFill="1" applyBorder="1" applyAlignment="1">
      <alignment horizontal="right" vertical="center"/>
    </xf>
    <xf numFmtId="1" fontId="50" fillId="6" borderId="51" xfId="6" applyNumberFormat="1" applyFont="1" applyFill="1" applyBorder="1" applyAlignment="1">
      <alignment horizontal="center" vertical="center"/>
    </xf>
    <xf numFmtId="1" fontId="50" fillId="6" borderId="52" xfId="6" applyNumberFormat="1" applyFont="1" applyFill="1" applyBorder="1" applyAlignment="1">
      <alignment horizontal="center" vertical="center"/>
    </xf>
    <xf numFmtId="1" fontId="50" fillId="6" borderId="85" xfId="6" applyNumberFormat="1" applyFont="1" applyFill="1" applyBorder="1">
      <alignment vertical="center"/>
    </xf>
    <xf numFmtId="1" fontId="26" fillId="6" borderId="84" xfId="6" applyNumberFormat="1" applyFont="1" applyFill="1" applyBorder="1" applyAlignment="1">
      <alignment horizontal="right" vertical="center"/>
    </xf>
    <xf numFmtId="1" fontId="26" fillId="6" borderId="51" xfId="6" applyNumberFormat="1" applyFont="1" applyFill="1" applyBorder="1" applyAlignment="1">
      <alignment horizontal="center" vertical="center"/>
    </xf>
    <xf numFmtId="1" fontId="26" fillId="6" borderId="52" xfId="6" applyNumberFormat="1" applyFont="1" applyFill="1" applyBorder="1" applyAlignment="1">
      <alignment horizontal="center" vertical="center"/>
    </xf>
    <xf numFmtId="1" fontId="26" fillId="6" borderId="85" xfId="6" applyNumberFormat="1" applyFont="1" applyFill="1" applyBorder="1" applyAlignment="1">
      <alignment horizontal="center" vertical="center"/>
    </xf>
    <xf numFmtId="1" fontId="159" fillId="6" borderId="84" xfId="6" applyNumberFormat="1" applyFont="1" applyFill="1" applyBorder="1" applyAlignment="1">
      <alignment horizontal="right" vertical="center"/>
    </xf>
    <xf numFmtId="1" fontId="26" fillId="6" borderId="112" xfId="6" applyNumberFormat="1" applyFont="1" applyFill="1" applyBorder="1" applyAlignment="1" quotePrefix="1">
      <alignment horizontal="center" vertical="center"/>
    </xf>
    <xf numFmtId="1" fontId="26" fillId="6" borderId="112" xfId="6" applyNumberFormat="1" applyFont="1" applyFill="1" applyBorder="1" applyAlignment="1">
      <alignment horizontal="center" vertical="center"/>
    </xf>
    <xf numFmtId="165" fontId="26" fillId="6" borderId="51" xfId="6" applyNumberFormat="1" applyFont="1" applyFill="1" applyBorder="1" applyAlignment="1">
      <alignment horizontal="center" vertical="center"/>
    </xf>
    <xf numFmtId="165" fontId="26" fillId="6" borderId="52" xfId="6" applyNumberFormat="1" applyFont="1" applyFill="1" applyBorder="1" applyAlignment="1">
      <alignment horizontal="center" vertical="center"/>
    </xf>
    <xf numFmtId="165" fontId="26" fillId="6" borderId="85" xfId="6" applyNumberFormat="1" applyFont="1" applyFill="1" applyBorder="1" applyAlignment="1">
      <alignment horizontal="center" vertical="center"/>
    </xf>
    <xf numFmtId="1" fontId="94" fillId="6" borderId="84" xfId="6" applyNumberFormat="1" applyFont="1" applyFill="1" applyBorder="1" applyAlignment="1">
      <alignment horizontal="center" vertical="center" wrapText="1"/>
    </xf>
    <xf numFmtId="1" fontId="94" fillId="6" borderId="0" xfId="6" applyNumberFormat="1" applyFont="1" applyFill="1" applyBorder="1" applyAlignment="1">
      <alignment horizontal="center" vertical="center" wrapText="1"/>
    </xf>
    <xf numFmtId="1" fontId="94" fillId="6" borderId="52" xfId="6" applyNumberFormat="1" applyFont="1" applyFill="1" applyBorder="1" applyAlignment="1">
      <alignment horizontal="center" vertical="center" wrapText="1"/>
    </xf>
    <xf numFmtId="1" fontId="26" fillId="6" borderId="51" xfId="6" applyNumberFormat="1" applyFont="1" applyFill="1" applyBorder="1" applyAlignment="1">
      <alignment horizontal="center" vertical="center"/>
    </xf>
    <xf numFmtId="1" fontId="26" fillId="6" borderId="52" xfId="6" applyNumberFormat="1" applyFont="1" applyFill="1" applyBorder="1" applyAlignment="1">
      <alignment horizontal="center" vertical="center"/>
    </xf>
    <xf numFmtId="1" fontId="26" fillId="6" borderId="0" xfId="6" applyNumberFormat="1" applyFont="1" applyFill="1" applyBorder="1" applyAlignment="1">
      <alignment horizontal="center" vertical="center"/>
    </xf>
    <xf numFmtId="165" fontId="26" fillId="6" borderId="0" xfId="6" applyNumberFormat="1" applyFont="1" applyFill="1" applyBorder="1" applyAlignment="1">
      <alignment horizontal="center" vertical="center"/>
    </xf>
    <xf numFmtId="165" fontId="46" fillId="6" borderId="85" xfId="7" applyNumberFormat="1" applyFont="1" applyFill="1" applyBorder="1" applyAlignment="1">
      <alignment horizontal="center" vertical="center"/>
    </xf>
    <xf numFmtId="165" fontId="26" fillId="6" borderId="85" xfId="6" applyNumberFormat="1" applyFont="1" applyFill="1" applyBorder="1">
      <alignment vertical="center"/>
    </xf>
    <xf numFmtId="1" fontId="26" fillId="6" borderId="86" xfId="6" applyNumberFormat="1" applyFont="1" applyFill="1" applyBorder="1" applyAlignment="1">
      <alignment horizontal="right" vertical="center"/>
    </xf>
    <xf numFmtId="1" fontId="26" fillId="6" borderId="53" xfId="6" applyNumberFormat="1" applyFont="1" applyFill="1" applyBorder="1">
      <alignment vertical="center"/>
    </xf>
    <xf numFmtId="165" fontId="26" fillId="6" borderId="18" xfId="6" applyNumberFormat="1" applyFont="1" applyFill="1" applyBorder="1" applyAlignment="1">
      <alignment horizontal="center" vertical="center"/>
    </xf>
    <xf numFmtId="165" fontId="26" fillId="6" borderId="87" xfId="6" applyNumberFormat="1" applyFont="1" applyFill="1" applyBorder="1" applyAlignment="1">
      <alignment horizontal="center" vertical="center"/>
    </xf>
    <xf numFmtId="1" fontId="26" fillId="6" borderId="88" xfId="6" applyNumberFormat="1" applyFont="1" applyFill="1" applyBorder="1" applyAlignment="1">
      <alignment horizontal="right" vertical="center"/>
    </xf>
    <xf numFmtId="1" fontId="26" fillId="6" borderId="8" xfId="6" applyNumberFormat="1" applyFont="1" applyFill="1" applyBorder="1">
      <alignment vertical="center"/>
    </xf>
    <xf numFmtId="1" fontId="26" fillId="6" borderId="19" xfId="6" applyNumberFormat="1" applyFont="1" applyFill="1" applyBorder="1" applyAlignment="1">
      <alignment horizontal="center" vertical="center"/>
    </xf>
    <xf numFmtId="1" fontId="26" fillId="6" borderId="85" xfId="6" applyNumberFormat="1" applyFont="1" applyFill="1" applyBorder="1" applyAlignment="1">
      <alignment horizontal="center" vertical="center"/>
    </xf>
    <xf numFmtId="1" fontId="50" fillId="6" borderId="96" xfId="6" applyNumberFormat="1" applyFont="1" applyFill="1" applyBorder="1" applyAlignment="1">
      <alignment horizontal="right" vertical="center"/>
    </xf>
    <xf numFmtId="1" fontId="26" fillId="6" borderId="47" xfId="6" applyNumberFormat="1" applyFont="1" applyFill="1" applyBorder="1" applyAlignment="1">
      <alignment horizontal="center" vertical="center"/>
    </xf>
    <xf numFmtId="1" fontId="26" fillId="6" borderId="89" xfId="6" applyNumberFormat="1" applyFont="1" applyFill="1" applyBorder="1" applyAlignment="1">
      <alignment horizontal="center" vertical="center"/>
    </xf>
    <xf numFmtId="1" fontId="160" fillId="6" borderId="84" xfId="6" applyNumberFormat="1" applyFont="1" applyFill="1" applyBorder="1" applyAlignment="1">
      <alignment horizontal="right" vertical="center"/>
    </xf>
    <xf numFmtId="1" fontId="155" fillId="6" borderId="112" xfId="6" applyNumberFormat="1" applyFont="1" applyFill="1" applyBorder="1" applyAlignment="1">
      <alignment horizontal="center" vertical="center" wrapText="1"/>
    </xf>
    <xf numFmtId="1" fontId="155" fillId="6" borderId="113" xfId="6" applyNumberFormat="1" applyFont="1" applyFill="1" applyBorder="1" applyAlignment="1">
      <alignment horizontal="center" vertical="center" wrapText="1"/>
    </xf>
    <xf numFmtId="1" fontId="161" fillId="6" borderId="84" xfId="6" applyNumberFormat="1" applyFont="1" applyFill="1" applyBorder="1" applyAlignment="1">
      <alignment horizontal="center" vertical="center" wrapText="1"/>
    </xf>
    <xf numFmtId="1" fontId="161" fillId="6" borderId="0" xfId="6" applyNumberFormat="1" applyFont="1" applyFill="1" applyBorder="1" applyAlignment="1">
      <alignment horizontal="center" vertical="center" wrapText="1"/>
    </xf>
    <xf numFmtId="1" fontId="161" fillId="6" borderId="52" xfId="6" applyNumberFormat="1" applyFont="1" applyFill="1" applyBorder="1" applyAlignment="1">
      <alignment horizontal="center" vertical="center" wrapText="1"/>
    </xf>
    <xf numFmtId="165" fontId="46" fillId="6" borderId="85" xfId="7" applyNumberFormat="1" applyFont="1" applyFill="1" applyBorder="1" applyAlignment="1">
      <alignment horizontal="center" vertical="center"/>
    </xf>
    <xf numFmtId="1" fontId="127" fillId="15" borderId="84" xfId="6" applyNumberFormat="1" applyFont="1" applyFill="1" applyBorder="1" applyAlignment="1">
      <alignment horizontal="center" vertical="center"/>
    </xf>
    <xf numFmtId="1" fontId="127" fillId="15" borderId="0" xfId="6" applyNumberFormat="1" applyFont="1" applyFill="1" applyBorder="1" applyAlignment="1">
      <alignment horizontal="center" vertical="center"/>
    </xf>
    <xf numFmtId="1" fontId="127" fillId="15" borderId="52" xfId="6" applyNumberFormat="1" applyFont="1" applyFill="1" applyBorder="1" applyAlignment="1">
      <alignment horizontal="center" vertical="center"/>
    </xf>
    <xf numFmtId="1" fontId="127" fillId="15" borderId="51" xfId="6" applyNumberFormat="1" applyFont="1" applyFill="1" applyBorder="1" applyAlignment="1">
      <alignment horizontal="center" vertical="center"/>
    </xf>
    <xf numFmtId="165" fontId="158" fillId="15" borderId="51" xfId="6" applyNumberFormat="1" applyFont="1" applyFill="1" applyBorder="1" applyAlignment="1">
      <alignment horizontal="center" vertical="center"/>
    </xf>
    <xf numFmtId="165" fontId="158" fillId="15" borderId="85" xfId="6" applyNumberFormat="1" applyFont="1" applyFill="1" applyBorder="1" applyAlignment="1">
      <alignment horizontal="center" vertical="center"/>
    </xf>
    <xf numFmtId="1" fontId="50" fillId="6" borderId="84" xfId="6" applyNumberFormat="1" applyFont="1" applyFill="1" applyBorder="1" applyAlignment="1">
      <alignment horizontal="center" vertical="center" wrapText="1"/>
    </xf>
    <xf numFmtId="1" fontId="50" fillId="6" borderId="0" xfId="6" applyNumberFormat="1" applyFont="1" applyFill="1" applyBorder="1" applyAlignment="1">
      <alignment horizontal="center" vertical="center" wrapText="1"/>
    </xf>
    <xf numFmtId="1" fontId="50" fillId="6" borderId="52" xfId="6" applyNumberFormat="1" applyFont="1" applyFill="1" applyBorder="1" applyAlignment="1">
      <alignment horizontal="center" vertical="center" wrapText="1"/>
    </xf>
    <xf numFmtId="165" fontId="46" fillId="6" borderId="85" xfId="6" applyNumberFormat="1" applyFont="1" applyFill="1" applyBorder="1" applyAlignment="1">
      <alignment horizontal="center" vertical="center"/>
    </xf>
    <xf numFmtId="165" fontId="26" fillId="6" borderId="85" xfId="6" applyNumberFormat="1" applyFont="1" applyFill="1" applyBorder="1" applyAlignment="1">
      <alignment horizontal="center" vertical="center"/>
    </xf>
    <xf numFmtId="165" fontId="44" fillId="6" borderId="85" xfId="8" applyNumberFormat="1" applyFont="1" applyFill="1" applyBorder="1" applyAlignment="1">
      <alignment horizontal="center" vertical="center"/>
    </xf>
    <xf numFmtId="1" fontId="152" fillId="6" borderId="84" xfId="6" applyNumberFormat="1" applyFont="1" applyFill="1" applyBorder="1">
      <alignment vertical="center"/>
    </xf>
    <xf numFmtId="0" fontId="138" fillId="0" borderId="79" xfId="3" applyFont="1" applyBorder="1" applyAlignment="1">
      <alignment horizontal="center" vertical="center"/>
    </xf>
    <xf numFmtId="0" fontId="138" fillId="0" borderId="0" xfId="3" applyFont="1" applyBorder="1" applyAlignment="1">
      <alignment horizontal="center" vertical="center"/>
    </xf>
    <xf numFmtId="0" fontId="162" fillId="0" borderId="0" xfId="0" applyFont="1" applyAlignment="1">
      <alignment vertical="bottom"/>
    </xf>
    <xf numFmtId="171" fontId="124" fillId="0" borderId="10" xfId="5" applyNumberFormat="1" applyFont="1" applyBorder="1" applyAlignment="1">
      <alignment horizontal="center" vertical="center"/>
    </xf>
    <xf numFmtId="171" fontId="124" fillId="0" borderId="46" xfId="5" applyNumberFormat="1" applyFont="1" applyBorder="1" applyAlignment="1">
      <alignment horizontal="center" vertical="center"/>
    </xf>
    <xf numFmtId="0" fontId="1" fillId="0" borderId="0" xfId="0" applyAlignment="1">
      <alignment horizontal="center" vertical="bottom"/>
    </xf>
    <xf numFmtId="1" fontId="50" fillId="6" borderId="84" xfId="6" applyNumberFormat="1" applyFont="1" applyFill="1" applyBorder="1" applyAlignment="1">
      <alignment horizontal="left" vertical="center"/>
    </xf>
    <xf numFmtId="1" fontId="50" fillId="6" borderId="0" xfId="6" applyNumberFormat="1" applyFont="1" applyFill="1" applyBorder="1" applyAlignment="1">
      <alignment horizontal="left" vertical="center"/>
    </xf>
    <xf numFmtId="1" fontId="50" fillId="6" borderId="52" xfId="6" applyNumberFormat="1" applyFont="1" applyFill="1" applyBorder="1" applyAlignment="1">
      <alignment horizontal="left" vertical="center"/>
    </xf>
    <xf numFmtId="0" fontId="44" fillId="0" borderId="0" xfId="0" applyFont="1" applyAlignment="1">
      <alignment vertical="bottom"/>
    </xf>
    <xf numFmtId="165" fontId="50" fillId="6" borderId="87" xfId="6" applyNumberFormat="1" applyFont="1" applyFill="1" applyBorder="1" applyAlignment="1">
      <alignment horizontal="center" vertical="center" wrapText="1"/>
    </xf>
    <xf numFmtId="1" fontId="158" fillId="15" borderId="18" xfId="6" applyNumberFormat="1" applyFont="1" applyFill="1" applyBorder="1" applyAlignment="1">
      <alignment horizontal="center" vertical="center"/>
    </xf>
    <xf numFmtId="1" fontId="158" fillId="15" borderId="53" xfId="6" applyNumberFormat="1" applyFont="1" applyFill="1" applyBorder="1" applyAlignment="1">
      <alignment horizontal="center" vertical="center"/>
    </xf>
    <xf numFmtId="1" fontId="158" fillId="15" borderId="0" xfId="6" applyNumberFormat="1" applyFont="1" applyFill="1" applyBorder="1">
      <alignment vertical="center"/>
    </xf>
    <xf numFmtId="165" fontId="158" fillId="15" borderId="87" xfId="6" applyNumberFormat="1" applyFont="1" applyFill="1" applyBorder="1" applyAlignment="1">
      <alignment horizontal="center" vertical="center" wrapText="1"/>
    </xf>
    <xf numFmtId="1" fontId="156" fillId="6" borderId="87" xfId="6" applyNumberFormat="1" applyFont="1" applyFill="1" applyBorder="1" applyAlignment="1">
      <alignment horizontal="center" vertical="center"/>
    </xf>
    <xf numFmtId="1" fontId="106" fillId="6" borderId="8" xfId="0" applyNumberFormat="1" applyFont="1" applyFill="1" applyBorder="1" applyAlignment="1">
      <alignment horizontal="center" vertical="center"/>
    </xf>
    <xf numFmtId="1" fontId="50" fillId="6" borderId="86" xfId="6" applyNumberFormat="1" applyFont="1" applyFill="1" applyBorder="1" applyAlignment="1">
      <alignment horizontal="center" vertical="center"/>
    </xf>
    <xf numFmtId="1" fontId="50" fillId="6" borderId="19" xfId="6" applyNumberFormat="1" applyFont="1" applyFill="1" applyBorder="1" applyAlignment="1">
      <alignment horizontal="center" vertical="center"/>
    </xf>
    <xf numFmtId="1" fontId="1" fillId="6" borderId="85" xfId="0" applyNumberFormat="1" applyFill="1" applyBorder="1" applyAlignment="1">
      <alignment horizontal="right" vertical="center"/>
    </xf>
    <xf numFmtId="1" fontId="26" fillId="6" borderId="86" xfId="6" applyNumberFormat="1" applyFont="1" applyFill="1" applyBorder="1" applyAlignment="1">
      <alignment vertical="center" wrapText="1"/>
    </xf>
    <xf numFmtId="1" fontId="26" fillId="6" borderId="19" xfId="6" applyNumberFormat="1" applyFont="1" applyFill="1" applyBorder="1" applyAlignment="1">
      <alignment vertical="center" wrapText="1"/>
    </xf>
    <xf numFmtId="1" fontId="26" fillId="6" borderId="87" xfId="6" applyNumberFormat="1" applyFont="1" applyFill="1" applyBorder="1" applyAlignment="1">
      <alignment vertical="center" wrapText="1"/>
    </xf>
    <xf numFmtId="1" fontId="26" fillId="6" borderId="0" xfId="6" applyNumberFormat="1" applyFont="1" applyFill="1" applyBorder="1" applyAlignment="1">
      <alignment horizontal="left" vertical="center"/>
    </xf>
    <xf numFmtId="1" fontId="26" fillId="6" borderId="85" xfId="6" applyNumberFormat="1" applyFont="1" applyFill="1" applyBorder="1" applyAlignment="1">
      <alignment horizontal="left" vertical="center"/>
    </xf>
    <xf numFmtId="0" fontId="134" fillId="0" borderId="5" xfId="3" applyFont="1" applyBorder="1" applyAlignment="1">
      <alignment horizontal="center" vertical="center"/>
    </xf>
    <xf numFmtId="1" fontId="163" fillId="26" borderId="0" xfId="6" applyNumberFormat="1" applyFont="1" applyFill="1" applyBorder="1" applyAlignment="1">
      <alignment horizontal="center" vertical="center" wrapText="1"/>
      <protection locked="0" hidden="0"/>
    </xf>
    <xf numFmtId="1" fontId="26" fillId="6" borderId="0" xfId="6" applyNumberFormat="1" applyFont="1" applyFill="1" applyBorder="1" applyAlignment="1">
      <alignment horizontal="center" vertical="center"/>
    </xf>
    <xf numFmtId="172" fontId="26" fillId="26" borderId="0" xfId="6" applyNumberFormat="1" applyFont="1" applyFill="1" applyBorder="1" applyAlignment="1">
      <alignment horizontal="left" vertical="center"/>
      <protection locked="0" hidden="0"/>
    </xf>
    <xf numFmtId="1" fontId="26" fillId="26" borderId="0" xfId="6" applyNumberFormat="1" applyFont="1" applyFill="1" applyBorder="1">
      <alignment vertical="center"/>
    </xf>
    <xf numFmtId="1" fontId="26" fillId="6" borderId="108" xfId="6" applyNumberFormat="1" applyFont="1" applyFill="1" applyBorder="1">
      <alignment vertical="center"/>
    </xf>
    <xf numFmtId="1" fontId="26" fillId="6" borderId="55" xfId="6" applyNumberFormat="1" applyFont="1" applyFill="1" applyBorder="1">
      <alignment vertical="center"/>
    </xf>
    <xf numFmtId="1" fontId="164" fillId="6" borderId="55" xfId="0" applyNumberFormat="1" applyFont="1" applyFill="1" applyBorder="1">
      <alignment vertical="center"/>
    </xf>
    <xf numFmtId="1" fontId="26" fillId="6" borderId="109" xfId="6" applyNumberFormat="1" applyFont="1" applyFill="1" applyBorder="1">
      <alignment vertical="center"/>
    </xf>
    <xf numFmtId="0" fontId="1" fillId="6" borderId="114" xfId="0" applyFill="1" applyBorder="1" applyAlignment="1">
      <alignment horizontal="center" vertical="bottom"/>
    </xf>
    <xf numFmtId="0" fontId="1" fillId="0" borderId="115" xfId="0" applyBorder="1" applyAlignment="1">
      <alignment horizontal="center" vertical="bottom"/>
    </xf>
    <xf numFmtId="0" fontId="1" fillId="6" borderId="0" xfId="0" applyFill="1" applyAlignment="1">
      <alignment vertical="bottom"/>
    </xf>
    <xf numFmtId="0" fontId="26" fillId="0" borderId="0" xfId="0" applyFont="1" applyAlignment="1">
      <alignment vertical="bottom"/>
    </xf>
    <xf numFmtId="0" fontId="26" fillId="6" borderId="0" xfId="0" applyFont="1" applyFill="1" applyAlignment="1">
      <alignment vertical="bottom"/>
      <protection locked="1" hidden="1"/>
    </xf>
    <xf numFmtId="1" fontId="151" fillId="4" borderId="80" xfId="0" applyNumberFormat="1" applyFont="1" applyFill="1" applyBorder="1" applyAlignment="1">
      <alignment horizontal="center" vertical="bottom"/>
      <protection locked="1" hidden="1"/>
    </xf>
    <xf numFmtId="1" fontId="151" fillId="4" borderId="81" xfId="0" applyNumberFormat="1" applyFont="1" applyFill="1" applyBorder="1" applyAlignment="1">
      <alignment horizontal="center" vertical="bottom"/>
      <protection locked="1" hidden="1"/>
    </xf>
    <xf numFmtId="1" fontId="151" fillId="4" borderId="82" xfId="0" applyNumberFormat="1" applyFont="1" applyFill="1" applyBorder="1" applyAlignment="1">
      <alignment horizontal="center" vertical="bottom"/>
      <protection locked="1" hidden="1"/>
    </xf>
    <xf numFmtId="0" fontId="26" fillId="6" borderId="83" xfId="0" applyFont="1" applyFill="1" applyBorder="1" applyAlignment="1">
      <alignment horizontal="center" vertical="bottom"/>
      <protection locked="1" hidden="1"/>
    </xf>
    <xf numFmtId="1" fontId="127" fillId="4" borderId="84" xfId="0" applyNumberFormat="1" applyFont="1" applyFill="1" applyBorder="1" applyAlignment="1">
      <alignment horizontal="center" vertical="bottom"/>
      <protection locked="1" hidden="1"/>
    </xf>
    <xf numFmtId="1" fontId="127" fillId="4" borderId="0" xfId="0" applyNumberFormat="1" applyFont="1" applyFill="1" applyBorder="1" applyAlignment="1">
      <alignment horizontal="center" vertical="bottom"/>
      <protection locked="1" hidden="1"/>
    </xf>
    <xf numFmtId="1" fontId="127" fillId="4" borderId="85" xfId="0" applyNumberFormat="1" applyFont="1" applyFill="1" applyBorder="1" applyAlignment="1">
      <alignment horizontal="center" vertical="bottom"/>
      <protection locked="1" hidden="1"/>
    </xf>
    <xf numFmtId="0" fontId="44" fillId="6" borderId="0" xfId="0" applyFont="1" applyFill="1" applyAlignment="1">
      <alignment horizontal="center" vertical="center"/>
      <protection locked="1" hidden="1"/>
    </xf>
    <xf numFmtId="1" fontId="50" fillId="6" borderId="84" xfId="0" applyNumberFormat="1" applyFont="1" applyFill="1" applyBorder="1" applyAlignment="1">
      <alignment horizontal="center" vertical="bottom"/>
      <protection locked="1" hidden="1"/>
    </xf>
    <xf numFmtId="1" fontId="50" fillId="6" borderId="0" xfId="0" applyNumberFormat="1" applyFont="1" applyFill="1" applyBorder="1" applyAlignment="1">
      <alignment horizontal="center" vertical="bottom"/>
      <protection locked="1" hidden="1"/>
    </xf>
    <xf numFmtId="1" fontId="50" fillId="6" borderId="85" xfId="0" applyNumberFormat="1" applyFont="1" applyFill="1" applyBorder="1" applyAlignment="1">
      <alignment horizontal="center" vertical="bottom"/>
      <protection locked="1" hidden="1"/>
    </xf>
    <xf numFmtId="0" fontId="43" fillId="6" borderId="0" xfId="0" applyFont="1" applyFill="1" applyAlignment="1">
      <alignment horizontal="center" vertical="center"/>
      <protection locked="1" hidden="1"/>
    </xf>
    <xf numFmtId="1" fontId="152" fillId="6" borderId="84" xfId="0" applyNumberFormat="1" applyFont="1" applyFill="1" applyBorder="1" applyAlignment="1">
      <alignment horizontal="center" vertical="bottom"/>
      <protection locked="1" hidden="1"/>
    </xf>
    <xf numFmtId="1" fontId="152" fillId="6" borderId="0" xfId="0" applyNumberFormat="1" applyFont="1" applyFill="1" applyBorder="1" applyAlignment="1">
      <alignment horizontal="center" vertical="bottom"/>
      <protection locked="1" hidden="1"/>
    </xf>
    <xf numFmtId="1" fontId="152" fillId="6" borderId="85" xfId="0" applyNumberFormat="1" applyFont="1" applyFill="1" applyBorder="1" applyAlignment="1">
      <alignment horizontal="center" vertical="bottom"/>
      <protection locked="1" hidden="1"/>
    </xf>
    <xf numFmtId="1" fontId="152" fillId="6" borderId="86" xfId="0" applyNumberFormat="1" applyFont="1" applyFill="1" applyBorder="1" applyAlignment="1">
      <alignment horizontal="center" vertical="bottom"/>
      <protection locked="1" hidden="1"/>
    </xf>
    <xf numFmtId="1" fontId="152" fillId="6" borderId="19" xfId="0" applyNumberFormat="1" applyFont="1" applyFill="1" applyBorder="1" applyAlignment="1">
      <alignment horizontal="center" vertical="bottom"/>
      <protection locked="1" hidden="1"/>
    </xf>
    <xf numFmtId="1" fontId="152" fillId="6" borderId="87" xfId="0" applyNumberFormat="1" applyFont="1" applyFill="1" applyBorder="1" applyAlignment="1">
      <alignment horizontal="center" vertical="bottom"/>
      <protection locked="1" hidden="1"/>
    </xf>
    <xf numFmtId="1" fontId="50" fillId="6" borderId="88" xfId="0" applyNumberFormat="1" applyFont="1" applyFill="1" applyBorder="1" applyAlignment="1">
      <alignment horizontal="center" vertical="center"/>
      <protection locked="1" hidden="1"/>
    </xf>
    <xf numFmtId="1" fontId="50" fillId="6" borderId="8" xfId="0" applyNumberFormat="1" applyFont="1" applyFill="1" applyBorder="1" applyAlignment="1">
      <alignment horizontal="center" vertical="center"/>
      <protection locked="1" hidden="1"/>
    </xf>
    <xf numFmtId="1" fontId="50" fillId="6" borderId="15" xfId="0" applyNumberFormat="1" applyFont="1" applyFill="1" applyBorder="1" applyAlignment="1">
      <alignment horizontal="center" vertical="center"/>
      <protection locked="1" hidden="1"/>
    </xf>
    <xf numFmtId="1" fontId="50" fillId="6" borderId="89" xfId="0" applyNumberFormat="1" applyFont="1" applyFill="1" applyBorder="1" applyAlignment="1">
      <alignment horizontal="center" vertical="center"/>
      <protection locked="1" hidden="1"/>
    </xf>
    <xf numFmtId="1" fontId="50" fillId="25" borderId="90" xfId="0" applyNumberFormat="1" applyFont="1" applyFill="1" applyBorder="1" applyAlignment="1">
      <alignment horizontal="right" vertical="center"/>
      <protection locked="1" hidden="1"/>
    </xf>
    <xf numFmtId="1" fontId="50" fillId="25" borderId="91" xfId="0" applyNumberFormat="1" applyFont="1" applyFill="1" applyBorder="1" applyAlignment="1">
      <alignment horizontal="right" vertical="center"/>
      <protection locked="1" hidden="1"/>
    </xf>
    <xf numFmtId="1" fontId="50" fillId="25" borderId="92" xfId="0" applyNumberFormat="1" applyFont="1" applyFill="1" applyBorder="1" applyAlignment="1">
      <alignment horizontal="center" vertical="center"/>
      <protection locked="1" hidden="1"/>
    </xf>
    <xf numFmtId="1" fontId="127" fillId="25" borderId="93" xfId="0" applyNumberFormat="1" applyFont="1" applyFill="1" applyBorder="1" applyAlignment="1">
      <alignment horizontal="left" vertical="center"/>
      <protection locked="1" hidden="1"/>
    </xf>
    <xf numFmtId="1" fontId="50" fillId="6" borderId="94" xfId="0" applyNumberFormat="1" applyFont="1" applyFill="1" applyBorder="1" applyAlignment="1">
      <alignment horizontal="center" vertical="center"/>
      <protection locked="1" hidden="1"/>
    </xf>
    <xf numFmtId="1" fontId="26" fillId="6" borderId="5" xfId="0" applyNumberFormat="1" applyFont="1" applyFill="1" applyBorder="1">
      <alignment vertical="center"/>
      <protection locked="1" hidden="1"/>
    </xf>
    <xf numFmtId="1" fontId="50" fillId="6" borderId="5" xfId="0" applyNumberFormat="1" applyFont="1" applyFill="1" applyBorder="1" applyAlignment="1">
      <alignment horizontal="center" vertical="center"/>
      <protection locked="1" hidden="1"/>
    </xf>
    <xf numFmtId="1" fontId="50" fillId="6" borderId="54" xfId="0" applyNumberFormat="1" applyFont="1" applyFill="1" applyBorder="1" applyAlignment="1">
      <alignment horizontal="center" vertical="center"/>
      <protection locked="1" hidden="1"/>
    </xf>
    <xf numFmtId="1" fontId="50" fillId="6" borderId="95" xfId="0" applyNumberFormat="1" applyFont="1" applyFill="1" applyBorder="1" applyAlignment="1">
      <alignment horizontal="center" vertical="center"/>
      <protection locked="1" hidden="1"/>
    </xf>
    <xf numFmtId="1" fontId="43" fillId="6" borderId="96" xfId="0" applyNumberFormat="1" applyFont="1" applyFill="1" applyBorder="1" applyAlignment="1">
      <alignment horizontal="center" vertical="center" wrapText="1"/>
      <protection locked="1" hidden="1"/>
    </xf>
    <xf numFmtId="1" fontId="43" fillId="6" borderId="15" xfId="0" applyNumberFormat="1" applyFont="1" applyFill="1" applyBorder="1" applyAlignment="1">
      <alignment horizontal="center" vertical="center" wrapText="1"/>
      <protection locked="1" hidden="1"/>
    </xf>
    <xf numFmtId="1" fontId="43" fillId="6" borderId="47" xfId="0" applyNumberFormat="1" applyFont="1" applyFill="1" applyBorder="1" applyAlignment="1">
      <alignment horizontal="center" vertical="center" wrapText="1"/>
      <protection locked="1" hidden="1"/>
    </xf>
    <xf numFmtId="1" fontId="153" fillId="6" borderId="14" xfId="0" applyNumberFormat="1" applyFont="1" applyFill="1" applyBorder="1" applyAlignment="1">
      <alignment horizontal="center" vertical="center" wrapText="1"/>
      <protection locked="1" hidden="1"/>
    </xf>
    <xf numFmtId="1" fontId="153" fillId="6" borderId="15" xfId="0" applyNumberFormat="1" applyFont="1" applyFill="1" applyBorder="1" applyAlignment="1">
      <alignment horizontal="center" vertical="center" wrapText="1"/>
      <protection locked="1" hidden="1"/>
    </xf>
    <xf numFmtId="1" fontId="153" fillId="6" borderId="89" xfId="0" applyNumberFormat="1" applyFont="1" applyFill="1" applyBorder="1" applyAlignment="1">
      <alignment horizontal="center" vertical="center" wrapText="1"/>
      <protection locked="1" hidden="1"/>
    </xf>
    <xf numFmtId="1" fontId="43" fillId="6" borderId="84" xfId="0" applyNumberFormat="1" applyFont="1" applyFill="1" applyBorder="1" applyAlignment="1">
      <alignment horizontal="center" vertical="center" wrapText="1"/>
      <protection locked="1" hidden="1"/>
    </xf>
    <xf numFmtId="1" fontId="43" fillId="6" borderId="0" xfId="0" applyNumberFormat="1" applyFont="1" applyFill="1" applyBorder="1" applyAlignment="1">
      <alignment horizontal="center" vertical="center" wrapText="1"/>
      <protection locked="1" hidden="1"/>
    </xf>
    <xf numFmtId="1" fontId="43" fillId="6" borderId="52" xfId="0" applyNumberFormat="1" applyFont="1" applyFill="1" applyBorder="1" applyAlignment="1">
      <alignment horizontal="center" vertical="center" wrapText="1"/>
      <protection locked="1" hidden="1"/>
    </xf>
    <xf numFmtId="1" fontId="153" fillId="6" borderId="51" xfId="0" applyNumberFormat="1" applyFont="1" applyFill="1" applyBorder="1" applyAlignment="1">
      <alignment horizontal="center" vertical="center" wrapText="1"/>
      <protection locked="1" hidden="1"/>
    </xf>
    <xf numFmtId="1" fontId="153" fillId="6" borderId="0" xfId="0" applyNumberFormat="1" applyFont="1" applyFill="1" applyBorder="1" applyAlignment="1">
      <alignment horizontal="center" vertical="center" wrapText="1"/>
      <protection locked="1" hidden="1"/>
    </xf>
    <xf numFmtId="1" fontId="153" fillId="6" borderId="85" xfId="0" applyNumberFormat="1" applyFont="1" applyFill="1" applyBorder="1" applyAlignment="1">
      <alignment horizontal="center" vertical="center" wrapText="1"/>
      <protection locked="1" hidden="1"/>
    </xf>
    <xf numFmtId="1" fontId="43" fillId="6" borderId="86" xfId="0" applyNumberFormat="1" applyFont="1" applyFill="1" applyBorder="1" applyAlignment="1">
      <alignment horizontal="center" vertical="center" wrapText="1"/>
      <protection locked="1" hidden="1"/>
    </xf>
    <xf numFmtId="1" fontId="43" fillId="6" borderId="19" xfId="0" applyNumberFormat="1" applyFont="1" applyFill="1" applyBorder="1" applyAlignment="1">
      <alignment horizontal="center" vertical="center" wrapText="1"/>
      <protection locked="1" hidden="1"/>
    </xf>
    <xf numFmtId="1" fontId="43" fillId="6" borderId="53" xfId="0" applyNumberFormat="1" applyFont="1" applyFill="1" applyBorder="1" applyAlignment="1">
      <alignment horizontal="center" vertical="center" wrapText="1"/>
      <protection locked="1" hidden="1"/>
    </xf>
    <xf numFmtId="1" fontId="153" fillId="6" borderId="18" xfId="0" applyNumberFormat="1" applyFont="1" applyFill="1" applyBorder="1" applyAlignment="1">
      <alignment horizontal="center" vertical="center" wrapText="1"/>
      <protection locked="1" hidden="1"/>
    </xf>
    <xf numFmtId="1" fontId="153" fillId="6" borderId="19" xfId="0" applyNumberFormat="1" applyFont="1" applyFill="1" applyBorder="1" applyAlignment="1">
      <alignment horizontal="center" vertical="center" wrapText="1"/>
      <protection locked="1" hidden="1"/>
    </xf>
    <xf numFmtId="1" fontId="153" fillId="6" borderId="87" xfId="0" applyNumberFormat="1" applyFont="1" applyFill="1" applyBorder="1" applyAlignment="1">
      <alignment horizontal="center" vertical="center" wrapText="1"/>
      <protection locked="1" hidden="1"/>
    </xf>
    <xf numFmtId="1" fontId="50" fillId="6" borderId="46" xfId="0" applyNumberFormat="1" applyFont="1" applyFill="1" applyBorder="1" applyAlignment="1">
      <alignment horizontal="center" vertical="center"/>
      <protection locked="1" hidden="1"/>
    </xf>
    <xf numFmtId="1" fontId="50" fillId="6" borderId="10" xfId="0" applyNumberFormat="1" applyFont="1" applyFill="1" applyBorder="1" applyAlignment="1">
      <alignment horizontal="center" vertical="center"/>
      <protection locked="1" hidden="1"/>
    </xf>
    <xf numFmtId="1" fontId="50" fillId="6" borderId="97" xfId="0" applyNumberFormat="1" applyFont="1" applyFill="1" applyBorder="1" applyAlignment="1">
      <alignment horizontal="center" vertical="center"/>
      <protection locked="1" hidden="1"/>
    </xf>
    <xf numFmtId="1" fontId="26" fillId="6" borderId="0" xfId="0" applyNumberFormat="1" applyFont="1" applyFill="1" applyAlignment="1">
      <alignment horizontal="center" vertical="bottom"/>
      <protection locked="1" hidden="1"/>
    </xf>
    <xf numFmtId="1" fontId="50" fillId="6" borderId="96" xfId="0" applyNumberFormat="1" applyFont="1" applyFill="1" applyBorder="1">
      <alignment vertical="center"/>
      <protection locked="1" hidden="1"/>
    </xf>
    <xf numFmtId="1" fontId="26" fillId="6" borderId="15" xfId="0" applyNumberFormat="1" applyFont="1" applyFill="1" applyBorder="1">
      <alignment vertical="center"/>
      <protection locked="1" hidden="1"/>
    </xf>
    <xf numFmtId="1" fontId="26" fillId="6" borderId="98" xfId="0" applyNumberFormat="1" applyFont="1" applyFill="1" applyBorder="1">
      <alignment vertical="center"/>
      <protection locked="1" hidden="1"/>
    </xf>
    <xf numFmtId="1" fontId="1" fillId="6" borderId="8" xfId="0" applyNumberFormat="1" applyFill="1" applyBorder="1">
      <alignment vertical="center"/>
      <protection locked="1" hidden="1"/>
    </xf>
    <xf numFmtId="1" fontId="1" fillId="6" borderId="97" xfId="0" applyNumberFormat="1" applyFill="1" applyBorder="1">
      <alignment vertical="center"/>
      <protection locked="1" hidden="1"/>
    </xf>
    <xf numFmtId="1" fontId="50" fillId="6" borderId="84" xfId="0" applyNumberFormat="1" applyFont="1" applyFill="1" applyBorder="1">
      <alignment vertical="center"/>
      <protection locked="1" hidden="1"/>
    </xf>
    <xf numFmtId="1" fontId="26" fillId="6" borderId="0" xfId="0" applyNumberFormat="1" applyFont="1" applyFill="1" applyBorder="1">
      <alignment vertical="center"/>
      <protection locked="1" hidden="1"/>
    </xf>
    <xf numFmtId="1" fontId="26" fillId="6" borderId="100" xfId="0" applyNumberFormat="1" applyFont="1" applyFill="1" applyBorder="1">
      <alignment vertical="center"/>
      <protection locked="1" hidden="1"/>
    </xf>
    <xf numFmtId="1" fontId="50" fillId="6" borderId="5" xfId="0" applyNumberFormat="1" applyFont="1" applyFill="1" applyBorder="1" applyAlignment="1">
      <alignment horizontal="center" vertical="center"/>
      <protection locked="1" hidden="1"/>
    </xf>
    <xf numFmtId="1" fontId="151" fillId="6" borderId="14" xfId="0" applyNumberFormat="1" applyFont="1" applyFill="1" applyBorder="1" applyAlignment="1">
      <alignment horizontal="center" vertical="center"/>
      <protection locked="1" hidden="1"/>
    </xf>
    <xf numFmtId="1" fontId="151" fillId="6" borderId="15" xfId="0" applyNumberFormat="1" applyFont="1" applyFill="1" applyBorder="1">
      <alignment vertical="center"/>
      <protection locked="1" hidden="1"/>
    </xf>
    <xf numFmtId="1" fontId="151" fillId="6" borderId="89" xfId="0" applyNumberFormat="1" applyFont="1" applyFill="1" applyBorder="1">
      <alignment vertical="center"/>
      <protection locked="1" hidden="1"/>
    </xf>
    <xf numFmtId="1" fontId="50" fillId="6" borderId="86" xfId="0" applyNumberFormat="1" applyFont="1" applyFill="1" applyBorder="1">
      <alignment vertical="center"/>
      <protection locked="1" hidden="1"/>
    </xf>
    <xf numFmtId="1" fontId="26" fillId="6" borderId="19" xfId="0" applyNumberFormat="1" applyFont="1" applyFill="1" applyBorder="1">
      <alignment vertical="center"/>
      <protection locked="1" hidden="1"/>
    </xf>
    <xf numFmtId="1" fontId="26" fillId="6" borderId="102" xfId="0" applyNumberFormat="1" applyFont="1" applyFill="1" applyBorder="1">
      <alignment vertical="center"/>
      <protection locked="1" hidden="1"/>
    </xf>
    <xf numFmtId="172" fontId="127" fillId="6" borderId="10" xfId="0" applyNumberFormat="1" applyFont="1" applyFill="1" applyBorder="1" applyAlignment="1">
      <alignment horizontal="center" vertical="center"/>
      <protection locked="0" hidden="1"/>
    </xf>
    <xf numFmtId="172" fontId="127" fillId="6" borderId="46" xfId="0" applyNumberFormat="1" applyFont="1" applyFill="1" applyBorder="1" applyAlignment="1">
      <alignment horizontal="center" vertical="center"/>
      <protection locked="0" hidden="1"/>
    </xf>
    <xf numFmtId="172" fontId="127" fillId="6" borderId="54" xfId="0" applyNumberFormat="1" applyFont="1" applyFill="1" applyBorder="1" applyAlignment="1">
      <alignment horizontal="left" vertical="center"/>
      <protection locked="0" hidden="1"/>
    </xf>
    <xf numFmtId="1" fontId="151" fillId="6" borderId="18" xfId="0" applyNumberFormat="1" applyFont="1" applyFill="1" applyBorder="1">
      <alignment vertical="center"/>
      <protection locked="1" hidden="1"/>
    </xf>
    <xf numFmtId="1" fontId="151" fillId="6" borderId="19" xfId="0" applyNumberFormat="1" applyFont="1" applyFill="1" applyBorder="1">
      <alignment vertical="center"/>
      <protection locked="1" hidden="1"/>
    </xf>
    <xf numFmtId="1" fontId="151" fillId="6" borderId="87" xfId="0" applyNumberFormat="1" applyFont="1" applyFill="1" applyBorder="1">
      <alignment vertical="center"/>
      <protection locked="1" hidden="1"/>
    </xf>
    <xf numFmtId="1" fontId="26" fillId="6" borderId="19" xfId="6" applyNumberFormat="1" applyFont="1" applyFill="1" applyBorder="1">
      <alignment vertical="center"/>
      <protection locked="1" hidden="1"/>
    </xf>
    <xf numFmtId="1" fontId="26" fillId="6" borderId="19" xfId="0" applyNumberFormat="1" applyFont="1" applyFill="1" applyBorder="1" applyAlignment="1">
      <alignment horizontal="center" vertical="center"/>
      <protection locked="1" hidden="1"/>
    </xf>
    <xf numFmtId="1" fontId="26" fillId="6" borderId="87" xfId="0" applyNumberFormat="1" applyFont="1" applyFill="1" applyBorder="1" applyAlignment="1">
      <alignment horizontal="center" vertical="center"/>
      <protection locked="1" hidden="1"/>
    </xf>
    <xf numFmtId="1" fontId="26" fillId="6" borderId="5" xfId="0" applyNumberFormat="1" applyFont="1" applyFill="1" applyBorder="1" applyAlignment="1">
      <alignment horizontal="center" vertical="center" wrapText="1"/>
      <protection locked="1" hidden="1"/>
    </xf>
    <xf numFmtId="1" fontId="26" fillId="6" borderId="5" xfId="6" applyNumberFormat="1" applyFont="1" applyFill="1" applyBorder="1" applyAlignment="1">
      <alignment horizontal="center" vertical="center" wrapText="1"/>
      <protection locked="1" hidden="1"/>
    </xf>
    <xf numFmtId="1" fontId="26" fillId="6" borderId="10" xfId="0" applyNumberFormat="1" applyFont="1" applyFill="1" applyBorder="1" applyAlignment="1">
      <alignment horizontal="center" vertical="center" wrapText="1"/>
      <protection locked="1" hidden="1"/>
    </xf>
    <xf numFmtId="1" fontId="26" fillId="6" borderId="8" xfId="0" applyNumberFormat="1" applyFont="1" applyFill="1" applyBorder="1" applyAlignment="1">
      <alignment horizontal="center" vertical="center" wrapText="1"/>
      <protection locked="1" hidden="1"/>
    </xf>
    <xf numFmtId="1" fontId="26" fillId="6" borderId="46" xfId="0" applyNumberFormat="1" applyFont="1" applyFill="1" applyBorder="1" applyAlignment="1">
      <alignment horizontal="center" vertical="center" wrapText="1"/>
      <protection locked="1" hidden="1"/>
    </xf>
    <xf numFmtId="1" fontId="26" fillId="6" borderId="104" xfId="0" applyNumberFormat="1" applyFont="1" applyFill="1" applyBorder="1" applyAlignment="1">
      <alignment horizontal="center" vertical="center" wrapText="1"/>
      <protection locked="1" hidden="1"/>
    </xf>
    <xf numFmtId="1" fontId="26" fillId="6" borderId="88" xfId="0" applyNumberFormat="1" applyFont="1" applyFill="1" applyBorder="1" applyAlignment="1">
      <alignment horizontal="center" vertical="center"/>
      <protection locked="1" hidden="1"/>
    </xf>
    <xf numFmtId="1" fontId="26" fillId="6" borderId="46" xfId="0" applyNumberFormat="1" applyFont="1" applyFill="1" applyBorder="1" applyAlignment="1">
      <alignment horizontal="center" vertical="center"/>
      <protection locked="1" hidden="1"/>
    </xf>
    <xf numFmtId="1" fontId="26" fillId="26" borderId="10" xfId="0" applyNumberFormat="1" applyFont="1" applyFill="1" applyBorder="1" applyAlignment="1">
      <alignment horizontal="center" vertical="center"/>
    </xf>
    <xf numFmtId="1" fontId="26" fillId="26" borderId="8" xfId="0" applyNumberFormat="1" applyFont="1" applyFill="1" applyBorder="1" applyAlignment="1">
      <alignment horizontal="center" vertical="center"/>
    </xf>
    <xf numFmtId="1" fontId="26" fillId="26" borderId="46" xfId="0" applyNumberFormat="1" applyFont="1" applyFill="1" applyBorder="1" applyAlignment="1">
      <alignment horizontal="center" vertical="center"/>
    </xf>
    <xf numFmtId="1" fontId="26" fillId="6" borderId="10" xfId="6" applyNumberFormat="1" applyFont="1" applyFill="1" applyBorder="1" applyAlignment="1">
      <alignment horizontal="center" vertical="center"/>
      <protection locked="1" hidden="1"/>
    </xf>
    <xf numFmtId="1" fontId="1" fillId="6" borderId="97" xfId="0" applyNumberFormat="1" applyFill="1" applyBorder="1" applyAlignment="1">
      <alignment horizontal="center" vertical="center"/>
      <protection locked="1" hidden="1"/>
    </xf>
    <xf numFmtId="1" fontId="26" fillId="6" borderId="0" xfId="0" applyNumberFormat="1" applyFont="1" applyFill="1" applyAlignment="1">
      <alignment vertical="bottom"/>
      <protection locked="1" hidden="1"/>
    </xf>
    <xf numFmtId="1" fontId="26" fillId="6" borderId="97" xfId="6" applyNumberFormat="1" applyFont="1" applyFill="1" applyBorder="1" applyAlignment="1">
      <alignment horizontal="center" vertical="center"/>
      <protection locked="1" hidden="1"/>
    </xf>
    <xf numFmtId="1" fontId="50" fillId="6" borderId="10" xfId="6" applyNumberFormat="1" applyFont="1" applyFill="1" applyBorder="1" applyAlignment="1">
      <alignment horizontal="center" vertical="center"/>
      <protection locked="1" hidden="1"/>
    </xf>
    <xf numFmtId="1" fontId="50" fillId="6" borderId="46" xfId="6" applyNumberFormat="1" applyFont="1" applyFill="1" applyBorder="1" applyAlignment="1">
      <alignment horizontal="center" vertical="center"/>
      <protection locked="1" hidden="1"/>
    </xf>
    <xf numFmtId="1" fontId="50" fillId="6" borderId="97" xfId="6" applyNumberFormat="1" applyFont="1" applyFill="1" applyBorder="1" applyAlignment="1">
      <alignment horizontal="center" vertical="center"/>
      <protection locked="1" hidden="1"/>
    </xf>
    <xf numFmtId="1" fontId="127" fillId="6" borderId="96" xfId="6" applyNumberFormat="1" applyFont="1" applyFill="1" applyBorder="1" applyAlignment="1">
      <alignment horizontal="center" vertical="center"/>
      <protection locked="1" hidden="1"/>
    </xf>
    <xf numFmtId="1" fontId="127" fillId="6" borderId="15" xfId="6" applyNumberFormat="1" applyFont="1" applyFill="1" applyBorder="1" applyAlignment="1">
      <alignment horizontal="center" vertical="center"/>
      <protection locked="1" hidden="1"/>
    </xf>
    <xf numFmtId="1" fontId="127" fillId="6" borderId="8" xfId="6" applyNumberFormat="1" applyFont="1" applyFill="1" applyBorder="1" applyAlignment="1">
      <alignment horizontal="center" vertical="center"/>
      <protection locked="1" hidden="1"/>
    </xf>
    <xf numFmtId="1" fontId="127" fillId="6" borderId="97" xfId="6" applyNumberFormat="1" applyFont="1" applyFill="1" applyBorder="1" applyAlignment="1">
      <alignment horizontal="center" vertical="center"/>
      <protection locked="1" hidden="1"/>
    </xf>
    <xf numFmtId="1" fontId="26" fillId="6" borderId="105" xfId="0" applyNumberFormat="1" applyFont="1" applyFill="1" applyBorder="1" applyAlignment="1">
      <alignment horizontal="center" vertical="center"/>
      <protection locked="1" hidden="1"/>
    </xf>
    <xf numFmtId="1" fontId="26" fillId="6" borderId="15" xfId="0" applyNumberFormat="1" applyFont="1" applyFill="1" applyBorder="1" applyAlignment="1">
      <alignment horizontal="center" vertical="center"/>
      <protection locked="1" hidden="1"/>
    </xf>
    <xf numFmtId="1" fontId="26" fillId="6" borderId="47" xfId="0" applyNumberFormat="1" applyFont="1" applyFill="1" applyBorder="1" applyAlignment="1">
      <alignment horizontal="center" vertical="center"/>
      <protection locked="1" hidden="1"/>
    </xf>
    <xf numFmtId="1" fontId="26" fillId="6" borderId="14" xfId="6" applyNumberFormat="1" applyFont="1" applyFill="1" applyBorder="1" applyAlignment="1">
      <alignment horizontal="center" vertical="center"/>
      <protection locked="1" hidden="1"/>
    </xf>
    <xf numFmtId="1" fontId="26" fillId="6" borderId="15" xfId="6" applyNumberFormat="1" applyFont="1" applyFill="1" applyBorder="1" applyAlignment="1">
      <alignment horizontal="center" vertical="center"/>
      <protection locked="1" hidden="1"/>
    </xf>
    <xf numFmtId="1" fontId="26" fillId="6" borderId="8" xfId="6" applyNumberFormat="1" applyFont="1" applyFill="1" applyBorder="1" applyAlignment="1">
      <alignment horizontal="center" vertical="center"/>
      <protection locked="1" hidden="1"/>
    </xf>
    <xf numFmtId="1" fontId="26" fillId="6" borderId="89" xfId="6" applyNumberFormat="1" applyFont="1" applyFill="1" applyBorder="1" applyAlignment="1">
      <alignment horizontal="center" vertical="center"/>
      <protection locked="1" hidden="1"/>
    </xf>
    <xf numFmtId="1" fontId="50" fillId="6" borderId="106" xfId="0" applyNumberFormat="1" applyFont="1" applyFill="1" applyBorder="1">
      <alignment vertical="center"/>
      <protection locked="1" hidden="1"/>
    </xf>
    <xf numFmtId="1" fontId="26" fillId="6" borderId="0" xfId="0" applyNumberFormat="1" applyFont="1" applyFill="1" applyBorder="1" applyAlignment="1">
      <alignment horizontal="center" vertical="center"/>
      <protection locked="1" hidden="1"/>
    </xf>
    <xf numFmtId="1" fontId="154" fillId="6" borderId="14" xfId="6" applyNumberFormat="1" applyFont="1" applyFill="1" applyBorder="1" applyAlignment="1">
      <alignment horizontal="center" vertical="center"/>
      <protection locked="1" hidden="1"/>
    </xf>
    <xf numFmtId="1" fontId="154" fillId="6" borderId="15" xfId="6" applyNumberFormat="1" applyFont="1" applyFill="1" applyBorder="1" applyAlignment="1">
      <alignment horizontal="center" vertical="center"/>
      <protection locked="1" hidden="1"/>
    </xf>
    <xf numFmtId="1" fontId="154" fillId="6" borderId="47" xfId="6" applyNumberFormat="1" applyFont="1" applyFill="1" applyBorder="1" applyAlignment="1">
      <alignment horizontal="center" vertical="center"/>
      <protection locked="1" hidden="1"/>
    </xf>
    <xf numFmtId="1" fontId="155" fillId="6" borderId="14" xfId="0" applyNumberFormat="1" applyFont="1" applyFill="1" applyBorder="1" applyAlignment="1">
      <alignment horizontal="center" vertical="center"/>
      <protection locked="1" hidden="1"/>
    </xf>
    <xf numFmtId="1" fontId="155" fillId="6" borderId="89" xfId="0" applyNumberFormat="1" applyFont="1" applyFill="1" applyBorder="1" applyAlignment="1">
      <alignment horizontal="center" vertical="center"/>
      <protection locked="1" hidden="1"/>
    </xf>
    <xf numFmtId="1" fontId="26" fillId="6" borderId="0" xfId="0" applyNumberFormat="1" applyFont="1" applyFill="1" applyBorder="1" applyAlignment="1">
      <alignment horizontal="center" vertical="center"/>
      <protection locked="1" hidden="1"/>
    </xf>
    <xf numFmtId="1" fontId="154" fillId="6" borderId="51" xfId="6" applyNumberFormat="1" applyFont="1" applyFill="1" applyBorder="1" applyAlignment="1">
      <alignment horizontal="center" vertical="center"/>
      <protection locked="1" hidden="1"/>
    </xf>
    <xf numFmtId="1" fontId="154" fillId="6" borderId="52" xfId="6" applyNumberFormat="1" applyFont="1" applyFill="1" applyBorder="1" applyAlignment="1">
      <alignment horizontal="center" vertical="center"/>
      <protection locked="1" hidden="1"/>
    </xf>
    <xf numFmtId="1" fontId="155" fillId="6" borderId="51" xfId="0" applyNumberFormat="1" applyFont="1" applyFill="1" applyBorder="1" applyAlignment="1">
      <alignment horizontal="center" vertical="center"/>
      <protection locked="1" hidden="1"/>
    </xf>
    <xf numFmtId="1" fontId="155" fillId="6" borderId="85" xfId="0" applyNumberFormat="1" applyFont="1" applyFill="1" applyBorder="1" applyAlignment="1">
      <alignment horizontal="center" vertical="center"/>
      <protection locked="1" hidden="1"/>
    </xf>
    <xf numFmtId="1" fontId="50" fillId="6" borderId="107" xfId="0" applyNumberFormat="1" applyFont="1" applyFill="1" applyBorder="1">
      <alignment vertical="center"/>
      <protection locked="1" hidden="1"/>
    </xf>
    <xf numFmtId="1" fontId="26" fillId="6" borderId="19" xfId="0" applyNumberFormat="1" applyFont="1" applyFill="1" applyBorder="1" applyAlignment="1">
      <alignment horizontal="center" vertical="center"/>
      <protection locked="1" hidden="1"/>
    </xf>
    <xf numFmtId="1" fontId="154" fillId="6" borderId="18" xfId="6" applyNumberFormat="1" applyFont="1" applyFill="1" applyBorder="1">
      <alignment vertical="center"/>
      <protection locked="1" hidden="1"/>
    </xf>
    <xf numFmtId="1" fontId="154" fillId="6" borderId="19" xfId="6" applyNumberFormat="1" applyFont="1" applyFill="1" applyBorder="1">
      <alignment vertical="center"/>
      <protection locked="1" hidden="1"/>
    </xf>
    <xf numFmtId="1" fontId="26" fillId="6" borderId="18" xfId="0" applyNumberFormat="1" applyFont="1" applyFill="1" applyBorder="1" applyAlignment="1">
      <alignment horizontal="center" vertical="center"/>
      <protection locked="1" hidden="1"/>
    </xf>
    <xf numFmtId="1" fontId="26" fillId="6" borderId="53" xfId="0" applyNumberFormat="1" applyFont="1" applyFill="1" applyBorder="1" applyAlignment="1">
      <alignment horizontal="center" vertical="center"/>
      <protection locked="1" hidden="1"/>
    </xf>
    <xf numFmtId="1" fontId="26" fillId="6" borderId="51" xfId="0" applyNumberFormat="1" applyFont="1" applyFill="1" applyBorder="1" applyAlignment="1">
      <alignment horizontal="center" vertical="center"/>
      <protection locked="1" hidden="1"/>
    </xf>
    <xf numFmtId="1" fontId="26" fillId="6" borderId="85" xfId="0" applyNumberFormat="1" applyFont="1" applyFill="1" applyBorder="1" applyAlignment="1">
      <alignment horizontal="center" vertical="center"/>
      <protection locked="1" hidden="1"/>
    </xf>
    <xf numFmtId="1" fontId="50" fillId="6" borderId="94" xfId="0" applyNumberFormat="1" applyFont="1" applyFill="1" applyBorder="1" applyAlignment="1">
      <alignment horizontal="center" vertical="center"/>
      <protection locked="1" hidden="1"/>
    </xf>
    <xf numFmtId="1" fontId="50" fillId="6" borderId="107" xfId="0" applyNumberFormat="1" applyFont="1" applyFill="1" applyBorder="1" applyAlignment="1">
      <alignment horizontal="center" vertical="center"/>
      <protection locked="1" hidden="1"/>
    </xf>
    <xf numFmtId="1" fontId="26" fillId="6" borderId="10" xfId="0" applyNumberFormat="1" applyFont="1" applyFill="1" applyBorder="1" applyAlignment="1">
      <alignment horizontal="center" vertical="center"/>
      <protection locked="1" hidden="1"/>
    </xf>
    <xf numFmtId="1" fontId="26" fillId="6" borderId="8" xfId="0" applyNumberFormat="1" applyFont="1" applyFill="1" applyBorder="1" applyAlignment="1">
      <alignment horizontal="center" vertical="center"/>
      <protection locked="1" hidden="1"/>
    </xf>
    <xf numFmtId="1" fontId="26" fillId="6" borderId="46" xfId="6" applyNumberFormat="1" applyFont="1" applyFill="1" applyBorder="1" applyAlignment="1">
      <alignment horizontal="center" vertical="center"/>
      <protection locked="1" hidden="1"/>
    </xf>
    <xf numFmtId="1" fontId="26" fillId="6" borderId="5" xfId="0" applyNumberFormat="1" applyFont="1" applyFill="1" applyBorder="1" applyAlignment="1">
      <alignment horizontal="center" vertical="center"/>
      <protection locked="1" hidden="1"/>
    </xf>
    <xf numFmtId="1" fontId="26" fillId="6" borderId="97" xfId="0" applyNumberFormat="1" applyFont="1" applyFill="1" applyBorder="1" applyAlignment="1">
      <alignment horizontal="center" vertical="center"/>
      <protection locked="1" hidden="1"/>
    </xf>
    <xf numFmtId="1" fontId="26" fillId="6" borderId="8" xfId="0" applyNumberFormat="1" applyFont="1" applyFill="1" applyBorder="1" applyAlignment="1">
      <alignment horizontal="center" vertical="center"/>
      <protection locked="1" hidden="1"/>
    </xf>
    <xf numFmtId="1" fontId="26" fillId="6" borderId="8" xfId="6" applyNumberFormat="1" applyFont="1" applyFill="1" applyBorder="1" applyAlignment="1">
      <alignment horizontal="center" vertical="center"/>
      <protection locked="1" hidden="1"/>
    </xf>
    <xf numFmtId="1" fontId="154" fillId="6" borderId="0" xfId="6" applyNumberFormat="1" applyFont="1" applyFill="1" applyBorder="1" applyAlignment="1">
      <alignment horizontal="center" vertical="center"/>
      <protection locked="1" hidden="1"/>
    </xf>
    <xf numFmtId="1" fontId="26" fillId="6" borderId="51" xfId="0" applyNumberFormat="1" applyFont="1" applyFill="1" applyBorder="1" applyAlignment="1">
      <alignment horizontal="center" vertical="center"/>
      <protection locked="1" hidden="1"/>
    </xf>
    <xf numFmtId="1" fontId="26" fillId="6" borderId="52" xfId="0" applyNumberFormat="1" applyFont="1" applyFill="1" applyBorder="1" applyAlignment="1">
      <alignment horizontal="center" vertical="center"/>
      <protection locked="1" hidden="1"/>
    </xf>
    <xf numFmtId="1" fontId="26" fillId="6" borderId="10" xfId="6" applyNumberFormat="1" applyFont="1" applyFill="1" applyBorder="1" applyAlignment="1" quotePrefix="1">
      <alignment horizontal="center" vertical="center"/>
      <protection locked="1" hidden="1"/>
    </xf>
    <xf numFmtId="1" fontId="26" fillId="6" borderId="46" xfId="6" applyNumberFormat="1" applyFont="1" applyFill="1" applyBorder="1" applyAlignment="1" quotePrefix="1">
      <alignment horizontal="center" vertical="center"/>
      <protection locked="1" hidden="1"/>
    </xf>
    <xf numFmtId="14" fontId="26" fillId="6" borderId="10" xfId="0" applyNumberFormat="1" applyFont="1" applyFill="1" applyBorder="1" applyAlignment="1">
      <alignment horizontal="center" vertical="center"/>
      <protection locked="1" hidden="1"/>
    </xf>
    <xf numFmtId="14" fontId="26" fillId="6" borderId="46" xfId="0" applyNumberFormat="1" applyFont="1" applyFill="1" applyBorder="1" applyAlignment="1">
      <alignment horizontal="center" vertical="center"/>
      <protection locked="1" hidden="1"/>
    </xf>
    <xf numFmtId="1" fontId="26" fillId="6" borderId="5" xfId="0" applyNumberFormat="1" applyFont="1" applyFill="1" applyBorder="1" applyAlignment="1" quotePrefix="1">
      <alignment horizontal="center" vertical="center"/>
      <protection locked="1" hidden="1"/>
    </xf>
    <xf numFmtId="1" fontId="50" fillId="6" borderId="94" xfId="0" applyNumberFormat="1" applyFont="1" applyFill="1" applyBorder="1">
      <alignment vertical="center"/>
      <protection locked="1" hidden="1"/>
    </xf>
    <xf numFmtId="1" fontId="156" fillId="6" borderId="88" xfId="6" applyNumberFormat="1" applyFont="1" applyFill="1" applyBorder="1" applyAlignment="1">
      <alignment horizontal="center" vertical="center"/>
      <protection locked="1" hidden="1"/>
    </xf>
    <xf numFmtId="1" fontId="156" fillId="6" borderId="8" xfId="6" applyNumberFormat="1" applyFont="1" applyFill="1" applyBorder="1" applyAlignment="1">
      <alignment horizontal="center" vertical="center"/>
      <protection locked="1" hidden="1"/>
    </xf>
    <xf numFmtId="1" fontId="156" fillId="6" borderId="97" xfId="6" applyNumberFormat="1" applyFont="1" applyFill="1" applyBorder="1" applyAlignment="1">
      <alignment horizontal="center" vertical="center"/>
      <protection locked="1" hidden="1"/>
    </xf>
    <xf numFmtId="1" fontId="26" fillId="6" borderId="96" xfId="6" applyNumberFormat="1" applyFont="1" applyFill="1" applyBorder="1" applyAlignment="1">
      <alignment horizontal="right" vertical="center"/>
      <protection locked="1" hidden="1"/>
    </xf>
    <xf numFmtId="1" fontId="50" fillId="6" borderId="8" xfId="6" applyNumberFormat="1" applyFont="1" applyFill="1" applyBorder="1" applyAlignment="1">
      <alignment horizontal="center" vertical="center"/>
      <protection locked="1" hidden="1"/>
    </xf>
    <xf numFmtId="1" fontId="1" fillId="6" borderId="15" xfId="0" applyNumberFormat="1" applyFill="1" applyBorder="1">
      <alignment vertical="center"/>
      <protection locked="1" hidden="1"/>
    </xf>
    <xf numFmtId="1" fontId="1" fillId="6" borderId="85" xfId="0" applyNumberFormat="1" applyFill="1" applyBorder="1">
      <alignment vertical="center"/>
      <protection locked="1" hidden="1"/>
    </xf>
    <xf numFmtId="1" fontId="1" fillId="6" borderId="0" xfId="0" applyNumberFormat="1" applyFill="1" applyBorder="1">
      <alignment vertical="center"/>
      <protection locked="1" hidden="1"/>
    </xf>
    <xf numFmtId="1" fontId="50" fillId="6" borderId="19" xfId="0" applyNumberFormat="1" applyFont="1" applyFill="1" applyBorder="1" applyAlignment="1">
      <alignment horizontal="center" vertical="center"/>
      <protection locked="1" hidden="1"/>
    </xf>
    <xf numFmtId="1" fontId="1" fillId="6" borderId="0" xfId="0" applyNumberFormat="1" applyFill="1" applyBorder="1" applyAlignment="1">
      <alignment horizontal="right" vertical="center"/>
      <protection locked="1" hidden="1"/>
    </xf>
    <xf numFmtId="1" fontId="155" fillId="6" borderId="0" xfId="6" applyNumberFormat="1" applyFont="1" applyFill="1" applyBorder="1">
      <alignment vertical="center"/>
      <protection locked="1" hidden="1"/>
    </xf>
    <xf numFmtId="1" fontId="26" fillId="6" borderId="0" xfId="6" applyNumberFormat="1" applyFont="1" applyFill="1" applyBorder="1" applyAlignment="1">
      <alignment horizontal="left" vertical="center"/>
      <protection locked="1" hidden="1"/>
    </xf>
    <xf numFmtId="1" fontId="26" fillId="6" borderId="85" xfId="6" applyNumberFormat="1" applyFont="1" applyFill="1" applyBorder="1" applyAlignment="1">
      <alignment horizontal="left" vertical="center"/>
      <protection locked="1" hidden="1"/>
    </xf>
    <xf numFmtId="1" fontId="26" fillId="6" borderId="84" xfId="6" applyNumberFormat="1" applyFont="1" applyFill="1" applyBorder="1" applyAlignment="1">
      <alignment horizontal="left" vertical="center" wrapText="1"/>
      <protection locked="1" hidden="1"/>
    </xf>
    <xf numFmtId="1" fontId="26" fillId="6" borderId="0" xfId="6" applyNumberFormat="1" applyFont="1" applyFill="1" applyBorder="1" applyAlignment="1">
      <alignment horizontal="left" vertical="center" wrapText="1"/>
      <protection locked="1" hidden="1"/>
    </xf>
    <xf numFmtId="1" fontId="26" fillId="6" borderId="85" xfId="6" applyNumberFormat="1" applyFont="1" applyFill="1" applyBorder="1" applyAlignment="1">
      <alignment horizontal="left" vertical="center" wrapText="1"/>
      <protection locked="1" hidden="1"/>
    </xf>
    <xf numFmtId="1" fontId="26" fillId="6" borderId="86" xfId="6" applyNumberFormat="1" applyFont="1" applyFill="1" applyBorder="1" applyAlignment="1">
      <alignment horizontal="left" vertical="center" wrapText="1"/>
      <protection locked="1" hidden="1"/>
    </xf>
    <xf numFmtId="1" fontId="26" fillId="6" borderId="19" xfId="6" applyNumberFormat="1" applyFont="1" applyFill="1" applyBorder="1" applyAlignment="1">
      <alignment horizontal="left" vertical="center" wrapText="1"/>
      <protection locked="1" hidden="1"/>
    </xf>
    <xf numFmtId="1" fontId="26" fillId="6" borderId="87" xfId="6" applyNumberFormat="1" applyFont="1" applyFill="1" applyBorder="1" applyAlignment="1">
      <alignment horizontal="left" vertical="center" wrapText="1"/>
      <protection locked="1" hidden="1"/>
    </xf>
    <xf numFmtId="1" fontId="26" fillId="6" borderId="96" xfId="6" applyNumberFormat="1" applyFont="1" applyFill="1" applyBorder="1" applyAlignment="1">
      <alignment horizontal="center" vertical="center" wrapText="1"/>
      <protection locked="1" hidden="1"/>
    </xf>
    <xf numFmtId="1" fontId="26" fillId="6" borderId="15" xfId="6" applyNumberFormat="1" applyFont="1" applyFill="1" applyBorder="1" applyAlignment="1">
      <alignment horizontal="center" vertical="center" wrapText="1"/>
      <protection locked="1" hidden="1"/>
    </xf>
    <xf numFmtId="1" fontId="26" fillId="6" borderId="15" xfId="6" applyNumberFormat="1" applyFont="1" applyFill="1" applyBorder="1" applyAlignment="1">
      <alignment horizontal="left" vertical="center" wrapText="1"/>
      <protection locked="1" hidden="1"/>
    </xf>
    <xf numFmtId="1" fontId="26" fillId="6" borderId="89" xfId="6" applyNumberFormat="1" applyFont="1" applyFill="1" applyBorder="1" applyAlignment="1">
      <alignment horizontal="left" vertical="center" wrapText="1"/>
      <protection locked="1" hidden="1"/>
    </xf>
    <xf numFmtId="1" fontId="155" fillId="6" borderId="84" xfId="6" applyNumberFormat="1" applyFont="1" applyFill="1" applyBorder="1" applyAlignment="1">
      <alignment horizontal="left" vertical="center" wrapText="1"/>
      <protection locked="1" hidden="1"/>
    </xf>
    <xf numFmtId="1" fontId="155" fillId="6" borderId="0" xfId="6" applyNumberFormat="1" applyFont="1" applyFill="1" applyBorder="1" applyAlignment="1">
      <alignment horizontal="left" vertical="center" wrapText="1"/>
      <protection locked="1" hidden="1"/>
    </xf>
    <xf numFmtId="1" fontId="155" fillId="6" borderId="85" xfId="6" applyNumberFormat="1" applyFont="1" applyFill="1" applyBorder="1" applyAlignment="1">
      <alignment horizontal="left" vertical="center" wrapText="1"/>
      <protection locked="1" hidden="1"/>
    </xf>
    <xf numFmtId="1" fontId="26" fillId="6" borderId="0" xfId="6" applyNumberFormat="1" applyFont="1" applyFill="1" applyBorder="1" applyAlignment="1">
      <alignment horizontal="left" vertical="center" wrapText="1"/>
      <protection locked="1" hidden="1"/>
    </xf>
    <xf numFmtId="1" fontId="26" fillId="6" borderId="85" xfId="6" applyNumberFormat="1" applyFont="1" applyFill="1" applyBorder="1" applyAlignment="1">
      <alignment horizontal="left" vertical="center" wrapText="1"/>
      <protection locked="1" hidden="1"/>
    </xf>
    <xf numFmtId="1" fontId="26" fillId="6" borderId="85" xfId="0" applyNumberFormat="1" applyFont="1" applyFill="1" applyBorder="1">
      <alignment vertical="center"/>
      <protection locked="1" hidden="1"/>
    </xf>
    <xf numFmtId="1" fontId="26" fillId="6" borderId="84" xfId="0" applyNumberFormat="1" applyFont="1" applyFill="1" applyBorder="1">
      <alignment vertical="center"/>
      <protection locked="1" hidden="1"/>
    </xf>
    <xf numFmtId="1" fontId="50" fillId="6" borderId="108" xfId="6" applyNumberFormat="1" applyFont="1" applyFill="1" applyBorder="1" applyAlignment="1">
      <alignment horizontal="left" vertical="center" wrapText="1"/>
      <protection locked="1" hidden="1"/>
    </xf>
    <xf numFmtId="1" fontId="26" fillId="6" borderId="55" xfId="6" applyNumberFormat="1" applyFont="1" applyFill="1" applyBorder="1" applyAlignment="1">
      <alignment horizontal="left" vertical="center" wrapText="1"/>
      <protection locked="1" hidden="1"/>
    </xf>
    <xf numFmtId="1" fontId="26" fillId="6" borderId="109" xfId="6" applyNumberFormat="1" applyFont="1" applyFill="1" applyBorder="1" applyAlignment="1">
      <alignment horizontal="left" vertical="center" wrapText="1"/>
      <protection locked="1" hidden="1"/>
    </xf>
    <xf numFmtId="1" fontId="50" fillId="6" borderId="80" xfId="0" applyNumberFormat="1" applyFont="1" applyFill="1" applyBorder="1" applyAlignment="1">
      <alignment horizontal="center" vertical="center"/>
      <protection locked="1" hidden="1"/>
    </xf>
    <xf numFmtId="1" fontId="50" fillId="6" borderId="81" xfId="0" applyNumberFormat="1" applyFont="1" applyFill="1" applyBorder="1" applyAlignment="1">
      <alignment horizontal="center" vertical="center"/>
      <protection locked="1" hidden="1"/>
    </xf>
    <xf numFmtId="1" fontId="50" fillId="6" borderId="82" xfId="0" applyNumberFormat="1" applyFont="1" applyFill="1" applyBorder="1" applyAlignment="1">
      <alignment horizontal="center" vertical="center"/>
      <protection locked="1" hidden="1"/>
    </xf>
    <xf numFmtId="1" fontId="157" fillId="6" borderId="86" xfId="0" applyNumberFormat="1" applyFont="1" applyFill="1" applyBorder="1" applyAlignment="1">
      <alignment horizontal="center" vertical="center"/>
      <protection locked="1" hidden="1"/>
    </xf>
    <xf numFmtId="1" fontId="157" fillId="6" borderId="19" xfId="0" applyNumberFormat="1" applyFont="1" applyFill="1" applyBorder="1" applyAlignment="1">
      <alignment horizontal="center" vertical="center"/>
      <protection locked="1" hidden="1"/>
    </xf>
    <xf numFmtId="1" fontId="157" fillId="6" borderId="87" xfId="0" applyNumberFormat="1" applyFont="1" applyFill="1" applyBorder="1" applyAlignment="1">
      <alignment horizontal="center" vertical="center"/>
      <protection locked="1" hidden="1"/>
    </xf>
    <xf numFmtId="1" fontId="50" fillId="6" borderId="84" xfId="6" applyNumberFormat="1" applyFont="1" applyFill="1" applyBorder="1">
      <alignment vertical="center"/>
      <protection locked="1" hidden="1"/>
    </xf>
    <xf numFmtId="1" fontId="158" fillId="6" borderId="0" xfId="6" applyNumberFormat="1" applyFont="1" applyFill="1" applyBorder="1">
      <alignment vertical="center"/>
      <protection locked="1" hidden="1"/>
    </xf>
    <xf numFmtId="1" fontId="26" fillId="6" borderId="0" xfId="6" applyNumberFormat="1" applyFont="1" applyFill="1" applyBorder="1">
      <alignment vertical="center"/>
      <protection locked="1" hidden="1"/>
    </xf>
    <xf numFmtId="1" fontId="26" fillId="6" borderId="51" xfId="6" applyNumberFormat="1" applyFont="1" applyFill="1" applyBorder="1">
      <alignment vertical="center"/>
      <protection locked="1" hidden="1"/>
    </xf>
    <xf numFmtId="1" fontId="26" fillId="6" borderId="110" xfId="6" applyNumberFormat="1" applyFont="1" applyFill="1" applyBorder="1">
      <alignment vertical="center"/>
      <protection locked="1" hidden="1"/>
    </xf>
    <xf numFmtId="1" fontId="26" fillId="6" borderId="52" xfId="6" applyNumberFormat="1" applyFont="1" applyFill="1" applyBorder="1">
      <alignment vertical="center"/>
      <protection locked="1" hidden="1"/>
    </xf>
    <xf numFmtId="1" fontId="26" fillId="6" borderId="111" xfId="6" applyNumberFormat="1" applyFont="1" applyFill="1" applyBorder="1">
      <alignment vertical="center"/>
      <protection locked="1" hidden="1"/>
    </xf>
    <xf numFmtId="1" fontId="26" fillId="6" borderId="84" xfId="6" applyNumberFormat="1" applyFont="1" applyFill="1" applyBorder="1">
      <alignment vertical="center"/>
      <protection locked="1" hidden="1"/>
    </xf>
    <xf numFmtId="165" fontId="26" fillId="6" borderId="51" xfId="6" applyNumberFormat="1" applyFont="1" applyFill="1" applyBorder="1">
      <alignment vertical="center"/>
      <protection locked="1" hidden="1"/>
    </xf>
    <xf numFmtId="1" fontId="127" fillId="6" borderId="0" xfId="6" applyNumberFormat="1" applyFont="1" applyFill="1" applyBorder="1">
      <alignment vertical="center"/>
      <protection locked="1" hidden="1"/>
    </xf>
    <xf numFmtId="1" fontId="50" fillId="6" borderId="0" xfId="6" applyNumberFormat="1" applyFont="1" applyFill="1" applyBorder="1">
      <alignment vertical="center"/>
      <protection locked="1" hidden="1"/>
    </xf>
    <xf numFmtId="1" fontId="50" fillId="6" borderId="51" xfId="6" applyNumberFormat="1" applyFont="1" applyFill="1" applyBorder="1">
      <alignment vertical="center"/>
      <protection locked="1" hidden="1"/>
    </xf>
    <xf numFmtId="165" fontId="50" fillId="6" borderId="51" xfId="6" applyNumberFormat="1" applyFont="1" applyFill="1" applyBorder="1" applyAlignment="1">
      <alignment horizontal="center" vertical="center"/>
      <protection locked="1" hidden="1"/>
    </xf>
    <xf numFmtId="165" fontId="50" fillId="6" borderId="52" xfId="6" applyNumberFormat="1" applyFont="1" applyFill="1" applyBorder="1" applyAlignment="1">
      <alignment horizontal="center" vertical="center"/>
      <protection locked="1" hidden="1"/>
    </xf>
    <xf numFmtId="1" fontId="26" fillId="6" borderId="84" xfId="6" applyNumberFormat="1" applyFont="1" applyFill="1" applyBorder="1">
      <alignment vertical="center"/>
      <protection locked="1" hidden="1"/>
    </xf>
    <xf numFmtId="1" fontId="26" fillId="6" borderId="0" xfId="6" applyNumberFormat="1" applyFont="1" applyFill="1" applyBorder="1">
      <alignment vertical="center"/>
      <protection locked="1" hidden="1"/>
    </xf>
    <xf numFmtId="1" fontId="26" fillId="6" borderId="18" xfId="6" applyNumberFormat="1" applyFont="1" applyFill="1" applyBorder="1">
      <alignment vertical="center"/>
      <protection locked="1" hidden="1"/>
    </xf>
    <xf numFmtId="1" fontId="50" fillId="15" borderId="84" xfId="6" applyNumberFormat="1" applyFont="1" applyFill="1" applyBorder="1">
      <alignment vertical="center"/>
      <protection locked="1" hidden="1"/>
    </xf>
    <xf numFmtId="1" fontId="26" fillId="15" borderId="0" xfId="6" applyNumberFormat="1" applyFont="1" applyFill="1" applyBorder="1">
      <alignment vertical="center"/>
      <protection locked="1" hidden="1"/>
    </xf>
    <xf numFmtId="1" fontId="26" fillId="15" borderId="51" xfId="6" applyNumberFormat="1" applyFont="1" applyFill="1" applyBorder="1">
      <alignment vertical="center"/>
      <protection locked="1" hidden="1"/>
    </xf>
    <xf numFmtId="165" fontId="50" fillId="15" borderId="51" xfId="6" applyNumberFormat="1" applyFont="1" applyFill="1" applyBorder="1" applyAlignment="1">
      <alignment horizontal="center" vertical="center"/>
      <protection locked="1" hidden="1"/>
    </xf>
    <xf numFmtId="165" fontId="50" fillId="15" borderId="52" xfId="6" applyNumberFormat="1" applyFont="1" applyFill="1" applyBorder="1" applyAlignment="1">
      <alignment horizontal="center" vertical="center"/>
      <protection locked="1" hidden="1"/>
    </xf>
    <xf numFmtId="2" fontId="26" fillId="6" borderId="0" xfId="0" applyNumberFormat="1" applyFont="1" applyFill="1" applyAlignment="1">
      <alignment vertical="bottom"/>
      <protection locked="1" hidden="1"/>
    </xf>
    <xf numFmtId="165" fontId="26" fillId="6" borderId="0" xfId="6" applyNumberFormat="1" applyFont="1" applyFill="1" applyBorder="1" quotePrefix="1">
      <alignment vertical="center"/>
      <protection locked="1" hidden="1"/>
    </xf>
    <xf numFmtId="1" fontId="26" fillId="6" borderId="52" xfId="6" applyNumberFormat="1" applyFont="1" applyFill="1" applyBorder="1" quotePrefix="1">
      <alignment vertical="center"/>
      <protection locked="1" hidden="1"/>
    </xf>
    <xf numFmtId="165" fontId="26" fillId="6" borderId="18" xfId="6" applyNumberFormat="1" applyFont="1" applyFill="1" applyBorder="1">
      <alignment vertical="center"/>
      <protection locked="1" hidden="1"/>
    </xf>
    <xf numFmtId="1" fontId="50" fillId="6" borderId="52" xfId="6" applyNumberFormat="1" applyFont="1" applyFill="1" applyBorder="1">
      <alignment vertical="center"/>
      <protection locked="1" hidden="1"/>
    </xf>
    <xf numFmtId="165" fontId="50" fillId="6" borderId="111" xfId="6" applyNumberFormat="1" applyFont="1" applyFill="1" applyBorder="1" applyAlignment="1">
      <alignment horizontal="center" vertical="center"/>
      <protection locked="1" hidden="1"/>
    </xf>
    <xf numFmtId="1" fontId="26" fillId="6" borderId="111" xfId="6" applyNumberFormat="1" applyFont="1" applyFill="1" applyBorder="1" applyAlignment="1">
      <alignment horizontal="center" vertical="center"/>
      <protection locked="1" hidden="1"/>
    </xf>
    <xf numFmtId="165" fontId="26" fillId="6" borderId="111" xfId="6" applyNumberFormat="1" applyFont="1" applyFill="1" applyBorder="1" applyAlignment="1">
      <alignment horizontal="center" vertical="center"/>
      <protection locked="1" hidden="1"/>
    </xf>
    <xf numFmtId="1" fontId="26" fillId="15" borderId="18" xfId="6" applyNumberFormat="1" applyFont="1" applyFill="1" applyBorder="1">
      <alignment vertical="center"/>
      <protection locked="1" hidden="1"/>
    </xf>
    <xf numFmtId="1" fontId="26" fillId="15" borderId="52" xfId="6" applyNumberFormat="1" applyFont="1" applyFill="1" applyBorder="1">
      <alignment vertical="center"/>
      <protection locked="1" hidden="1"/>
    </xf>
    <xf numFmtId="165" fontId="50" fillId="15" borderId="95" xfId="6" applyNumberFormat="1" applyFont="1" applyFill="1" applyBorder="1" applyAlignment="1">
      <alignment horizontal="center" vertical="center"/>
      <protection locked="1" hidden="1"/>
    </xf>
    <xf numFmtId="1" fontId="50" fillId="6" borderId="96" xfId="6" applyNumberFormat="1" applyFont="1" applyFill="1" applyBorder="1">
      <alignment vertical="center"/>
      <protection locked="1" hidden="1"/>
    </xf>
    <xf numFmtId="1" fontId="26" fillId="6" borderId="15" xfId="6" applyNumberFormat="1" applyFont="1" applyFill="1" applyBorder="1">
      <alignment vertical="center"/>
      <protection locked="1" hidden="1"/>
    </xf>
    <xf numFmtId="1" fontId="26" fillId="6" borderId="14" xfId="6" applyNumberFormat="1" applyFont="1" applyFill="1" applyBorder="1">
      <alignment vertical="center"/>
      <protection locked="1" hidden="1"/>
    </xf>
    <xf numFmtId="1" fontId="26" fillId="6" borderId="47" xfId="6" applyNumberFormat="1" applyFont="1" applyFill="1" applyBorder="1">
      <alignment vertical="center"/>
      <protection locked="1" hidden="1"/>
    </xf>
    <xf numFmtId="1" fontId="26" fillId="6" borderId="85" xfId="6" applyNumberFormat="1" applyFont="1" applyFill="1" applyBorder="1">
      <alignment vertical="center"/>
      <protection locked="1" hidden="1"/>
    </xf>
    <xf numFmtId="1" fontId="50" fillId="6" borderId="84" xfId="6" applyNumberFormat="1" applyFont="1" applyFill="1" applyBorder="1" applyAlignment="1">
      <alignment horizontal="center" vertical="center"/>
      <protection locked="1" hidden="1"/>
    </xf>
    <xf numFmtId="1" fontId="50" fillId="6" borderId="0" xfId="6" applyNumberFormat="1" applyFont="1" applyFill="1" applyBorder="1" applyAlignment="1">
      <alignment horizontal="center" vertical="center"/>
      <protection locked="1" hidden="1"/>
    </xf>
    <xf numFmtId="1" fontId="50" fillId="6" borderId="84" xfId="6" applyNumberFormat="1" applyFont="1" applyFill="1" applyBorder="1" applyAlignment="1">
      <alignment horizontal="right" vertical="center"/>
      <protection locked="1" hidden="1"/>
    </xf>
    <xf numFmtId="1" fontId="50" fillId="6" borderId="51" xfId="6" applyNumberFormat="1" applyFont="1" applyFill="1" applyBorder="1" applyAlignment="1">
      <alignment horizontal="center" vertical="center"/>
      <protection locked="1" hidden="1"/>
    </xf>
    <xf numFmtId="1" fontId="50" fillId="6" borderId="52" xfId="6" applyNumberFormat="1" applyFont="1" applyFill="1" applyBorder="1" applyAlignment="1">
      <alignment horizontal="center" vertical="center"/>
      <protection locked="1" hidden="1"/>
    </xf>
    <xf numFmtId="1" fontId="50" fillId="6" borderId="85" xfId="6" applyNumberFormat="1" applyFont="1" applyFill="1" applyBorder="1">
      <alignment vertical="center"/>
      <protection locked="1" hidden="1"/>
    </xf>
    <xf numFmtId="1" fontId="26" fillId="6" borderId="84" xfId="6" applyNumberFormat="1" applyFont="1" applyFill="1" applyBorder="1" applyAlignment="1">
      <alignment horizontal="right" vertical="center"/>
      <protection locked="1" hidden="1"/>
    </xf>
    <xf numFmtId="1" fontId="26" fillId="6" borderId="51" xfId="6" applyNumberFormat="1" applyFont="1" applyFill="1" applyBorder="1" applyAlignment="1">
      <alignment horizontal="center" vertical="center"/>
      <protection locked="1" hidden="1"/>
    </xf>
    <xf numFmtId="1" fontId="26" fillId="6" borderId="52" xfId="6" applyNumberFormat="1" applyFont="1" applyFill="1" applyBorder="1" applyAlignment="1">
      <alignment horizontal="center" vertical="center"/>
      <protection locked="1" hidden="1"/>
    </xf>
    <xf numFmtId="1" fontId="26" fillId="6" borderId="85" xfId="6" applyNumberFormat="1" applyFont="1" applyFill="1" applyBorder="1" applyAlignment="1">
      <alignment horizontal="center" vertical="center"/>
      <protection locked="1" hidden="1"/>
    </xf>
    <xf numFmtId="1" fontId="159" fillId="6" borderId="84" xfId="6" applyNumberFormat="1" applyFont="1" applyFill="1" applyBorder="1" applyAlignment="1">
      <alignment horizontal="right" vertical="center"/>
      <protection locked="1" hidden="1"/>
    </xf>
    <xf numFmtId="1" fontId="108" fillId="6" borderId="112" xfId="6" applyNumberFormat="1" applyFont="1" applyFill="1" applyBorder="1" applyAlignment="1" quotePrefix="1">
      <alignment horizontal="center" vertical="center"/>
      <protection locked="1" hidden="1"/>
    </xf>
    <xf numFmtId="1" fontId="108" fillId="6" borderId="112" xfId="6" applyNumberFormat="1" applyFont="1" applyFill="1" applyBorder="1" applyAlignment="1">
      <alignment horizontal="center" vertical="center"/>
      <protection locked="1" hidden="1"/>
    </xf>
    <xf numFmtId="165" fontId="26" fillId="6" borderId="51" xfId="6" applyNumberFormat="1" applyFont="1" applyFill="1" applyBorder="1" applyAlignment="1">
      <alignment horizontal="center" vertical="center"/>
      <protection locked="1" hidden="1"/>
    </xf>
    <xf numFmtId="165" fontId="26" fillId="6" borderId="52" xfId="6" applyNumberFormat="1" applyFont="1" applyFill="1" applyBorder="1" applyAlignment="1">
      <alignment horizontal="center" vertical="center"/>
      <protection locked="1" hidden="1"/>
    </xf>
    <xf numFmtId="165" fontId="26" fillId="6" borderId="85" xfId="6" applyNumberFormat="1" applyFont="1" applyFill="1" applyBorder="1" applyAlignment="1">
      <alignment horizontal="center" vertical="center"/>
      <protection locked="1" hidden="1"/>
    </xf>
    <xf numFmtId="1" fontId="26" fillId="6" borderId="112" xfId="6" applyNumberFormat="1" applyFont="1" applyFill="1" applyBorder="1" applyAlignment="1" quotePrefix="1">
      <alignment horizontal="center" vertical="center"/>
      <protection locked="1" hidden="1"/>
    </xf>
    <xf numFmtId="1" fontId="26" fillId="6" borderId="112" xfId="6" applyNumberFormat="1" applyFont="1" applyFill="1" applyBorder="1" applyAlignment="1">
      <alignment horizontal="center" vertical="center"/>
      <protection locked="1" hidden="1"/>
    </xf>
    <xf numFmtId="1" fontId="94" fillId="6" borderId="84" xfId="6" applyNumberFormat="1" applyFont="1" applyFill="1" applyBorder="1" applyAlignment="1">
      <alignment horizontal="center" vertical="center" wrapText="1"/>
      <protection locked="1" hidden="1"/>
    </xf>
    <xf numFmtId="1" fontId="94" fillId="6" borderId="0" xfId="6" applyNumberFormat="1" applyFont="1" applyFill="1" applyBorder="1" applyAlignment="1">
      <alignment horizontal="center" vertical="center" wrapText="1"/>
      <protection locked="1" hidden="1"/>
    </xf>
    <xf numFmtId="1" fontId="94" fillId="6" borderId="52" xfId="6" applyNumberFormat="1" applyFont="1" applyFill="1" applyBorder="1" applyAlignment="1">
      <alignment horizontal="center" vertical="center" wrapText="1"/>
      <protection locked="1" hidden="1"/>
    </xf>
    <xf numFmtId="1" fontId="26" fillId="6" borderId="51" xfId="6" applyNumberFormat="1" applyFont="1" applyFill="1" applyBorder="1" applyAlignment="1">
      <alignment horizontal="center" vertical="center"/>
      <protection locked="1" hidden="1"/>
    </xf>
    <xf numFmtId="1" fontId="26" fillId="6" borderId="52" xfId="6" applyNumberFormat="1" applyFont="1" applyFill="1" applyBorder="1" applyAlignment="1">
      <alignment horizontal="center" vertical="center"/>
      <protection locked="1" hidden="1"/>
    </xf>
    <xf numFmtId="1" fontId="26" fillId="6" borderId="0" xfId="6" applyNumberFormat="1" applyFont="1" applyFill="1" applyBorder="1" applyAlignment="1">
      <alignment horizontal="center" vertical="center"/>
      <protection locked="1" hidden="1"/>
    </xf>
    <xf numFmtId="165" fontId="26" fillId="6" borderId="0" xfId="6" applyNumberFormat="1" applyFont="1" applyFill="1" applyBorder="1" applyAlignment="1">
      <alignment horizontal="center" vertical="center"/>
      <protection locked="1" hidden="1"/>
    </xf>
    <xf numFmtId="165" fontId="46" fillId="6" borderId="85" xfId="7" applyNumberFormat="1" applyFont="1" applyFill="1" applyBorder="1" applyAlignment="1">
      <alignment horizontal="center" vertical="center"/>
      <protection locked="1" hidden="1"/>
    </xf>
    <xf numFmtId="165" fontId="26" fillId="6" borderId="85" xfId="6" applyNumberFormat="1" applyFont="1" applyFill="1" applyBorder="1">
      <alignment vertical="center"/>
      <protection locked="1" hidden="1"/>
    </xf>
    <xf numFmtId="1" fontId="26" fillId="6" borderId="86" xfId="6" applyNumberFormat="1" applyFont="1" applyFill="1" applyBorder="1" applyAlignment="1">
      <alignment horizontal="right" vertical="center"/>
      <protection locked="1" hidden="1"/>
    </xf>
    <xf numFmtId="1" fontId="26" fillId="6" borderId="53" xfId="6" applyNumberFormat="1" applyFont="1" applyFill="1" applyBorder="1">
      <alignment vertical="center"/>
      <protection locked="1" hidden="1"/>
    </xf>
    <xf numFmtId="165" fontId="26" fillId="6" borderId="18" xfId="6" applyNumberFormat="1" applyFont="1" applyFill="1" applyBorder="1" applyAlignment="1">
      <alignment horizontal="center" vertical="center"/>
      <protection locked="1" hidden="1"/>
    </xf>
    <xf numFmtId="165" fontId="26" fillId="6" borderId="87" xfId="6" applyNumberFormat="1" applyFont="1" applyFill="1" applyBorder="1" applyAlignment="1">
      <alignment horizontal="center" vertical="center"/>
      <protection locked="1" hidden="1"/>
    </xf>
    <xf numFmtId="1" fontId="26" fillId="6" borderId="88" xfId="6" applyNumberFormat="1" applyFont="1" applyFill="1" applyBorder="1" applyAlignment="1">
      <alignment horizontal="right" vertical="center"/>
      <protection locked="1" hidden="1"/>
    </xf>
    <xf numFmtId="1" fontId="26" fillId="6" borderId="8" xfId="6" applyNumberFormat="1" applyFont="1" applyFill="1" applyBorder="1">
      <alignment vertical="center"/>
      <protection locked="1" hidden="1"/>
    </xf>
    <xf numFmtId="1" fontId="26" fillId="6" borderId="19" xfId="6" applyNumberFormat="1" applyFont="1" applyFill="1" applyBorder="1" applyAlignment="1">
      <alignment horizontal="center" vertical="center"/>
      <protection locked="1" hidden="1"/>
    </xf>
    <xf numFmtId="1" fontId="26" fillId="6" borderId="85" xfId="6" applyNumberFormat="1" applyFont="1" applyFill="1" applyBorder="1" applyAlignment="1">
      <alignment horizontal="center" vertical="center"/>
      <protection locked="1" hidden="1"/>
    </xf>
    <xf numFmtId="1" fontId="50" fillId="6" borderId="96" xfId="6" applyNumberFormat="1" applyFont="1" applyFill="1" applyBorder="1" applyAlignment="1">
      <alignment horizontal="right" vertical="center"/>
      <protection locked="1" hidden="1"/>
    </xf>
    <xf numFmtId="1" fontId="26" fillId="6" borderId="47" xfId="6" applyNumberFormat="1" applyFont="1" applyFill="1" applyBorder="1" applyAlignment="1">
      <alignment horizontal="center" vertical="center"/>
      <protection locked="1" hidden="1"/>
    </xf>
    <xf numFmtId="1" fontId="26" fillId="6" borderId="89" xfId="6" applyNumberFormat="1" applyFont="1" applyFill="1" applyBorder="1" applyAlignment="1">
      <alignment horizontal="center" vertical="center"/>
      <protection locked="1" hidden="1"/>
    </xf>
    <xf numFmtId="1" fontId="160" fillId="6" borderId="84" xfId="6" applyNumberFormat="1" applyFont="1" applyFill="1" applyBorder="1" applyAlignment="1">
      <alignment horizontal="right" vertical="center"/>
      <protection locked="1" hidden="1"/>
    </xf>
    <xf numFmtId="1" fontId="155" fillId="6" borderId="112" xfId="6" applyNumberFormat="1" applyFont="1" applyFill="1" applyBorder="1" applyAlignment="1">
      <alignment horizontal="center" vertical="center" wrapText="1"/>
      <protection locked="1" hidden="1"/>
    </xf>
    <xf numFmtId="0" fontId="159" fillId="6" borderId="0" xfId="0" applyFont="1" applyFill="1" applyAlignment="1">
      <alignment vertical="bottom"/>
      <protection locked="1" hidden="1"/>
    </xf>
    <xf numFmtId="1" fontId="161" fillId="6" borderId="52" xfId="6" applyNumberFormat="1" applyFont="1" applyFill="1" applyBorder="1" applyAlignment="1">
      <alignment horizontal="center" vertical="center" wrapText="1"/>
      <protection locked="1" hidden="1"/>
    </xf>
    <xf numFmtId="1" fontId="161" fillId="6" borderId="84" xfId="6" applyNumberFormat="1" applyFont="1" applyFill="1" applyBorder="1" applyAlignment="1">
      <alignment horizontal="center" vertical="center" wrapText="1"/>
      <protection locked="1" hidden="1"/>
    </xf>
    <xf numFmtId="1" fontId="161" fillId="6" borderId="0" xfId="6" applyNumberFormat="1" applyFont="1" applyFill="1" applyBorder="1" applyAlignment="1">
      <alignment horizontal="center" vertical="center" wrapText="1"/>
      <protection locked="1" hidden="1"/>
    </xf>
    <xf numFmtId="1" fontId="161" fillId="6" borderId="52" xfId="6" applyNumberFormat="1" applyFont="1" applyFill="1" applyBorder="1" applyAlignment="1">
      <alignment horizontal="center" vertical="center" wrapText="1"/>
      <protection locked="1" hidden="1"/>
    </xf>
    <xf numFmtId="1" fontId="127" fillId="15" borderId="84" xfId="6" applyNumberFormat="1" applyFont="1" applyFill="1" applyBorder="1" applyAlignment="1">
      <alignment horizontal="center" vertical="center"/>
      <protection locked="1" hidden="1"/>
    </xf>
    <xf numFmtId="1" fontId="127" fillId="15" borderId="0" xfId="6" applyNumberFormat="1" applyFont="1" applyFill="1" applyBorder="1" applyAlignment="1">
      <alignment horizontal="center" vertical="center"/>
      <protection locked="1" hidden="1"/>
    </xf>
    <xf numFmtId="1" fontId="127" fillId="15" borderId="52" xfId="6" applyNumberFormat="1" applyFont="1" applyFill="1" applyBorder="1" applyAlignment="1">
      <alignment horizontal="center" vertical="center"/>
      <protection locked="1" hidden="1"/>
    </xf>
    <xf numFmtId="1" fontId="127" fillId="15" borderId="51" xfId="6" applyNumberFormat="1" applyFont="1" applyFill="1" applyBorder="1" applyAlignment="1">
      <alignment horizontal="center" vertical="center"/>
      <protection locked="1" hidden="1"/>
    </xf>
    <xf numFmtId="165" fontId="158" fillId="15" borderId="51" xfId="6" applyNumberFormat="1" applyFont="1" applyFill="1" applyBorder="1" applyAlignment="1">
      <alignment horizontal="center" vertical="center"/>
      <protection locked="1" hidden="1"/>
    </xf>
    <xf numFmtId="165" fontId="158" fillId="15" borderId="85" xfId="6" applyNumberFormat="1" applyFont="1" applyFill="1" applyBorder="1" applyAlignment="1">
      <alignment horizontal="center" vertical="center"/>
      <protection locked="1" hidden="1"/>
    </xf>
    <xf numFmtId="1" fontId="50" fillId="6" borderId="84" xfId="6" applyNumberFormat="1" applyFont="1" applyFill="1" applyBorder="1" applyAlignment="1">
      <alignment horizontal="center" vertical="center" wrapText="1"/>
      <protection locked="1" hidden="1"/>
    </xf>
    <xf numFmtId="1" fontId="50" fillId="6" borderId="0" xfId="6" applyNumberFormat="1" applyFont="1" applyFill="1" applyBorder="1" applyAlignment="1">
      <alignment horizontal="center" vertical="center" wrapText="1"/>
      <protection locked="1" hidden="1"/>
    </xf>
    <xf numFmtId="1" fontId="50" fillId="6" borderId="52" xfId="6" applyNumberFormat="1" applyFont="1" applyFill="1" applyBorder="1" applyAlignment="1">
      <alignment horizontal="center" vertical="center" wrapText="1"/>
      <protection locked="1" hidden="1"/>
    </xf>
    <xf numFmtId="165" fontId="46" fillId="6" borderId="85" xfId="6" applyNumberFormat="1" applyFont="1" applyFill="1" applyBorder="1" applyAlignment="1">
      <alignment horizontal="center" vertical="center"/>
      <protection locked="1" hidden="1"/>
    </xf>
    <xf numFmtId="165" fontId="26" fillId="6" borderId="85" xfId="6" applyNumberFormat="1" applyFont="1" applyFill="1" applyBorder="1" applyAlignment="1">
      <alignment horizontal="center" vertical="center"/>
      <protection locked="1" hidden="1"/>
    </xf>
    <xf numFmtId="165" fontId="44" fillId="6" borderId="85" xfId="8" applyNumberFormat="1" applyFont="1" applyFill="1" applyBorder="1" applyAlignment="1">
      <alignment horizontal="center" vertical="center"/>
      <protection locked="1" hidden="1"/>
    </xf>
    <xf numFmtId="1" fontId="152" fillId="6" borderId="84" xfId="6" applyNumberFormat="1" applyFont="1" applyFill="1" applyBorder="1">
      <alignment vertical="center"/>
      <protection locked="1" hidden="1"/>
    </xf>
    <xf numFmtId="0" fontId="138" fillId="6" borderId="0" xfId="3" applyFont="1" applyFill="1" applyBorder="1" applyAlignment="1">
      <alignment horizontal="center" vertical="center"/>
      <protection locked="1" hidden="1"/>
    </xf>
    <xf numFmtId="0" fontId="162" fillId="6" borderId="0" xfId="0" applyFont="1" applyFill="1" applyAlignment="1">
      <alignment vertical="bottom"/>
      <protection locked="1" hidden="1"/>
    </xf>
    <xf numFmtId="171" fontId="44" fillId="6" borderId="10" xfId="5" applyNumberFormat="1" applyFont="1" applyFill="1" applyBorder="1" applyAlignment="1">
      <alignment horizontal="center" vertical="center"/>
      <protection locked="1" hidden="1"/>
    </xf>
    <xf numFmtId="171" fontId="44" fillId="6" borderId="46" xfId="5" applyNumberFormat="1" applyFont="1" applyFill="1" applyBorder="1" applyAlignment="1">
      <alignment horizontal="center" vertical="center"/>
      <protection locked="1" hidden="1"/>
    </xf>
    <xf numFmtId="0" fontId="26" fillId="6" borderId="0" xfId="0" applyFont="1" applyFill="1" applyAlignment="1">
      <alignment horizontal="center" vertical="bottom"/>
      <protection locked="1" hidden="1"/>
    </xf>
    <xf numFmtId="1" fontId="50" fillId="6" borderId="84" xfId="6" applyNumberFormat="1" applyFont="1" applyFill="1" applyBorder="1" applyAlignment="1">
      <alignment horizontal="left" vertical="center"/>
      <protection locked="1" hidden="1"/>
    </xf>
    <xf numFmtId="1" fontId="50" fillId="6" borderId="0" xfId="6" applyNumberFormat="1" applyFont="1" applyFill="1" applyBorder="1" applyAlignment="1">
      <alignment horizontal="left" vertical="center"/>
      <protection locked="1" hidden="1"/>
    </xf>
    <xf numFmtId="1" fontId="50" fillId="6" borderId="52" xfId="6" applyNumberFormat="1" applyFont="1" applyFill="1" applyBorder="1" applyAlignment="1">
      <alignment horizontal="left" vertical="center"/>
      <protection locked="1" hidden="1"/>
    </xf>
    <xf numFmtId="0" fontId="44" fillId="6" borderId="0" xfId="0" applyFont="1" applyFill="1" applyAlignment="1">
      <alignment vertical="bottom"/>
      <protection locked="1" hidden="1"/>
    </xf>
    <xf numFmtId="165" fontId="50" fillId="6" borderId="87" xfId="6" applyNumberFormat="1" applyFont="1" applyFill="1" applyBorder="1" applyAlignment="1">
      <alignment horizontal="center" vertical="center" wrapText="1"/>
      <protection locked="1" hidden="1"/>
    </xf>
    <xf numFmtId="1" fontId="158" fillId="15" borderId="18" xfId="6" applyNumberFormat="1" applyFont="1" applyFill="1" applyBorder="1" applyAlignment="1">
      <alignment horizontal="center" vertical="center"/>
      <protection locked="1" hidden="1"/>
    </xf>
    <xf numFmtId="1" fontId="158" fillId="15" borderId="53" xfId="6" applyNumberFormat="1" applyFont="1" applyFill="1" applyBorder="1" applyAlignment="1">
      <alignment horizontal="center" vertical="center"/>
      <protection locked="1" hidden="1"/>
    </xf>
    <xf numFmtId="1" fontId="158" fillId="15" borderId="0" xfId="6" applyNumberFormat="1" applyFont="1" applyFill="1" applyBorder="1">
      <alignment vertical="center"/>
      <protection locked="1" hidden="1"/>
    </xf>
    <xf numFmtId="165" fontId="158" fillId="15" borderId="87" xfId="6" applyNumberFormat="1" applyFont="1" applyFill="1" applyBorder="1" applyAlignment="1">
      <alignment horizontal="center" vertical="center" wrapText="1"/>
      <protection locked="1" hidden="1"/>
    </xf>
    <xf numFmtId="1" fontId="156" fillId="6" borderId="87" xfId="6" applyNumberFormat="1" applyFont="1" applyFill="1" applyBorder="1" applyAlignment="1">
      <alignment horizontal="center" vertical="center"/>
      <protection locked="1" hidden="1"/>
    </xf>
    <xf numFmtId="1" fontId="106" fillId="6" borderId="8" xfId="0" applyNumberFormat="1" applyFont="1" applyFill="1" applyBorder="1" applyAlignment="1">
      <alignment horizontal="center" vertical="center"/>
      <protection locked="1" hidden="1"/>
    </xf>
    <xf numFmtId="1" fontId="50" fillId="6" borderId="86" xfId="6" applyNumberFormat="1" applyFont="1" applyFill="1" applyBorder="1" applyAlignment="1">
      <alignment horizontal="center" vertical="center"/>
      <protection locked="1" hidden="1"/>
    </xf>
    <xf numFmtId="1" fontId="50" fillId="6" borderId="19" xfId="6" applyNumberFormat="1" applyFont="1" applyFill="1" applyBorder="1" applyAlignment="1">
      <alignment horizontal="center" vertical="center"/>
      <protection locked="1" hidden="1"/>
    </xf>
    <xf numFmtId="1" fontId="1" fillId="6" borderId="85" xfId="0" applyNumberFormat="1" applyFill="1" applyBorder="1" applyAlignment="1">
      <alignment horizontal="right" vertical="center"/>
      <protection locked="1" hidden="1"/>
    </xf>
    <xf numFmtId="1" fontId="26" fillId="6" borderId="86" xfId="6" applyNumberFormat="1" applyFont="1" applyFill="1" applyBorder="1" applyAlignment="1">
      <alignment vertical="center" wrapText="1"/>
      <protection locked="1" hidden="1"/>
    </xf>
    <xf numFmtId="1" fontId="26" fillId="6" borderId="19" xfId="6" applyNumberFormat="1" applyFont="1" applyFill="1" applyBorder="1" applyAlignment="1">
      <alignment vertical="center" wrapText="1"/>
      <protection locked="1" hidden="1"/>
    </xf>
    <xf numFmtId="1" fontId="26" fillId="6" borderId="87" xfId="6" applyNumberFormat="1" applyFont="1" applyFill="1" applyBorder="1" applyAlignment="1">
      <alignment vertical="center" wrapText="1"/>
      <protection locked="1" hidden="1"/>
    </xf>
    <xf numFmtId="1" fontId="26" fillId="6" borderId="0" xfId="6" applyNumberFormat="1" applyFont="1" applyFill="1" applyBorder="1" applyAlignment="1">
      <alignment horizontal="left" vertical="center"/>
      <protection locked="1" hidden="1"/>
    </xf>
    <xf numFmtId="1" fontId="26" fillId="6" borderId="85" xfId="6" applyNumberFormat="1" applyFont="1" applyFill="1" applyBorder="1" applyAlignment="1">
      <alignment horizontal="left" vertical="center"/>
      <protection locked="1" hidden="1"/>
    </xf>
    <xf numFmtId="0" fontId="5" fillId="6" borderId="5" xfId="3" applyFont="1" applyFill="1" applyBorder="1" applyAlignment="1">
      <alignment horizontal="center" vertical="center"/>
      <protection locked="1" hidden="1"/>
    </xf>
    <xf numFmtId="1" fontId="26" fillId="6" borderId="0" xfId="6" applyNumberFormat="1" applyFont="1" applyFill="1" applyBorder="1" applyAlignment="1">
      <alignment horizontal="center" vertical="center"/>
      <protection locked="1" hidden="1"/>
    </xf>
    <xf numFmtId="1" fontId="26" fillId="26" borderId="0" xfId="6" applyNumberFormat="1" applyFont="1" applyFill="1" applyBorder="1">
      <alignment vertical="center"/>
      <protection locked="1" hidden="1"/>
    </xf>
    <xf numFmtId="1" fontId="26" fillId="6" borderId="108" xfId="6" applyNumberFormat="1" applyFont="1" applyFill="1" applyBorder="1">
      <alignment vertical="center"/>
      <protection locked="1" hidden="1"/>
    </xf>
    <xf numFmtId="1" fontId="26" fillId="6" borderId="55" xfId="6" applyNumberFormat="1" applyFont="1" applyFill="1" applyBorder="1">
      <alignment vertical="center"/>
      <protection locked="1" hidden="1"/>
    </xf>
    <xf numFmtId="1" fontId="164" fillId="6" borderId="55" xfId="0" applyNumberFormat="1" applyFont="1" applyFill="1" applyBorder="1">
      <alignment vertical="center"/>
      <protection locked="1" hidden="1"/>
    </xf>
    <xf numFmtId="1" fontId="26" fillId="6" borderId="109" xfId="6" applyNumberFormat="1" applyFont="1" applyFill="1" applyBorder="1">
      <alignment vertical="center"/>
      <protection locked="1" hidden="1"/>
    </xf>
    <xf numFmtId="0" fontId="1" fillId="6" borderId="114" xfId="0" applyFill="1" applyBorder="1" applyAlignment="1">
      <alignment horizontal="center" vertical="bottom"/>
      <protection locked="1" hidden="1"/>
    </xf>
    <xf numFmtId="0" fontId="26" fillId="6" borderId="115" xfId="0" applyFont="1" applyFill="1" applyBorder="1" applyAlignment="1">
      <alignment horizontal="center" vertical="bottom"/>
      <protection locked="1" hidden="1"/>
    </xf>
    <xf numFmtId="0" fontId="1" fillId="6" borderId="0" xfId="0" applyFill="1" applyAlignment="1">
      <alignment vertical="bottom"/>
      <protection locked="1" hidden="1"/>
    </xf>
    <xf numFmtId="0" fontId="57" fillId="6" borderId="0" xfId="0" applyFont="1" applyFill="1" applyAlignment="1">
      <alignment vertical="bottom"/>
      <protection locked="1" hidden="1"/>
    </xf>
    <xf numFmtId="0" fontId="1" fillId="27" borderId="0" xfId="0" applyFill="1" applyAlignment="1">
      <alignment vertical="bottom"/>
      <protection locked="1" hidden="1"/>
    </xf>
    <xf numFmtId="0" fontId="1" fillId="27" borderId="0" xfId="0" applyFill="1" applyAlignment="1">
      <alignment horizontal="center" vertical="center" wrapText="1"/>
      <protection locked="1" hidden="1"/>
    </xf>
    <xf numFmtId="0" fontId="1" fillId="27" borderId="0" xfId="0" applyFill="1" applyAlignment="1">
      <alignment horizontal="left" vertical="bottom"/>
      <protection locked="1" hidden="1"/>
    </xf>
    <xf numFmtId="2" fontId="165" fillId="4" borderId="0" xfId="0" applyNumberFormat="1" applyFont="1" applyFill="1" applyAlignment="1">
      <alignment horizontal="center" vertical="center"/>
      <protection locked="1" hidden="1"/>
    </xf>
    <xf numFmtId="0" fontId="1" fillId="28" borderId="0" xfId="0" applyFill="1" applyAlignment="1">
      <alignment horizontal="center" vertical="bottom"/>
      <protection locked="1" hidden="1"/>
    </xf>
    <xf numFmtId="0" fontId="166" fillId="3" borderId="116" xfId="0" applyFont="1" applyFill="1" applyBorder="1" applyAlignment="1">
      <alignment horizontal="center" vertical="center" wrapText="1"/>
      <protection locked="1" hidden="1"/>
    </xf>
    <xf numFmtId="0" fontId="166" fillId="3" borderId="117" xfId="0" applyFont="1" applyFill="1" applyBorder="1" applyAlignment="1">
      <alignment horizontal="center" vertical="center" wrapText="1"/>
      <protection locked="1" hidden="1"/>
    </xf>
    <xf numFmtId="0" fontId="11" fillId="28" borderId="0" xfId="0" applyFont="1" applyFill="1" applyAlignment="1">
      <alignment horizontal="center" vertical="bottom"/>
      <protection locked="1" hidden="1"/>
    </xf>
    <xf numFmtId="0" fontId="11" fillId="0" borderId="0" xfId="0" applyFont="1" applyAlignment="1">
      <alignment vertical="bottom"/>
      <protection locked="1" hidden="1"/>
    </xf>
    <xf numFmtId="0" fontId="167" fillId="9" borderId="118" xfId="0" applyFont="1" applyFill="1" applyBorder="1" applyAlignment="1">
      <alignment horizontal="center" vertical="center" wrapText="1"/>
      <protection locked="1" hidden="1"/>
    </xf>
    <xf numFmtId="0" fontId="167" fillId="9" borderId="119" xfId="0" applyFont="1" applyFill="1" applyBorder="1" applyAlignment="1">
      <alignment horizontal="center" vertical="center" wrapText="1"/>
      <protection locked="1" hidden="1"/>
    </xf>
    <xf numFmtId="0" fontId="167" fillId="9" borderId="120" xfId="0" applyFont="1" applyFill="1" applyBorder="1" applyAlignment="1">
      <alignment horizontal="center" vertical="center" wrapText="1"/>
      <protection locked="1" hidden="1"/>
    </xf>
    <xf numFmtId="0" fontId="168" fillId="18" borderId="121" xfId="0" applyFont="1" applyFill="1" applyBorder="1" applyAlignment="1">
      <alignment horizontal="center" vertical="center" wrapText="1"/>
      <protection locked="1" hidden="1"/>
    </xf>
    <xf numFmtId="0" fontId="168" fillId="18" borderId="117" xfId="0" applyFont="1" applyFill="1" applyBorder="1" applyAlignment="1">
      <alignment horizontal="center" vertical="center" wrapText="1"/>
      <protection locked="1" hidden="1"/>
    </xf>
    <xf numFmtId="0" fontId="112" fillId="6" borderId="118" xfId="0" applyFont="1" applyFill="1" applyBorder="1" applyAlignment="1">
      <alignment horizontal="center" vertical="center" wrapText="1"/>
      <protection locked="1" hidden="1"/>
    </xf>
    <xf numFmtId="0" fontId="112" fillId="6" borderId="118" xfId="0" applyFont="1" applyFill="1" applyBorder="1" applyAlignment="1">
      <alignment horizontal="center" vertical="center" wrapText="1"/>
      <protection locked="1" hidden="1"/>
    </xf>
    <xf numFmtId="0" fontId="112" fillId="6" borderId="119" xfId="0" applyFont="1" applyFill="1" applyBorder="1" applyAlignment="1">
      <alignment horizontal="center" vertical="center" wrapText="1"/>
      <protection locked="1" hidden="1"/>
    </xf>
    <xf numFmtId="0" fontId="112" fillId="6" borderId="120" xfId="0" applyFont="1" applyFill="1" applyBorder="1" applyAlignment="1">
      <alignment horizontal="center" vertical="center" wrapText="1"/>
      <protection locked="1" hidden="1"/>
    </xf>
    <xf numFmtId="0" fontId="112" fillId="6" borderId="119" xfId="0" applyFont="1" applyFill="1" applyBorder="1" applyAlignment="1">
      <alignment horizontal="center" vertical="center" wrapText="1"/>
      <protection locked="1" hidden="1"/>
    </xf>
    <xf numFmtId="0" fontId="112" fillId="6" borderId="120" xfId="0" applyFont="1" applyFill="1" applyBorder="1" applyAlignment="1">
      <alignment horizontal="center" vertical="center" wrapText="1"/>
      <protection locked="1" hidden="1"/>
    </xf>
    <xf numFmtId="0" fontId="112" fillId="6" borderId="121" xfId="0" applyFont="1" applyFill="1" applyBorder="1" applyAlignment="1">
      <alignment horizontal="center" vertical="center" wrapText="1"/>
      <protection locked="1" hidden="1"/>
    </xf>
    <xf numFmtId="0" fontId="112" fillId="6" borderId="122" xfId="0" applyFont="1" applyFill="1" applyBorder="1" applyAlignment="1">
      <alignment horizontal="center" vertical="center" wrapText="1"/>
      <protection locked="1" hidden="1"/>
    </xf>
    <xf numFmtId="0" fontId="112" fillId="6" borderId="121" xfId="0" applyFont="1" applyFill="1" applyBorder="1" applyAlignment="1">
      <alignment horizontal="center" vertical="center" wrapText="1"/>
      <protection locked="1" hidden="1"/>
    </xf>
    <xf numFmtId="0" fontId="112" fillId="6" borderId="117" xfId="0" applyFont="1" applyFill="1" applyBorder="1" applyAlignment="1">
      <alignment horizontal="center" vertical="center" wrapText="1"/>
      <protection locked="1" hidden="1"/>
    </xf>
    <xf numFmtId="0" fontId="112" fillId="6" borderId="123" xfId="0" applyFont="1" applyFill="1" applyBorder="1" applyAlignment="1">
      <alignment horizontal="center" vertical="center" wrapText="1"/>
      <protection locked="1" hidden="1"/>
    </xf>
    <xf numFmtId="0" fontId="112" fillId="6" borderId="117" xfId="0" applyFont="1" applyFill="1" applyBorder="1" applyAlignment="1">
      <alignment horizontal="center" vertical="center" wrapText="1"/>
      <protection locked="1" hidden="1"/>
    </xf>
    <xf numFmtId="0" fontId="1" fillId="0" borderId="0" xfId="0" applyAlignment="1">
      <alignment horizontal="center" vertical="center" wrapText="1"/>
      <protection locked="1" hidden="1"/>
    </xf>
    <xf numFmtId="0" fontId="169" fillId="0" borderId="124" xfId="0" applyFont="1" applyBorder="1" applyAlignment="1">
      <alignment horizontal="center" vertical="center" wrapText="1"/>
      <protection locked="1" hidden="1"/>
    </xf>
    <xf numFmtId="0" fontId="169" fillId="0" borderId="125" xfId="0" applyFont="1" applyBorder="1" applyAlignment="1">
      <alignment horizontal="center" vertical="center" wrapText="1"/>
      <protection locked="1" hidden="1"/>
    </xf>
    <xf numFmtId="0" fontId="169" fillId="0" borderId="125" xfId="0" applyFont="1" applyBorder="1" applyAlignment="1">
      <alignment horizontal="center" vertical="center" wrapText="1" textRotation="90"/>
      <protection locked="1" hidden="1"/>
    </xf>
    <xf numFmtId="0" fontId="169" fillId="0" borderId="126" xfId="0" applyFont="1" applyBorder="1" applyAlignment="1">
      <alignment horizontal="center" vertical="center" wrapText="1" textRotation="90"/>
      <protection locked="1" hidden="1"/>
    </xf>
    <xf numFmtId="0" fontId="169" fillId="0" borderId="126" xfId="0" applyFont="1" applyBorder="1" applyAlignment="1">
      <alignment horizontal="center" vertical="center" wrapText="1"/>
      <protection locked="1" hidden="1"/>
    </xf>
    <xf numFmtId="0" fontId="169" fillId="0" borderId="127" xfId="0" applyFont="1" applyBorder="1" applyAlignment="1">
      <alignment horizontal="center" vertical="center" wrapText="1"/>
      <protection locked="1" hidden="1"/>
    </xf>
    <xf numFmtId="0" fontId="169" fillId="0" borderId="128" xfId="0" applyFont="1" applyBorder="1" applyAlignment="1">
      <alignment horizontal="center" vertical="center" wrapText="1"/>
      <protection locked="1" hidden="1"/>
    </xf>
    <xf numFmtId="0" fontId="169" fillId="0" borderId="5" xfId="0" applyFont="1" applyBorder="1" applyAlignment="1">
      <alignment horizontal="center" vertical="center" wrapText="1"/>
      <protection locked="1" hidden="1"/>
    </xf>
    <xf numFmtId="0" fontId="169" fillId="27" borderId="129" xfId="0" applyFont="1" applyFill="1" applyBorder="1" applyAlignment="1">
      <alignment horizontal="center" vertical="center" wrapText="1"/>
      <protection locked="1" hidden="1"/>
    </xf>
    <xf numFmtId="0" fontId="169" fillId="0" borderId="128" xfId="0" applyFont="1" applyBorder="1" applyAlignment="1">
      <alignment horizontal="center" vertical="center" wrapText="1"/>
      <protection locked="1" hidden="1"/>
    </xf>
    <xf numFmtId="0" fontId="169" fillId="29" borderId="129" xfId="0" applyFont="1" applyFill="1" applyBorder="1" applyAlignment="1">
      <alignment horizontal="center" vertical="center" wrapText="1"/>
      <protection locked="1" hidden="1"/>
    </xf>
    <xf numFmtId="0" fontId="169" fillId="15" borderId="127" xfId="0" applyFont="1" applyFill="1" applyBorder="1" applyAlignment="1">
      <alignment horizontal="center" vertical="center" wrapText="1"/>
      <protection locked="0" hidden="0"/>
    </xf>
    <xf numFmtId="0" fontId="169" fillId="15" borderId="128" xfId="0" applyFont="1" applyFill="1" applyBorder="1" applyAlignment="1">
      <alignment horizontal="center" vertical="center" wrapText="1"/>
      <protection locked="0" hidden="0"/>
    </xf>
    <xf numFmtId="0" fontId="169" fillId="15" borderId="130" xfId="0" applyFont="1" applyFill="1" applyBorder="1" applyAlignment="1">
      <alignment horizontal="center" vertical="center" wrapText="1"/>
      <protection locked="0" hidden="0"/>
    </xf>
    <xf numFmtId="0" fontId="37" fillId="30" borderId="127" xfId="0" applyFont="1" applyFill="1" applyBorder="1" applyAlignment="1">
      <alignment horizontal="center" vertical="center" wrapText="1"/>
      <protection locked="1" hidden="1"/>
    </xf>
    <xf numFmtId="0" fontId="37" fillId="30" borderId="128" xfId="0" applyFont="1" applyFill="1" applyBorder="1" applyAlignment="1">
      <alignment horizontal="center" vertical="center" wrapText="1"/>
      <protection locked="1" hidden="1"/>
    </xf>
    <xf numFmtId="0" fontId="37" fillId="30" borderId="130" xfId="0" applyFont="1" applyFill="1" applyBorder="1" applyAlignment="1">
      <alignment horizontal="center" vertical="center" wrapText="1"/>
      <protection locked="1" hidden="1"/>
    </xf>
    <xf numFmtId="0" fontId="169" fillId="4" borderId="126" xfId="0" applyFont="1" applyFill="1" applyBorder="1" applyAlignment="1">
      <alignment horizontal="center" vertical="center" wrapText="1"/>
      <protection locked="1" hidden="1"/>
    </xf>
    <xf numFmtId="0" fontId="169" fillId="0" borderId="131" xfId="0" applyFont="1" applyBorder="1" applyAlignment="1">
      <alignment horizontal="center" vertical="center" wrapText="1" textRotation="90"/>
      <protection locked="1" hidden="1"/>
    </xf>
    <xf numFmtId="0" fontId="169" fillId="0" borderId="131" xfId="0" applyFont="1" applyBorder="1" applyAlignment="1">
      <alignment horizontal="center" vertical="center" wrapText="1" textRotation="90"/>
      <protection locked="1" hidden="1"/>
    </xf>
    <xf numFmtId="0" fontId="169" fillId="0" borderId="120" xfId="0" applyFont="1" applyBorder="1" applyAlignment="1">
      <alignment horizontal="center" vertical="center" wrapText="1" textRotation="90"/>
      <protection locked="1" hidden="1"/>
    </xf>
    <xf numFmtId="0" fontId="11" fillId="0" borderId="0" xfId="0" applyFont="1" applyAlignment="1">
      <alignment horizontal="center" vertical="center" wrapText="1"/>
      <protection locked="1" hidden="1"/>
    </xf>
    <xf numFmtId="0" fontId="1" fillId="0" borderId="0" xfId="0" applyAlignment="1">
      <alignment horizontal="center" vertical="center"/>
      <protection locked="1" hidden="1"/>
    </xf>
    <xf numFmtId="0" fontId="169" fillId="0" borderId="132" xfId="0" applyFont="1" applyBorder="1" applyAlignment="1">
      <alignment horizontal="center" vertical="center" wrapText="1"/>
      <protection locked="1" hidden="1"/>
    </xf>
    <xf numFmtId="0" fontId="169" fillId="0" borderId="5" xfId="0" applyFont="1" applyBorder="1" applyAlignment="1">
      <alignment horizontal="center" vertical="center" wrapText="1" textRotation="90"/>
      <protection locked="1" hidden="1"/>
    </xf>
    <xf numFmtId="0" fontId="169" fillId="0" borderId="54" xfId="0" applyFont="1" applyBorder="1" applyAlignment="1">
      <alignment horizontal="center" vertical="center" wrapText="1" textRotation="90"/>
      <protection locked="1" hidden="1"/>
    </xf>
    <xf numFmtId="0" fontId="169" fillId="0" borderId="54" xfId="0" applyFont="1" applyBorder="1" applyAlignment="1">
      <alignment horizontal="center" vertical="center" wrapText="1"/>
      <protection locked="1" hidden="1"/>
    </xf>
    <xf numFmtId="0" fontId="37" fillId="0" borderId="5" xfId="0" applyFont="1" applyBorder="1" applyAlignment="1">
      <alignment horizontal="center" vertical="center" wrapText="1"/>
      <protection locked="1" hidden="1"/>
    </xf>
    <xf numFmtId="0" fontId="169" fillId="0" borderId="5" xfId="0" applyFont="1" applyBorder="1" applyAlignment="1">
      <alignment horizontal="center" vertical="center" wrapText="1"/>
      <protection locked="1" hidden="1"/>
    </xf>
    <xf numFmtId="0" fontId="169" fillId="0" borderId="10" xfId="0" applyFont="1" applyBorder="1" applyAlignment="1">
      <alignment horizontal="center" vertical="center" wrapText="1"/>
      <protection locked="1" hidden="1"/>
    </xf>
    <xf numFmtId="0" fontId="169" fillId="27" borderId="53" xfId="0" applyFont="1" applyFill="1" applyBorder="1" applyAlignment="1">
      <alignment horizontal="center" vertical="center" wrapText="1"/>
      <protection locked="1" hidden="1"/>
    </xf>
    <xf numFmtId="0" fontId="170" fillId="0" borderId="5" xfId="0" applyFont="1" applyBorder="1" applyAlignment="1">
      <alignment horizontal="center" vertical="center" wrapText="1"/>
      <protection locked="1" hidden="1"/>
    </xf>
    <xf numFmtId="0" fontId="169" fillId="29" borderId="53" xfId="0" applyFont="1" applyFill="1" applyBorder="1" applyAlignment="1">
      <alignment horizontal="center" vertical="center" wrapText="1"/>
      <protection locked="1" hidden="1"/>
    </xf>
    <xf numFmtId="17" fontId="37" fillId="6" borderId="5" xfId="0" applyNumberFormat="1" applyFont="1" applyFill="1" applyBorder="1" applyAlignment="1">
      <alignment horizontal="center" vertical="center"/>
      <protection locked="1" hidden="1"/>
    </xf>
    <xf numFmtId="17" fontId="37" fillId="0" borderId="5" xfId="0" applyNumberFormat="1" applyFont="1" applyBorder="1" applyAlignment="1">
      <alignment horizontal="center" vertical="center"/>
      <protection locked="1" hidden="1"/>
    </xf>
    <xf numFmtId="0" fontId="169" fillId="4" borderId="54" xfId="0" applyFont="1" applyFill="1" applyBorder="1" applyAlignment="1">
      <alignment horizontal="center" vertical="center" wrapText="1"/>
      <protection locked="1" hidden="1"/>
    </xf>
    <xf numFmtId="0" fontId="169" fillId="0" borderId="18" xfId="0" applyFont="1" applyBorder="1" applyAlignment="1">
      <alignment horizontal="center" vertical="center" wrapText="1" textRotation="90"/>
      <protection locked="1" hidden="1"/>
    </xf>
    <xf numFmtId="0" fontId="169" fillId="0" borderId="18" xfId="0" applyFont="1" applyBorder="1" applyAlignment="1">
      <alignment horizontal="center" vertical="center" wrapText="1" textRotation="90"/>
      <protection locked="1" hidden="1"/>
    </xf>
    <xf numFmtId="0" fontId="169" fillId="0" borderId="133" xfId="0" applyFont="1" applyBorder="1" applyAlignment="1">
      <alignment horizontal="center" vertical="center" wrapText="1" textRotation="90"/>
      <protection locked="1" hidden="1"/>
    </xf>
    <xf numFmtId="0" fontId="11" fillId="0" borderId="0" xfId="0" applyFont="1" applyAlignment="1">
      <alignment horizontal="center" vertical="center"/>
      <protection locked="1" hidden="1"/>
    </xf>
    <xf numFmtId="0" fontId="11" fillId="0" borderId="0" xfId="0" applyFont="1">
      <alignment vertical="center"/>
      <protection locked="1" hidden="1"/>
    </xf>
    <xf numFmtId="0" fontId="11" fillId="0" borderId="134" xfId="0" applyFont="1" applyBorder="1" applyAlignment="1">
      <alignment horizontal="center" vertical="center" wrapText="1"/>
      <protection locked="1" hidden="1"/>
    </xf>
    <xf numFmtId="0" fontId="11" fillId="0" borderId="135" xfId="0" applyFont="1" applyBorder="1" applyAlignment="1">
      <alignment horizontal="center" vertical="center" wrapText="1"/>
      <protection locked="1" hidden="1"/>
    </xf>
    <xf numFmtId="0" fontId="11" fillId="0" borderId="136" xfId="0" applyFont="1" applyBorder="1" applyAlignment="1">
      <alignment horizontal="center" vertical="center" wrapText="1"/>
      <protection locked="1" hidden="1"/>
    </xf>
    <xf numFmtId="0" fontId="11" fillId="0" borderId="137" xfId="0" applyFont="1" applyBorder="1" applyAlignment="1">
      <alignment horizontal="center" vertical="center" wrapText="1"/>
      <protection locked="1" hidden="1"/>
    </xf>
    <xf numFmtId="0" fontId="11" fillId="0" borderId="138" xfId="0" applyFont="1" applyBorder="1" applyAlignment="1">
      <alignment horizontal="center" vertical="center" wrapText="1"/>
      <protection locked="1" hidden="1"/>
    </xf>
    <xf numFmtId="0" fontId="11" fillId="0" borderId="14" xfId="0" applyFont="1" applyBorder="1" applyAlignment="1">
      <alignment horizontal="center" vertical="center" wrapText="1"/>
      <protection locked="1" hidden="1"/>
    </xf>
    <xf numFmtId="0" fontId="11" fillId="0" borderId="139" xfId="0" applyFont="1" applyBorder="1" applyAlignment="1">
      <alignment horizontal="center" vertical="center" wrapText="1"/>
      <protection locked="1" hidden="1"/>
    </xf>
    <xf numFmtId="0" fontId="11" fillId="0" borderId="5" xfId="0" applyFont="1" applyBorder="1" applyAlignment="1">
      <alignment horizontal="center" vertical="center"/>
      <protection locked="1" hidden="1"/>
    </xf>
    <xf numFmtId="0" fontId="171" fillId="6" borderId="0" xfId="0" applyFont="1" applyFill="1" applyAlignment="1">
      <alignment horizontal="center" vertical="center"/>
      <protection locked="1" hidden="1"/>
    </xf>
    <xf numFmtId="0" fontId="99" fillId="28" borderId="52" xfId="0" applyFont="1" applyFill="1" applyBorder="1" applyAlignment="1">
      <alignment horizontal="center" vertical="bottom"/>
      <protection locked="1" hidden="1"/>
    </xf>
    <xf numFmtId="0" fontId="172" fillId="25" borderId="54" xfId="0" applyFont="1" applyFill="1" applyBorder="1" applyAlignment="1">
      <alignment horizontal="center" vertical="center" wrapText="1"/>
      <protection locked="1" hidden="1"/>
    </xf>
    <xf numFmtId="0" fontId="169" fillId="25" borderId="54" xfId="0" applyFont="1" applyFill="1" applyBorder="1" applyAlignment="1">
      <alignment horizontal="center" vertical="center" wrapText="1"/>
      <protection locked="0" hidden="0"/>
    </xf>
    <xf numFmtId="0" fontId="172" fillId="25" borderId="54" xfId="0" applyFont="1" applyFill="1" applyBorder="1" applyAlignment="1">
      <alignment horizontal="center" vertical="center" wrapText="1"/>
      <protection locked="0" hidden="0"/>
    </xf>
    <xf numFmtId="0" fontId="169" fillId="0" borderId="54" xfId="0" applyFont="1" applyBorder="1" applyAlignment="1">
      <alignment horizontal="center" vertical="center" wrapText="1"/>
      <protection locked="1" hidden="1"/>
    </xf>
    <xf numFmtId="0" fontId="172" fillId="0" borderId="54" xfId="0" applyFont="1" applyBorder="1" applyAlignment="1">
      <alignment horizontal="center" vertical="center" wrapText="1"/>
      <protection locked="1" hidden="1"/>
    </xf>
    <xf numFmtId="0" fontId="112" fillId="0" borderId="54" xfId="0" applyFont="1" applyBorder="1" applyAlignment="1">
      <alignment horizontal="center" vertical="center" wrapText="1"/>
      <protection locked="1" hidden="1"/>
    </xf>
    <xf numFmtId="0" fontId="172" fillId="0" borderId="54" xfId="0" applyFont="1" applyBorder="1" applyAlignment="1">
      <alignment horizontal="center" vertical="center"/>
      <protection locked="1" hidden="1"/>
    </xf>
    <xf numFmtId="0" fontId="169" fillId="0" borderId="54" xfId="0" applyFont="1" applyBorder="1" applyAlignment="1">
      <alignment horizontal="center" vertical="center"/>
      <protection locked="1" hidden="1"/>
    </xf>
    <xf numFmtId="0" fontId="172" fillId="25" borderId="54" xfId="0" applyFont="1" applyFill="1" applyBorder="1" applyAlignment="1">
      <alignment horizontal="center" vertical="center"/>
      <protection locked="0" hidden="0"/>
    </xf>
    <xf numFmtId="0" fontId="169" fillId="0" borderId="18" xfId="0" applyFont="1" applyBorder="1" applyAlignment="1">
      <alignment horizontal="center" vertical="center"/>
      <protection locked="0" hidden="0"/>
    </xf>
    <xf numFmtId="0" fontId="169" fillId="0" borderId="18" xfId="0" applyFont="1" applyBorder="1" applyAlignment="1">
      <alignment horizontal="center" vertical="center"/>
      <protection locked="1" hidden="1"/>
    </xf>
    <xf numFmtId="0" fontId="172" fillId="0" borderId="5" xfId="0" applyFont="1" applyBorder="1" applyAlignment="1">
      <alignment horizontal="center" vertical="center"/>
      <protection locked="1" hidden="1"/>
    </xf>
    <xf numFmtId="0" fontId="173" fillId="0" borderId="53" xfId="0" applyFont="1" applyBorder="1" applyAlignment="1">
      <alignment horizontal="left" vertical="center"/>
      <protection locked="1" hidden="1"/>
    </xf>
    <xf numFmtId="0" fontId="169" fillId="0" borderId="5" xfId="0" applyFont="1" applyBorder="1" applyAlignment="1">
      <alignment horizontal="center" vertical="center"/>
      <protection locked="1" hidden="1"/>
    </xf>
    <xf numFmtId="0" fontId="174" fillId="0" borderId="0" xfId="0" applyFont="1" applyAlignment="1">
      <alignment horizontal="center" vertical="center"/>
      <protection locked="1" hidden="1"/>
    </xf>
    <xf numFmtId="0" fontId="172" fillId="25" borderId="5" xfId="0" applyFont="1" applyFill="1" applyBorder="1" applyAlignment="1">
      <alignment horizontal="center" vertical="center" wrapText="1"/>
      <protection locked="1" hidden="1"/>
    </xf>
    <xf numFmtId="0" fontId="169" fillId="25" borderId="5" xfId="0" applyFont="1" applyFill="1" applyBorder="1" applyAlignment="1">
      <alignment horizontal="center" vertical="center" wrapText="1"/>
      <protection locked="0" hidden="0"/>
    </xf>
    <xf numFmtId="0" fontId="172" fillId="25" borderId="5" xfId="0" applyFont="1" applyFill="1" applyBorder="1" applyAlignment="1">
      <alignment horizontal="center" vertical="center" wrapText="1"/>
      <protection locked="0" hidden="0"/>
    </xf>
    <xf numFmtId="0" fontId="172" fillId="25" borderId="5" xfId="0" applyFont="1" applyFill="1" applyBorder="1" applyAlignment="1">
      <alignment horizontal="center" vertical="center"/>
      <protection locked="0" hidden="0"/>
    </xf>
    <xf numFmtId="0" fontId="172" fillId="0" borderId="18" xfId="0" applyFont="1" applyBorder="1" applyAlignment="1">
      <alignment horizontal="center" vertical="center"/>
      <protection locked="1" hidden="1"/>
    </xf>
    <xf numFmtId="0" fontId="99" fillId="28" borderId="0" xfId="0" applyFont="1" applyFill="1" applyBorder="1" applyAlignment="1">
      <alignment horizontal="center" vertical="bottom"/>
      <protection locked="1" hidden="1"/>
    </xf>
    <xf numFmtId="0" fontId="172" fillId="25" borderId="15" xfId="0" applyFont="1" applyFill="1" applyBorder="1" applyAlignment="1">
      <alignment horizontal="center" vertical="center" wrapText="1"/>
      <protection locked="1" hidden="1"/>
    </xf>
    <xf numFmtId="0" fontId="169" fillId="25" borderId="15" xfId="0" applyFont="1" applyFill="1" applyBorder="1" applyAlignment="1">
      <alignment horizontal="center" vertical="center" wrapText="1"/>
      <protection locked="1" hidden="1"/>
    </xf>
    <xf numFmtId="0" fontId="169" fillId="0" borderId="0" xfId="0" applyFont="1" applyBorder="1" applyAlignment="1">
      <alignment horizontal="center" vertical="center" wrapText="1"/>
      <protection locked="1" hidden="1"/>
    </xf>
    <xf numFmtId="0" fontId="172" fillId="0" borderId="15" xfId="0" applyFont="1" applyBorder="1" applyAlignment="1">
      <alignment horizontal="center" vertical="center" wrapText="1"/>
      <protection locked="1" hidden="1"/>
    </xf>
    <xf numFmtId="0" fontId="169" fillId="0" borderId="15" xfId="0" applyFont="1" applyBorder="1" applyAlignment="1">
      <alignment horizontal="center" vertical="center" wrapText="1"/>
      <protection locked="1" hidden="1"/>
    </xf>
    <xf numFmtId="0" fontId="112" fillId="0" borderId="15" xfId="0" applyFont="1" applyBorder="1" applyAlignment="1">
      <alignment horizontal="center" vertical="center" wrapText="1"/>
      <protection locked="1" hidden="1"/>
    </xf>
    <xf numFmtId="0" fontId="172" fillId="0" borderId="0" xfId="0" applyFont="1" applyBorder="1" applyAlignment="1">
      <alignment horizontal="center" vertical="center" wrapText="1"/>
      <protection locked="1" hidden="1"/>
    </xf>
    <xf numFmtId="0" fontId="172" fillId="0" borderId="15" xfId="0" applyFont="1" applyBorder="1" applyAlignment="1">
      <alignment horizontal="center" vertical="center"/>
      <protection locked="1" hidden="1"/>
    </xf>
    <xf numFmtId="0" fontId="169" fillId="0" borderId="15" xfId="0" applyFont="1" applyBorder="1" applyAlignment="1">
      <alignment horizontal="center" vertical="center"/>
      <protection locked="1" hidden="1"/>
    </xf>
    <xf numFmtId="0" fontId="112" fillId="0" borderId="0" xfId="0" applyFont="1" applyBorder="1" applyAlignment="1">
      <alignment horizontal="center" vertical="center" wrapText="1"/>
      <protection locked="1" hidden="1"/>
    </xf>
    <xf numFmtId="0" fontId="172" fillId="25" borderId="15" xfId="0" applyFont="1" applyFill="1" applyBorder="1" applyAlignment="1">
      <alignment horizontal="center" vertical="center"/>
      <protection locked="1" hidden="1"/>
    </xf>
    <xf numFmtId="0" fontId="172" fillId="0" borderId="0" xfId="0" applyFont="1" applyBorder="1" applyAlignment="1">
      <alignment horizontal="center" vertical="center"/>
      <protection locked="1" hidden="1"/>
    </xf>
    <xf numFmtId="0" fontId="169" fillId="0" borderId="0" xfId="0" applyFont="1" applyBorder="1" applyAlignment="1">
      <alignment horizontal="center" vertical="center"/>
      <protection locked="1" hidden="1"/>
    </xf>
    <xf numFmtId="0" fontId="172" fillId="0" borderId="0" xfId="0" applyFont="1" applyBorder="1" applyAlignment="1">
      <alignment horizontal="left" vertical="center"/>
      <protection locked="1" hidden="1"/>
    </xf>
    <xf numFmtId="0" fontId="1" fillId="27" borderId="0" xfId="0" applyFill="1" applyAlignment="1">
      <alignment vertical="bottom"/>
      <protection locked="1" hidden="1"/>
    </xf>
    <xf numFmtId="0" fontId="11" fillId="27" borderId="15" xfId="0" applyFont="1" applyFill="1" applyBorder="1" applyAlignment="1">
      <alignment horizontal="center" vertical="center" wrapText="1"/>
      <protection locked="1" hidden="1"/>
    </xf>
    <xf numFmtId="0" fontId="11" fillId="27" borderId="0" xfId="0" applyFont="1" applyFill="1" applyBorder="1" applyAlignment="1">
      <alignment horizontal="center" vertical="center" wrapText="1"/>
      <protection locked="1" hidden="1"/>
    </xf>
    <xf numFmtId="0" fontId="11" fillId="27" borderId="0" xfId="0" applyFont="1" applyFill="1" applyBorder="1" applyAlignment="1">
      <alignment horizontal="left" vertical="center" wrapText="1"/>
      <protection locked="1" hidden="1"/>
    </xf>
    <xf numFmtId="0" fontId="1" fillId="27" borderId="0" xfId="0" applyFill="1" applyAlignment="1">
      <alignment horizontal="center" vertical="center"/>
      <protection locked="1" hidden="1"/>
    </xf>
    <xf numFmtId="0" fontId="1" fillId="27" borderId="0" xfId="0" applyFill="1" applyAlignment="1">
      <alignment horizontal="left" vertical="center"/>
      <protection locked="1" hidden="1"/>
    </xf>
  </cellXfs>
  <cellStyles count="9">
    <cellStyle name="常规" xfId="0" builtinId="0"/>
    <cellStyle name="百分比" xfId="1" builtinId="5"/>
    <cellStyle name="千位分隔" xfId="2" builtinId="3"/>
    <cellStyle name="Normal 2" xfId="3"/>
    <cellStyle name="Normal_pay 2008-09" xfId="4"/>
    <cellStyle name="货币" xfId="5" builtinId="4"/>
    <cellStyle name="Comma_From 16" xfId="6"/>
    <cellStyle name="Normal 3" xfId="7"/>
    <cellStyle name="Comma 2" xfId="8"/>
  </cellStyles>
  <dxfs count="43">
    <dxf>
      <font>
        <color indexed="9"/>
      </font>
    </dxf>
    <dxf>
      <font>
        <color indexed="9"/>
      </font>
    </dxf>
    <dxf>
      <font>
        <color indexed="9"/>
      </font>
    </dxf>
    <dxf>
      <font/>
      <fill>
        <patternFill>
          <bgColor rgb="FFFFFF00"/>
        </patternFill>
      </fill>
    </dxf>
    <dxf>
      <font>
        <b/>
        <color rgb="FF000000"/>
      </font>
      <fill>
        <patternFill>
          <bgColor rgb="FF92D050"/>
        </patternFill>
      </fill>
    </dxf>
    <dxf>
      <font>
        <color rgb="FFFFFFFF"/>
      </font>
    </dxf>
    <dxf>
      <font>
        <color rgb="FFFFFFFF"/>
      </font>
    </dxf>
    <dxf>
      <font>
        <color rgb="FFFFFFFF"/>
      </font>
    </dxf>
    <dxf>
      <font>
        <color rgb="FFFFFFFF"/>
      </font>
    </dxf>
    <dxf>
      <font>
        <b/>
        <color rgb="FFFF0000"/>
      </font>
      <fill>
        <patternFill>
          <bgColor rgb="FFFFFF00"/>
        </patternFill>
      </fill>
    </dxf>
    <dxf>
      <font>
        <b/>
        <color rgb="FFFF0000"/>
      </font>
      <fill>
        <patternFill>
          <bgColor rgb="FFFFFF00"/>
        </patternFill>
      </fill>
    </dxf>
    <dxf>
      <font>
        <b/>
        <color rgb="FFFF0000"/>
      </font>
      <fill>
        <patternFill>
          <bgColor rgb="FF000000"/>
        </patternFill>
      </fill>
    </dxf>
    <dxf>
      <font>
        <b/>
        <color rgb="FFFF0000"/>
      </font>
      <fill>
        <patternFill>
          <bgColor rgb="FFFFFF00"/>
        </patternFill>
      </fill>
    </dxf>
    <dxf>
      <font>
        <color rgb="FF006100"/>
      </font>
      <fill>
        <patternFill>
          <bgColor rgb="FFC6EFCE"/>
        </patternFill>
      </fill>
    </dxf>
    <dxf>
      <font>
        <color rgb="FF006100"/>
      </font>
      <fill>
        <patternFill>
          <bgColor rgb="FFC6EFCE"/>
        </patternFill>
      </fill>
    </dxf>
    <dxf>
      <font>
        <color rgb="FFFF0000"/>
      </font>
      <fill>
        <patternFill>
          <bgColor rgb="FFFFFF00"/>
        </patternFill>
      </fill>
    </dxf>
    <dxf>
      <font>
        <color rgb="FF006600"/>
      </font>
    </dxf>
    <dxf>
      <font>
        <color rgb="FFFF0000"/>
      </font>
    </dxf>
    <dxf>
      <font>
        <color rgb="FFFFFFFF"/>
      </font>
      <fill>
        <patternFill>
          <bgColor rgb="FFFFFFFF"/>
        </patternFill>
      </fill>
    </dxf>
    <dxf>
      <font>
        <color rgb="FFF2F2F2"/>
      </font>
      <fill>
        <patternFill>
          <bgColor rgb="FFFFFFFF"/>
        </patternFill>
      </fill>
    </dxf>
    <dxf>
      <font/>
    </dxf>
    <dxf>
      <font/>
    </dxf>
    <dxf>
      <font/>
    </dxf>
    <dxf>
      <font>
        <color rgb="FF006600"/>
      </font>
    </dxf>
    <dxf>
      <font>
        <color rgb="FFFF0000"/>
      </font>
    </dxf>
    <dxf>
      <font>
        <color rgb="FFFFFFFF"/>
      </font>
      <fill>
        <patternFill>
          <bgColor rgb="FFFFFFFF"/>
        </patternFill>
      </fill>
    </dxf>
    <dxf>
      <font/>
    </dxf>
    <dxf>
      <font/>
    </dxf>
    <dxf>
      <font/>
    </dxf>
    <dxf>
      <font>
        <color rgb="FFFFFFFF"/>
      </font>
      <fill>
        <patternFill>
          <fgColor rgb="FFFFFFFF"/>
        </patternFill>
      </fill>
    </dxf>
    <dxf>
      <font>
        <color rgb="FFFF0000"/>
      </font>
    </dxf>
    <dxf>
      <fill>
        <patternFill>
          <bgColor rgb="FFFBD4B4"/>
        </patternFill>
      </fill>
    </dxf>
    <dxf>
      <font>
        <color rgb="FFFFFFFF"/>
      </font>
    </dxf>
    <dxf>
      <font>
        <b/>
        <color rgb="FF0066FF"/>
      </font>
      <fill>
        <patternFill>
          <bgColor rgb="FFC2D69B"/>
        </patternFill>
      </fill>
    </dxf>
    <dxf>
      <font>
        <color rgb="FF0000FF"/>
      </font>
      <fill>
        <patternFill>
          <bgColor rgb="FFFABF8F"/>
        </patternFill>
      </fill>
    </dxf>
    <dxf>
      <font>
        <color rgb="FFFFFFFF"/>
      </font>
    </dxf>
    <dxf>
      <fill>
        <patternFill>
          <bgColor rgb="FF92D050"/>
        </patternFill>
      </fill>
    </dxf>
    <dxf>
      <font>
        <color rgb="FFFF0000"/>
      </font>
    </dxf>
    <dxf>
      <font>
        <b/>
        <color rgb="FF006600"/>
      </font>
    </dxf>
    <dxf>
      <font>
        <i/>
        <b/>
        <color rgb="FFFF0000"/>
      </font>
    </dxf>
    <dxf>
      <font>
        <b/>
      </font>
      <fill>
        <patternFill>
          <bgColor rgb="FFECF1AF"/>
        </patternFill>
      </fill>
    </dxf>
    <dxf>
      <font>
        <b/>
      </font>
      <fill>
        <patternFill>
          <bgColor rgb="FFFFFF00"/>
        </patternFill>
      </fill>
    </dxf>
    <dxf>
      <font>
        <b/>
        <color rgb="FFFF0000"/>
      </font>
      <fill>
        <patternFill>
          <bgColor rgb="FFB7DDE8"/>
        </patternFill>
      </fill>
    </dxf>
  </dxfs>
  <tableStyles defaultTableStyle="TableStyleMedium9" defaultPivotStyle="PivotStyleLight16" count="0"/>
</styleSheet>
</file>

<file path=xl/_rels/workbook.xml.rels><?xml version="1.0" encoding="UTF-8" standalone="yes"?>
<Relationships xmlns="http://schemas.openxmlformats.org/package/2006/relationships"><Relationship Id="rId1" Type="http://schemas.openxmlformats.org/officeDocument/2006/relationships/externalLink" Target="externalLinks/externalLink1.xml"/><Relationship Id="rId2" Type="http://schemas.openxmlformats.org/officeDocument/2006/relationships/externalLink" Target="externalLinks/externalLink2.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www.wps.cn/officeDocument/2020/cellImage" Target="cellimages.xml"/><Relationship Id="rId15" Type="http://schemas.openxmlformats.org/officeDocument/2006/relationships/sharedStrings" Target="sharedStrings.xml"/><Relationship Id="rId16" Type="http://schemas.openxmlformats.org/officeDocument/2006/relationships/styles" Target="styles.xml"/><Relationship Id="rId1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0.jpeg"/><Relationship Id="rId2"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14</xdr:col>
      <xdr:colOff>683106</xdr:colOff>
      <xdr:row>22</xdr:row>
      <xdr:rowOff>11273</xdr:rowOff>
    </xdr:from>
    <xdr:to>
      <xdr:col>15</xdr:col>
      <xdr:colOff>735211</xdr:colOff>
      <xdr:row>22</xdr:row>
      <xdr:rowOff>898140</xdr:rowOff>
    </xdr:to>
    <xdr:pic>
      <xdr:nvPicPr>
        <xdr:cNvPr id="2" name="Picture 1" descr=" "/>
        <xdr:cNvPicPr/>
      </xdr:nvPicPr>
      <xdr:blipFill>
        <a:blip xmlns:r="http://schemas.openxmlformats.org/officeDocument/2006/relationships" r:embed="rId1"/>
        <a:srcRect/>
        <a:stretch>
          <a:fillRect/>
        </a:stretch>
      </xdr:blipFill>
      <xdr:spPr>
        <a:xfrm>
          <a:off x="9325841" y="7083137"/>
          <a:ext cx="865910" cy="891886"/>
        </a:xfrm>
        <a:prstGeom prst="rect">
          <a:avLst/>
        </a:prstGeom>
        <a:noFill/>
        <a:ln w="9525" cap="flat" cmpd="sng">
          <a:noFill/>
          <a:prstDash val="solid"/>
          <a:miter/>
        </a:ln>
        <a:effectLst/>
      </xdr:spPr>
    </xdr:pic>
    <xdr:clientData/>
  </xdr:twoCellAnchor>
  <xdr:twoCellAnchor>
    <xdr:from>
      <xdr:col>1</xdr:col>
      <xdr:colOff>25503</xdr:colOff>
      <xdr:row>22</xdr:row>
      <xdr:rowOff>0</xdr:rowOff>
    </xdr:from>
    <xdr:to>
      <xdr:col>3</xdr:col>
      <xdr:colOff>25620</xdr:colOff>
      <xdr:row>23</xdr:row>
      <xdr:rowOff>0</xdr:rowOff>
    </xdr:to>
    <xdr:pic>
      <xdr:nvPicPr>
        <xdr:cNvPr id="3" name="Picture 2" descr=" "/>
        <xdr:cNvPicPr/>
      </xdr:nvPicPr>
      <xdr:blipFill>
        <a:blip xmlns:r="http://schemas.openxmlformats.org/officeDocument/2006/relationships" r:embed="rId2"/>
        <a:srcRect/>
        <a:stretch>
          <a:fillRect/>
        </a:stretch>
      </xdr:blipFill>
      <xdr:spPr>
        <a:xfrm>
          <a:off x="294411" y="7065818"/>
          <a:ext cx="874566" cy="943841"/>
        </a:xfrm>
        <a:prstGeom prst="rect">
          <a:avLst/>
        </a:prstGeom>
        <a:noFill/>
        <a:ln w="9525" cap="flat" cmpd="sng">
          <a:noFill/>
          <a:prstDash val="solid"/>
          <a:miter/>
        </a:ln>
        <a:effec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29</xdr:col>
      <xdr:colOff>51497</xdr:colOff>
      <xdr:row>11</xdr:row>
      <xdr:rowOff>24556</xdr:rowOff>
    </xdr:from>
    <xdr:to>
      <xdr:col>29</xdr:col>
      <xdr:colOff>909295</xdr:colOff>
      <xdr:row>12</xdr:row>
      <xdr:rowOff>75902</xdr:rowOff>
    </xdr:to>
    <xdr:sp macro="" textlink="">
      <xdr:nvSpPr>
        <xdr:cNvPr id="2" name="leftArrow"/>
        <xdr:cNvSpPr/>
      </xdr:nvSpPr>
      <xdr:spPr>
        <a:xfrm>
          <a:off x="14899822" y="3796393"/>
          <a:ext cx="857250" cy="285750"/>
        </a:xfrm>
        <a:prstGeom prst="leftArrow">
          <a:avLst/>
        </a:prstGeom>
        <a:solidFill>
          <a:srgbClr val="ffffff"/>
        </a:solidFill>
        <a:ln w="9525" cap="flat" cmpd="sng">
          <a:solidFill>
            <a:srgbClr val="365d8a"/>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29</xdr:col>
      <xdr:colOff>51497</xdr:colOff>
      <xdr:row>6</xdr:row>
      <xdr:rowOff>113853</xdr:rowOff>
    </xdr:from>
    <xdr:to>
      <xdr:col>29</xdr:col>
      <xdr:colOff>1344816</xdr:colOff>
      <xdr:row>6</xdr:row>
      <xdr:rowOff>478184</xdr:rowOff>
    </xdr:to>
    <xdr:sp macro="" textlink="">
      <xdr:nvSpPr>
        <xdr:cNvPr id="3" name="leftArrow"/>
        <xdr:cNvSpPr/>
      </xdr:nvSpPr>
      <xdr:spPr>
        <a:xfrm>
          <a:off x="14382750" y="1510392"/>
          <a:ext cx="1292679" cy="367393"/>
        </a:xfrm>
        <a:prstGeom prst="leftArrow">
          <a:avLst/>
        </a:prstGeom>
        <a:solidFill>
          <a:srgbClr val="ffffff"/>
        </a:solidFill>
        <a:ln w="9525" cap="flat" cmpd="sng">
          <a:solidFill>
            <a:srgbClr val="365d8a"/>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33660</xdr:colOff>
      <xdr:row>4</xdr:row>
      <xdr:rowOff>37207</xdr:rowOff>
    </xdr:from>
    <xdr:to>
      <xdr:col>6</xdr:col>
      <xdr:colOff>527544</xdr:colOff>
      <xdr:row>8</xdr:row>
      <xdr:rowOff>177663</xdr:rowOff>
    </xdr:to>
    <xdr:sp macro="" textlink="">
      <xdr:nvSpPr>
        <xdr:cNvPr id="2" name="moon"/>
        <xdr:cNvSpPr/>
      </xdr:nvSpPr>
      <xdr:spPr>
        <a:xfrm rot="10800000">
          <a:off x="11525251" y="1308382"/>
          <a:ext cx="493567" cy="1107504"/>
        </a:xfrm>
        <a:prstGeom prst="moon">
          <a:avLst/>
        </a:prstGeom>
        <a:solidFill>
          <a:srgbClr val="ffff00"/>
        </a:solidFill>
        <a:ln w="9525" cap="flat" cmpd="sng">
          <a:solidFill>
            <a:srgbClr val="365d8a"/>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3</xdr:col>
      <xdr:colOff>4466385</xdr:colOff>
      <xdr:row>21</xdr:row>
      <xdr:rowOff>0</xdr:rowOff>
    </xdr:from>
    <xdr:to>
      <xdr:col>6</xdr:col>
      <xdr:colOff>77187</xdr:colOff>
      <xdr:row>28</xdr:row>
      <xdr:rowOff>189979</xdr:rowOff>
    </xdr:to>
    <xdr:sp macro="" textlink="">
      <xdr:nvSpPr>
        <xdr:cNvPr id="3" name="moon"/>
        <xdr:cNvSpPr/>
      </xdr:nvSpPr>
      <xdr:spPr>
        <a:xfrm rot="16200000">
          <a:off x="9325845" y="5195454"/>
          <a:ext cx="2043545" cy="2441863"/>
        </a:xfrm>
        <a:prstGeom prst="moon">
          <a:avLst/>
        </a:prstGeom>
        <a:solidFill>
          <a:srgbClr val="ff65cb"/>
        </a:solidFill>
        <a:ln w="9525" cap="flat" cmpd="sng">
          <a:solidFill>
            <a:srgbClr val="ffff00"/>
          </a:solidFill>
          <a:prstDash val="sysDash"/>
          <a:miter/>
        </a:ln>
        <a:effectLst>
          <a:reflection blurRad="0" stA="52000" stPos="0" endA="300" endPos="35000" dist="0" dir="0" fadeDir="0" sx="100000" sy="-100000" kx="0" ky="0" algn="bl" rotWithShape="0"/>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1300933</xdr:colOff>
      <xdr:row>6</xdr:row>
      <xdr:rowOff>114300</xdr:rowOff>
    </xdr:from>
    <xdr:to>
      <xdr:col>7</xdr:col>
      <xdr:colOff>1586807</xdr:colOff>
      <xdr:row>8</xdr:row>
      <xdr:rowOff>11906</xdr:rowOff>
    </xdr:to>
    <xdr:sp macro="" textlink="">
      <xdr:nvSpPr>
        <xdr:cNvPr id="2" name="downArrow"/>
        <xdr:cNvSpPr/>
      </xdr:nvSpPr>
      <xdr:spPr>
        <a:xfrm>
          <a:off x="9610725" y="2095500"/>
          <a:ext cx="285750" cy="419100"/>
        </a:xfrm>
        <a:prstGeom prst="downArrow">
          <a:avLst/>
        </a:prstGeom>
        <a:solidFill>
          <a:srgbClr val="0000ff"/>
        </a:solidFill>
        <a:ln w="9525" cap="flat" cmpd="sng">
          <a:solidFill>
            <a:srgbClr val="f79544"/>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25</xdr:col>
      <xdr:colOff>40992</xdr:colOff>
      <xdr:row>1</xdr:row>
      <xdr:rowOff>50229</xdr:rowOff>
    </xdr:from>
    <xdr:to>
      <xdr:col>35</xdr:col>
      <xdr:colOff>840123</xdr:colOff>
      <xdr:row>46</xdr:row>
      <xdr:rowOff>37504</xdr:rowOff>
    </xdr:to>
    <xdr:pic>
      <xdr:nvPicPr>
        <xdr:cNvPr id="2" name="Picture 2" descr="New Picture.bmp"/>
        <xdr:cNvPicPr/>
      </xdr:nvPicPr>
      <xdr:blipFill>
        <a:blip xmlns:r="http://schemas.openxmlformats.org/officeDocument/2006/relationships" r:embed="rId1"/>
        <a:srcRect/>
        <a:stretch>
          <a:fillRect/>
        </a:stretch>
      </xdr:blipFill>
      <xdr:spPr>
        <a:xfrm>
          <a:off x="13439774" y="508000"/>
          <a:ext cx="7435850" cy="11493499"/>
        </a:xfrm>
        <a:prstGeom prst="rect">
          <a:avLst/>
        </a:prstGeom>
        <a:noFill/>
        <a:ln w="3175" cap="sq" cmpd="sng">
          <a:solidFill>
            <a:srgbClr val="000000"/>
          </a:solidFill>
          <a:prstDash val="solid"/>
          <a:miter/>
        </a:ln>
        <a:effectLst>
          <a:outerShdw dist="38100" dir="2640000" kx="0" algn="tl" rotWithShape="0">
            <a:srgbClr val="000000">
              <a:alpha val="43000"/>
            </a:srgbClr>
          </a:outerShdw>
        </a:effec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14</xdr:col>
      <xdr:colOff>366156</xdr:colOff>
      <xdr:row>0</xdr:row>
      <xdr:rowOff>0</xdr:rowOff>
    </xdr:from>
    <xdr:to>
      <xdr:col>16</xdr:col>
      <xdr:colOff>843575</xdr:colOff>
      <xdr:row>1</xdr:row>
      <xdr:rowOff>0</xdr:rowOff>
    </xdr:to>
    <xdr:sp macro="" textlink="">
      <xdr:nvSpPr>
        <xdr:cNvPr id="2" name="ellipse"/>
        <xdr:cNvSpPr/>
      </xdr:nvSpPr>
      <xdr:spPr>
        <a:xfrm>
          <a:off x="7258672" y="0"/>
          <a:ext cx="1529177" cy="250894"/>
        </a:xfrm>
        <a:prstGeom prst="ellipse">
          <a:avLst/>
        </a:prstGeom>
        <a:solidFill>
          <a:srgbClr val="ffffff"/>
        </a:solidFill>
        <a:ln w="9525" cap="flat" cmpd="sng">
          <a:solidFill>
            <a:srgbClr val="000000"/>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ctr"/>
        <a:lstStyle/>
        <a:p>
          <a:pPr algn="ctr"/>
          <a:r>
            <a:rPr lang="en-US" altLang="zh-CN" sz="1000" b="1" i="1">
              <a:solidFill>
                <a:srgbClr val="FF0000"/>
              </a:solidFill>
              <a:latin typeface="+mn-lt" panose="" pitchFamily="0" charset="0"/>
              <a:ea typeface="+mn-lt" panose="" pitchFamily="0" charset="0"/>
            </a:rPr>
            <a:t>New Tax Regime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14</xdr:col>
      <xdr:colOff>463616</xdr:colOff>
      <xdr:row>0</xdr:row>
      <xdr:rowOff>139079</xdr:rowOff>
    </xdr:from>
    <xdr:to>
      <xdr:col>16</xdr:col>
      <xdr:colOff>876925</xdr:colOff>
      <xdr:row>1</xdr:row>
      <xdr:rowOff>152400</xdr:rowOff>
    </xdr:to>
    <xdr:sp macro="" textlink="">
      <xdr:nvSpPr>
        <xdr:cNvPr id="2" name="ellipse"/>
        <xdr:cNvSpPr/>
      </xdr:nvSpPr>
      <xdr:spPr>
        <a:xfrm>
          <a:off x="6667502" y="157369"/>
          <a:ext cx="1466020" cy="207066"/>
        </a:xfrm>
        <a:prstGeom prst="ellipse">
          <a:avLst/>
        </a:prstGeom>
        <a:solidFill>
          <a:srgbClr val="ebf1dd"/>
        </a:solidFill>
        <a:ln w="9525" cap="flat" cmpd="sng">
          <a:solidFill>
            <a:srgbClr val="000000"/>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ctr"/>
        <a:lstStyle/>
        <a:p>
          <a:pPr algn="ctr"/>
          <a:r>
            <a:rPr lang="en-US" altLang="zh-CN" sz="1000" b="1" i="1">
              <a:solidFill>
                <a:srgbClr val="FF0000"/>
              </a:solidFill>
              <a:latin typeface="+mn-lt" panose="" pitchFamily="0" charset="0"/>
              <a:ea typeface="+mn-lt" panose="" pitchFamily="0" charset="0"/>
            </a:rPr>
            <a:t>Old Tax Regime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AppData/Roaming/Microsoft/AddIns/SpellNumber%2520By%2520DEEPAK%2520EDUWORLD.xla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E:/Local%2520Disk/important%2520bhagirath/MY%2520EXCELL%2520SOFTWARE/OneDrive/Desktop/excell%2520unprotect/INCOME%2520TAX%2520RELETED/UMED%2520TARAD%2520INCOME%2520TAX%2520%2520ALL%2520FORMATE%25202024.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For Help"/>
      <sheetName val="Basic Data"/>
      <sheetName val="Exemp.(HRA+Other) &amp; Other incom"/>
      <sheetName val="GA-55"/>
      <sheetName val="New Regime Calc. Report"/>
      <sheetName val="Old Regime Calc. Report"/>
      <sheetName val="Form-16 As New Regime"/>
      <sheetName val="Form-16 As Old Regime"/>
      <sheetName val="OLD REGIME"/>
      <sheetName val="10 E Us 89(1) "/>
      <sheetName val="HRA Receipt"/>
      <sheetName val="HRA Calculator"/>
      <sheetName val="Itax Calculate For All Em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dir="t" rig="threeP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2" Type="http://schemas.openxmlformats.org/officeDocument/2006/relationships/vmlDrawing" Target="../drawings/vmlDrawing3.vml"/><Relationship Id="rId3"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2" Type="http://schemas.openxmlformats.org/officeDocument/2006/relationships/vmlDrawing" Target="../drawings/vmlDrawing5.vml"/><Relationship Id="rId3" Type="http://schemas.openxmlformats.org/officeDocument/2006/relationships/comments" Target="../comments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2" Type="http://schemas.openxmlformats.org/officeDocument/2006/relationships/vmlDrawing" Target="../drawings/vmlDrawing8.vml"/><Relationship Id="rId3" Type="http://schemas.openxmlformats.org/officeDocument/2006/relationships/comments" Target="../comments8.xml"/></Relationships>
</file>

<file path=xl/worksheets/sheet1.xml><?xml version="1.0" encoding="utf-8"?>
<worksheet xmlns:r="http://schemas.openxmlformats.org/officeDocument/2006/relationships" xmlns="http://schemas.openxmlformats.org/spreadsheetml/2006/main">
  <sheetPr>
    <tabColor rgb="FFFF0000"/>
  </sheetPr>
  <dimension ref="A1:S32"/>
  <sheetViews>
    <sheetView tabSelected="1" workbookViewId="0" showGridLines="0" showRowColHeaders="0" zoomScale="110">
      <pane xSplit="1" ySplit="3" topLeftCell="B10" state="frozen" activePane="bottomRight"/>
      <selection pane="bottomRight" activeCell="C5" sqref="C5:P5"/>
    </sheetView>
  </sheetViews>
  <sheetFormatPr defaultRowHeight="12.75" defaultColWidth="0" zeroHeight="1"/>
  <cols>
    <col min="1" max="1" customWidth="1" width="4.0" style="1"/>
    <col min="2" max="2" customWidth="1" width="4.0" style="2"/>
    <col min="3" max="5" customWidth="1" width="9.140625" style="0"/>
    <col min="6" max="6" customWidth="1" width="12.140625" style="0"/>
    <col min="7" max="7" customWidth="1" width="9.140625" style="0"/>
    <col min="8" max="8" customWidth="1" width="11.285156" style="0"/>
    <col min="9" max="9" customWidth="1" width="9.140625" style="0"/>
    <col min="10" max="10" customWidth="1" width="11.140625" style="0"/>
    <col min="11" max="11" customWidth="1" width="9.140625" style="0"/>
    <col min="12" max="12" customWidth="1" width="16.425781" style="0"/>
    <col min="13" max="13" customWidth="1" width="9.140625" style="0"/>
    <col min="14" max="14" customWidth="1" width="13.7109375" style="0"/>
    <col min="15" max="15" customWidth="1" width="12.140625" style="0"/>
    <col min="16" max="16" customWidth="1" width="11.285156" style="0"/>
    <col min="17" max="17" customWidth="1" width="3.5703125" style="0"/>
    <col min="18" max="18" hidden="1" customWidth="1" width="0.0" style="0"/>
    <col min="19" max="16384" hidden="1" customWidth="1" bestFit="1" width="10.0" style="0"/>
  </cols>
  <sheetData>
    <row r="1" spans="8:8" ht="20.25" customHeight="1">
      <c r="A1" s="3"/>
      <c r="B1" s="4"/>
      <c r="C1" s="5"/>
      <c r="D1" s="5"/>
      <c r="E1" s="5"/>
      <c r="F1" s="5"/>
      <c r="G1" s="5"/>
      <c r="H1" s="5"/>
      <c r="I1" s="5"/>
      <c r="J1" s="5"/>
      <c r="K1" s="5"/>
      <c r="L1" s="5"/>
      <c r="M1" s="5"/>
      <c r="N1" s="5"/>
      <c r="O1" s="5"/>
      <c r="P1" s="5"/>
      <c r="Q1" s="5"/>
    </row>
    <row r="2" spans="8:8" ht="25.5" customHeight="1">
      <c r="A2" s="3"/>
      <c r="B2" s="6" t="s">
        <v>543</v>
      </c>
      <c r="C2" s="7"/>
      <c r="D2" s="7"/>
      <c r="E2" s="7"/>
      <c r="F2" s="7"/>
      <c r="G2" s="7"/>
      <c r="H2" s="7"/>
      <c r="I2" s="7"/>
      <c r="J2" s="7"/>
      <c r="K2" s="7"/>
      <c r="L2" s="7"/>
      <c r="M2" s="7"/>
      <c r="N2" s="7"/>
      <c r="O2" s="7"/>
      <c r="P2" s="8"/>
      <c r="Q2" s="5"/>
    </row>
    <row r="3" spans="8:8" ht="24.75" customHeight="1">
      <c r="A3" s="3"/>
      <c r="B3" s="9" t="s">
        <v>610</v>
      </c>
      <c r="C3" s="10"/>
      <c r="D3" s="10"/>
      <c r="E3" s="10"/>
      <c r="F3" s="10"/>
      <c r="G3" s="10"/>
      <c r="H3" s="10"/>
      <c r="I3" s="10"/>
      <c r="J3" s="10"/>
      <c r="K3" s="10"/>
      <c r="L3" s="10"/>
      <c r="M3" s="10"/>
      <c r="N3" s="10"/>
      <c r="O3" s="10"/>
      <c r="P3" s="11"/>
      <c r="Q3" s="5"/>
    </row>
    <row r="4" spans="8:8" ht="21.0" customHeight="1">
      <c r="A4" s="3"/>
      <c r="B4" s="12" t="s">
        <v>507</v>
      </c>
      <c r="C4" s="13"/>
      <c r="D4" s="13"/>
      <c r="E4" s="13"/>
      <c r="F4" s="13"/>
      <c r="G4" s="13"/>
      <c r="H4" s="13"/>
      <c r="I4" s="13"/>
      <c r="J4" s="13"/>
      <c r="K4" s="13"/>
      <c r="L4" s="13"/>
      <c r="M4" s="13"/>
      <c r="N4" s="13"/>
      <c r="O4" s="13"/>
      <c r="P4" s="14"/>
      <c r="Q4" s="5"/>
    </row>
    <row r="5" spans="8:8" ht="21.0" customHeight="1">
      <c r="A5" s="3"/>
      <c r="B5" s="15">
        <v>1.0</v>
      </c>
      <c r="C5" s="16" t="s">
        <v>55</v>
      </c>
      <c r="D5" s="17"/>
      <c r="E5" s="17"/>
      <c r="F5" s="17"/>
      <c r="G5" s="17"/>
      <c r="H5" s="17"/>
      <c r="I5" s="17"/>
      <c r="J5" s="17"/>
      <c r="K5" s="17"/>
      <c r="L5" s="17"/>
      <c r="M5" s="17"/>
      <c r="N5" s="17"/>
      <c r="O5" s="17"/>
      <c r="P5" s="18"/>
      <c r="Q5" s="5"/>
    </row>
    <row r="6" spans="8:8" ht="21.0" customHeight="1">
      <c r="A6" s="3"/>
      <c r="B6" s="19">
        <v>2.0</v>
      </c>
      <c r="C6" s="16" t="s">
        <v>508</v>
      </c>
      <c r="D6" s="17"/>
      <c r="E6" s="17"/>
      <c r="F6" s="17"/>
      <c r="G6" s="17"/>
      <c r="H6" s="17"/>
      <c r="I6" s="17"/>
      <c r="J6" s="17"/>
      <c r="K6" s="17"/>
      <c r="L6" s="17"/>
      <c r="M6" s="17"/>
      <c r="N6" s="17"/>
      <c r="O6" s="17"/>
      <c r="P6" s="18"/>
      <c r="Q6" s="5"/>
    </row>
    <row r="7" spans="8:8" s="20" ht="18.75" customFormat="1">
      <c r="A7" s="21"/>
      <c r="B7" s="12" t="s">
        <v>509</v>
      </c>
      <c r="C7" s="13"/>
      <c r="D7" s="13"/>
      <c r="E7" s="13"/>
      <c r="F7" s="13"/>
      <c r="G7" s="13"/>
      <c r="H7" s="13"/>
      <c r="I7" s="13"/>
      <c r="J7" s="13"/>
      <c r="K7" s="13"/>
      <c r="L7" s="13"/>
      <c r="M7" s="13"/>
      <c r="N7" s="13"/>
      <c r="O7" s="13"/>
      <c r="P7" s="14"/>
      <c r="Q7" s="22"/>
    </row>
    <row r="8" spans="8:8" s="20" ht="18.75" customFormat="1">
      <c r="A8" s="21"/>
      <c r="B8" s="23">
        <v>1.0</v>
      </c>
      <c r="C8" s="16" t="s">
        <v>519</v>
      </c>
      <c r="D8" s="17"/>
      <c r="E8" s="17"/>
      <c r="F8" s="17"/>
      <c r="G8" s="17"/>
      <c r="H8" s="17"/>
      <c r="I8" s="17"/>
      <c r="J8" s="17"/>
      <c r="K8" s="17"/>
      <c r="L8" s="17"/>
      <c r="M8" s="17"/>
      <c r="N8" s="17"/>
      <c r="O8" s="17"/>
      <c r="P8" s="18"/>
      <c r="Q8" s="24"/>
    </row>
    <row r="9" spans="8:8" ht="57.75" customHeight="1">
      <c r="A9" s="4"/>
      <c r="B9" s="23">
        <v>2.0</v>
      </c>
      <c r="C9" s="25" t="s">
        <v>609</v>
      </c>
      <c r="D9" s="26"/>
      <c r="E9" s="26"/>
      <c r="F9" s="26"/>
      <c r="G9" s="26"/>
      <c r="H9" s="26"/>
      <c r="I9" s="26"/>
      <c r="J9" s="26"/>
      <c r="K9" s="26"/>
      <c r="L9" s="26"/>
      <c r="M9" s="26"/>
      <c r="N9" s="26"/>
      <c r="O9" s="26"/>
      <c r="P9" s="27"/>
      <c r="Q9" s="5"/>
    </row>
    <row r="10" spans="8:8" ht="33.0" customHeight="1">
      <c r="A10" s="4"/>
      <c r="B10" s="23">
        <v>3.0</v>
      </c>
      <c r="C10" s="28" t="s">
        <v>71</v>
      </c>
      <c r="D10" s="29"/>
      <c r="E10" s="29"/>
      <c r="F10" s="29"/>
      <c r="G10" s="29"/>
      <c r="H10" s="29"/>
      <c r="I10" s="29"/>
      <c r="J10" s="29"/>
      <c r="K10" s="29"/>
      <c r="L10" s="29"/>
      <c r="M10" s="29"/>
      <c r="N10" s="29"/>
      <c r="O10" s="29"/>
      <c r="P10" s="30"/>
      <c r="Q10" s="5"/>
    </row>
    <row r="11" spans="8:8" ht="18.75">
      <c r="A11" s="3"/>
      <c r="B11" s="31" t="s">
        <v>520</v>
      </c>
      <c r="C11" s="13"/>
      <c r="D11" s="13"/>
      <c r="E11" s="13"/>
      <c r="F11" s="13"/>
      <c r="G11" s="13"/>
      <c r="H11" s="13"/>
      <c r="I11" s="13"/>
      <c r="J11" s="13"/>
      <c r="K11" s="13"/>
      <c r="L11" s="13"/>
      <c r="M11" s="13"/>
      <c r="N11" s="13"/>
      <c r="O11" s="13"/>
      <c r="P11" s="14"/>
      <c r="Q11" s="5"/>
    </row>
    <row r="12" spans="8:8" ht="29.25" customHeight="1">
      <c r="A12" s="32"/>
      <c r="B12" s="23">
        <v>1.0</v>
      </c>
      <c r="C12" s="33" t="s">
        <v>533</v>
      </c>
      <c r="D12" s="33"/>
      <c r="E12" s="33"/>
      <c r="F12" s="33"/>
      <c r="G12" s="33"/>
      <c r="H12" s="33"/>
      <c r="I12" s="33"/>
      <c r="J12" s="33"/>
      <c r="K12" s="33"/>
      <c r="L12" s="33"/>
      <c r="M12" s="33"/>
      <c r="N12" s="33"/>
      <c r="O12" s="33"/>
      <c r="P12" s="34"/>
      <c r="Q12" s="5"/>
    </row>
    <row r="13" spans="8:8" ht="29.25" customHeight="1">
      <c r="A13" s="35"/>
      <c r="B13" s="23">
        <v>2.0</v>
      </c>
      <c r="C13" s="36" t="s">
        <v>535</v>
      </c>
      <c r="D13" s="36"/>
      <c r="E13" s="36"/>
      <c r="F13" s="36"/>
      <c r="G13" s="36"/>
      <c r="H13" s="36"/>
      <c r="I13" s="36"/>
      <c r="J13" s="36"/>
      <c r="K13" s="36"/>
      <c r="L13" s="36"/>
      <c r="M13" s="36"/>
      <c r="N13" s="36"/>
      <c r="O13" s="36"/>
      <c r="P13" s="37"/>
      <c r="Q13" s="5"/>
    </row>
    <row r="14" spans="8:8" ht="29.25" customHeight="1">
      <c r="A14" s="35"/>
      <c r="B14" s="23">
        <v>3.0</v>
      </c>
      <c r="C14" s="38" t="s">
        <v>534</v>
      </c>
      <c r="D14" s="38"/>
      <c r="E14" s="38"/>
      <c r="F14" s="38"/>
      <c r="G14" s="38"/>
      <c r="H14" s="38"/>
      <c r="I14" s="38"/>
      <c r="J14" s="38"/>
      <c r="K14" s="38"/>
      <c r="L14" s="38"/>
      <c r="M14" s="38"/>
      <c r="N14" s="38"/>
      <c r="O14" s="38"/>
      <c r="P14" s="39"/>
      <c r="Q14" s="5"/>
    </row>
    <row r="15" spans="8:8" ht="19.5" customHeight="1">
      <c r="A15" s="35"/>
      <c r="B15" s="40"/>
      <c r="C15" s="13" t="s">
        <v>537</v>
      </c>
      <c r="D15" s="13"/>
      <c r="E15" s="13"/>
      <c r="F15" s="13"/>
      <c r="G15" s="13"/>
      <c r="H15" s="13"/>
      <c r="I15" s="13"/>
      <c r="J15" s="13"/>
      <c r="K15" s="13"/>
      <c r="L15" s="13"/>
      <c r="M15" s="13"/>
      <c r="N15" s="13"/>
      <c r="O15" s="13"/>
      <c r="P15" s="14"/>
      <c r="Q15" s="5"/>
    </row>
    <row r="16" spans="8:8" ht="29.25" customHeight="1">
      <c r="A16" s="35"/>
      <c r="B16" s="23">
        <v>1.0</v>
      </c>
      <c r="C16" s="26" t="s">
        <v>536</v>
      </c>
      <c r="D16" s="26"/>
      <c r="E16" s="26"/>
      <c r="F16" s="26"/>
      <c r="G16" s="26"/>
      <c r="H16" s="26"/>
      <c r="I16" s="26"/>
      <c r="J16" s="26"/>
      <c r="K16" s="26"/>
      <c r="L16" s="26"/>
      <c r="M16" s="26"/>
      <c r="N16" s="26"/>
      <c r="O16" s="26"/>
      <c r="P16" s="27"/>
      <c r="Q16" s="5"/>
    </row>
    <row r="17" spans="8:8" ht="29.25" customHeight="1">
      <c r="A17" s="3"/>
      <c r="B17" s="12" t="s">
        <v>538</v>
      </c>
      <c r="C17" s="13"/>
      <c r="D17" s="13"/>
      <c r="E17" s="13"/>
      <c r="F17" s="13"/>
      <c r="G17" s="13"/>
      <c r="H17" s="13"/>
      <c r="I17" s="13"/>
      <c r="J17" s="13"/>
      <c r="K17" s="13"/>
      <c r="L17" s="13"/>
      <c r="M17" s="13"/>
      <c r="N17" s="13"/>
      <c r="O17" s="13"/>
      <c r="P17" s="14"/>
      <c r="Q17" s="5"/>
    </row>
    <row r="18" spans="8:8" ht="18.75" customHeight="1">
      <c r="A18" s="32"/>
      <c r="B18" s="41">
        <v>1.0</v>
      </c>
      <c r="C18" s="42" t="s">
        <v>539</v>
      </c>
      <c r="D18" s="43"/>
      <c r="E18" s="43"/>
      <c r="F18" s="43"/>
      <c r="G18" s="43"/>
      <c r="H18" s="43"/>
      <c r="I18" s="43"/>
      <c r="J18" s="43"/>
      <c r="K18" s="43"/>
      <c r="L18" s="43"/>
      <c r="M18" s="43"/>
      <c r="N18" s="43"/>
      <c r="O18" s="43"/>
      <c r="P18" s="44"/>
      <c r="Q18" s="5"/>
    </row>
    <row r="19" spans="8:8" ht="18.75" customHeight="1">
      <c r="A19" s="32"/>
      <c r="B19" s="45"/>
      <c r="C19" s="46" t="s">
        <v>540</v>
      </c>
      <c r="D19" s="47"/>
      <c r="E19" s="47"/>
      <c r="F19" s="47"/>
      <c r="G19" s="47"/>
      <c r="H19" s="47"/>
      <c r="I19" s="47"/>
      <c r="J19" s="47"/>
      <c r="K19" s="47"/>
      <c r="L19" s="47"/>
      <c r="M19" s="47"/>
      <c r="N19" s="47"/>
      <c r="O19" s="47"/>
      <c r="P19" s="48"/>
      <c r="Q19" s="5"/>
    </row>
    <row r="20" spans="8:8" ht="21.75" customHeight="1">
      <c r="A20" s="32"/>
      <c r="B20" s="23">
        <v>2.0</v>
      </c>
      <c r="C20" s="49" t="s">
        <v>541</v>
      </c>
      <c r="D20" s="50"/>
      <c r="E20" s="50"/>
      <c r="F20" s="50"/>
      <c r="G20" s="50"/>
      <c r="H20" s="50"/>
      <c r="I20" s="50"/>
      <c r="J20" s="50"/>
      <c r="K20" s="50"/>
      <c r="L20" s="50"/>
      <c r="M20" s="50"/>
      <c r="N20" s="50"/>
      <c r="O20" s="50"/>
      <c r="P20" s="51"/>
      <c r="Q20" s="5"/>
    </row>
    <row r="21" spans="8:8" ht="21.0" customHeight="1">
      <c r="A21" s="35"/>
      <c r="B21" s="23">
        <v>3.0</v>
      </c>
      <c r="C21" s="49" t="s">
        <v>542</v>
      </c>
      <c r="D21" s="50"/>
      <c r="E21" s="50"/>
      <c r="F21" s="50"/>
      <c r="G21" s="50"/>
      <c r="H21" s="50"/>
      <c r="I21" s="50"/>
      <c r="J21" s="50"/>
      <c r="K21" s="50"/>
      <c r="L21" s="50"/>
      <c r="M21" s="50"/>
      <c r="N21" s="50"/>
      <c r="O21" s="50"/>
      <c r="P21" s="51"/>
      <c r="Q21" s="5"/>
    </row>
    <row r="22" spans="8:8" ht="56.25" customHeight="1">
      <c r="A22" s="3"/>
      <c r="B22" s="52" t="s">
        <v>74</v>
      </c>
      <c r="C22" s="53"/>
      <c r="D22" s="53"/>
      <c r="E22" s="53"/>
      <c r="F22" s="53"/>
      <c r="G22" s="53"/>
      <c r="H22" s="53"/>
      <c r="I22" s="53"/>
      <c r="J22" s="53"/>
      <c r="K22" s="53"/>
      <c r="L22" s="53"/>
      <c r="M22" s="53"/>
      <c r="N22" s="53"/>
      <c r="O22" s="53"/>
      <c r="P22" s="54"/>
      <c r="Q22" s="5"/>
    </row>
    <row r="23" spans="8:8" ht="75.75" customHeight="1">
      <c r="A23" s="3"/>
      <c r="B23" s="55" t="s">
        <v>589</v>
      </c>
      <c r="C23" s="56"/>
      <c r="D23" s="56"/>
      <c r="E23" s="56"/>
      <c r="F23" s="56"/>
      <c r="G23" s="56"/>
      <c r="H23" s="56"/>
      <c r="I23" s="56"/>
      <c r="J23" s="56"/>
      <c r="K23" s="56"/>
      <c r="L23" s="56"/>
      <c r="M23" s="56"/>
      <c r="N23" s="56"/>
      <c r="O23" s="56"/>
      <c r="P23" s="57"/>
      <c r="Q23" s="5"/>
    </row>
    <row r="24" spans="8:8" ht="18.75" customHeight="1">
      <c r="A24" s="3"/>
      <c r="B24" s="4"/>
      <c r="C24" s="5"/>
      <c r="D24" s="5"/>
      <c r="E24" s="5"/>
      <c r="F24" s="5"/>
      <c r="G24" s="5"/>
      <c r="H24" s="5"/>
      <c r="I24" s="5"/>
      <c r="J24" s="5"/>
      <c r="K24" s="5"/>
      <c r="L24" s="5"/>
      <c r="M24" s="5"/>
      <c r="N24" s="5"/>
      <c r="O24" s="5"/>
      <c r="P24" s="5"/>
      <c r="Q24" s="5"/>
    </row>
    <row r="25" spans="8:8"/>
    <row r="26" spans="8:8" hidden="1"/>
    <row r="27" spans="8:8" hidden="1"/>
    <row r="28" spans="8:8" hidden="1"/>
    <row r="29" spans="8:8" hidden="1"/>
    <row r="30" spans="8:8" hidden="1"/>
    <row r="31" spans="8:8" hidden="1"/>
    <row r="32" spans="8:8" hidden="1"/>
  </sheetData>
  <sheetProtection password="cda0" sheet="1" objects="1" scenarios="1"/>
  <mergeCells count="19">
    <mergeCell ref="B22:P22"/>
    <mergeCell ref="B23:P23"/>
    <mergeCell ref="B17:P17"/>
    <mergeCell ref="C16:P16"/>
    <mergeCell ref="C15:P15"/>
    <mergeCell ref="C14:P14"/>
    <mergeCell ref="C13:P13"/>
    <mergeCell ref="B18:B19"/>
    <mergeCell ref="C10:P10"/>
    <mergeCell ref="B3:P3"/>
    <mergeCell ref="C5:P5"/>
    <mergeCell ref="C6:P6"/>
    <mergeCell ref="B11:P11"/>
    <mergeCell ref="C12:P12"/>
    <mergeCell ref="B2:P2"/>
    <mergeCell ref="C9:P9"/>
    <mergeCell ref="B7:P7"/>
    <mergeCell ref="B4:P4"/>
    <mergeCell ref="C8:P8"/>
  </mergeCells>
  <printOptions horizontalCentered="1" verticalCentered="1"/>
  <pageMargins left="0.2362204724409449" right="0.15748031496062992" top="0.3937007874015748" bottom="0.3937007874015748" header="0.31496062992125984" footer="0.31496062992125984"/>
  <pageSetup paperSize="9" scale="90" orientation="landscape"/>
  <drawing r:id="rId1"/>
</worksheet>
</file>

<file path=xl/worksheets/sheet10.xml><?xml version="1.0" encoding="utf-8"?>
<worksheet xmlns:r="http://schemas.openxmlformats.org/officeDocument/2006/relationships" xmlns="http://schemas.openxmlformats.org/spreadsheetml/2006/main">
  <sheetPr>
    <tabColor rgb="FFB2A1C6"/>
  </sheetPr>
  <dimension ref="A1:AB315"/>
  <sheetViews>
    <sheetView workbookViewId="0" showGridLines="0" showRowColHeaders="0">
      <pane xSplit="1" ySplit="1" topLeftCell="B128" state="frozen" activePane="bottomRight"/>
      <selection pane="bottomRight" activeCell="B2" sqref="B2:M2"/>
    </sheetView>
  </sheetViews>
  <sheetFormatPr defaultRowHeight="12.75" defaultColWidth="0" zeroHeight="1"/>
  <cols>
    <col min="1" max="1" customWidth="1" width="9.140625" style="306"/>
    <col min="2" max="7" customWidth="1" width="10.285156" style="306"/>
    <col min="8" max="8" customWidth="1" width="10.855469" style="306"/>
    <col min="9" max="9" customWidth="1" width="9.140625" style="306"/>
    <col min="10" max="10" customWidth="1" width="13.7109375" style="306"/>
    <col min="11" max="11" customWidth="1" width="8.7109375" style="306"/>
    <col min="12" max="12" customWidth="1" width="9.140625" style="306"/>
    <col min="13" max="13" customWidth="1" width="14.0" style="306"/>
    <col min="14" max="14" customWidth="1" width="2.140625" style="1097"/>
    <col min="15" max="16" hidden="1" customWidth="1" width="8.285156" style="1097"/>
    <col min="17" max="17" hidden="1" customWidth="1" width="8.425781" style="1097"/>
    <col min="18" max="18" hidden="1" customWidth="1" width="12.140625" style="1097"/>
    <col min="19" max="19" hidden="1" customWidth="1" width="9.140625" style="1097"/>
    <col min="20" max="20" hidden="1" customWidth="1" width="8.285156" style="1097"/>
    <col min="21" max="23" hidden="1" customWidth="1" width="8.425781" style="1097"/>
    <col min="24" max="25" hidden="1" customWidth="1" width="8.285156" style="1097"/>
    <col min="26" max="26" customWidth="1" width="3.140625" style="1097"/>
    <col min="27" max="16384" hidden="1" customWidth="0" width="8.285156" style="1097"/>
  </cols>
  <sheetData>
    <row r="1" spans="8:8" ht="27.0" customHeight="1">
      <c r="B1" s="635" t="s">
        <v>487</v>
      </c>
      <c r="C1" s="636"/>
      <c r="D1" s="636"/>
      <c r="E1" s="636"/>
      <c r="F1" s="636"/>
      <c r="G1" s="636"/>
      <c r="H1" s="636"/>
      <c r="I1" s="636"/>
      <c r="J1" s="636"/>
      <c r="K1" s="636"/>
      <c r="L1" s="636"/>
      <c r="M1" s="636"/>
    </row>
    <row r="2" spans="8:8" ht="18.0">
      <c r="B2" s="1098" t="s">
        <v>288</v>
      </c>
      <c r="C2" s="1099"/>
      <c r="D2" s="1099"/>
      <c r="E2" s="1099"/>
      <c r="F2" s="1099"/>
      <c r="G2" s="1099"/>
      <c r="H2" s="1099"/>
      <c r="I2" s="1099"/>
      <c r="J2" s="1099"/>
      <c r="K2" s="1099"/>
      <c r="L2" s="1099"/>
      <c r="M2" s="1100"/>
      <c r="N2" s="1101"/>
    </row>
    <row r="3" spans="8:8" customHeight="1">
      <c r="B3" s="1102" t="s">
        <v>441</v>
      </c>
      <c r="C3" s="1103"/>
      <c r="D3" s="1103"/>
      <c r="E3" s="1103"/>
      <c r="F3" s="1103"/>
      <c r="G3" s="1103"/>
      <c r="H3" s="1103"/>
      <c r="I3" s="1103"/>
      <c r="J3" s="1103"/>
      <c r="K3" s="1103"/>
      <c r="L3" s="1103"/>
      <c r="M3" s="1104"/>
      <c r="N3" s="1101"/>
      <c r="Q3" s="1105">
        <f>YEAR('GA-55'!C8)</f>
        <v>2024.0</v>
      </c>
      <c r="R3" s="1105">
        <f>Q3+1</f>
        <v>2025.0</v>
      </c>
    </row>
    <row r="4" spans="8:8" customHeight="1">
      <c r="B4" s="1106" t="s">
        <v>290</v>
      </c>
      <c r="C4" s="1107"/>
      <c r="D4" s="1107"/>
      <c r="E4" s="1107"/>
      <c r="F4" s="1107"/>
      <c r="G4" s="1107"/>
      <c r="H4" s="1107"/>
      <c r="I4" s="1107"/>
      <c r="J4" s="1107"/>
      <c r="K4" s="1107"/>
      <c r="L4" s="1107"/>
      <c r="M4" s="1108"/>
      <c r="N4" s="1101"/>
      <c r="Q4" s="1109">
        <f>YEAR('GA-55'!C19)</f>
        <v>2025.0</v>
      </c>
      <c r="R4" s="1109">
        <f>Q4+1-2000</f>
        <v>26.0</v>
      </c>
    </row>
    <row r="5" spans="8:8" customHeight="1">
      <c r="B5" s="1106" t="s">
        <v>291</v>
      </c>
      <c r="C5" s="1107"/>
      <c r="D5" s="1107"/>
      <c r="E5" s="1107"/>
      <c r="F5" s="1107"/>
      <c r="G5" s="1107"/>
      <c r="H5" s="1107"/>
      <c r="I5" s="1107"/>
      <c r="J5" s="1107"/>
      <c r="K5" s="1107"/>
      <c r="L5" s="1107"/>
      <c r="M5" s="1108"/>
      <c r="N5" s="1101"/>
      <c r="Q5" s="1105" t="str">
        <f>CONCATENATE(R3,"-",R4)</f>
        <v>2025-26</v>
      </c>
      <c r="R5" s="1105"/>
    </row>
    <row r="6" spans="8:8">
      <c r="B6" s="1110" t="s">
        <v>292</v>
      </c>
      <c r="C6" s="1111"/>
      <c r="D6" s="1111"/>
      <c r="E6" s="1111"/>
      <c r="F6" s="1111"/>
      <c r="G6" s="1111"/>
      <c r="H6" s="1111"/>
      <c r="I6" s="1111"/>
      <c r="J6" s="1111"/>
      <c r="K6" s="1111"/>
      <c r="L6" s="1111"/>
      <c r="M6" s="1112"/>
      <c r="N6" s="1101"/>
    </row>
    <row r="7" spans="8:8">
      <c r="B7" s="1113" t="s">
        <v>293</v>
      </c>
      <c r="C7" s="1114"/>
      <c r="D7" s="1114"/>
      <c r="E7" s="1114"/>
      <c r="F7" s="1114"/>
      <c r="G7" s="1114"/>
      <c r="H7" s="1114"/>
      <c r="I7" s="1114"/>
      <c r="J7" s="1114"/>
      <c r="K7" s="1114"/>
      <c r="L7" s="1114"/>
      <c r="M7" s="1115"/>
      <c r="N7" s="1101"/>
    </row>
    <row r="8" spans="8:8" ht="13.5">
      <c r="B8" s="1116" t="str">
        <f>CONCATENATE("Calculation as per","  ",'[2]Old Regime Calc. Report'!W16)</f>
        <v>Calculation as per  </v>
      </c>
      <c r="C8" s="1117"/>
      <c r="D8" s="1117"/>
      <c r="E8" s="1117"/>
      <c r="F8" s="1117"/>
      <c r="G8" s="1117"/>
      <c r="H8" s="1117"/>
      <c r="I8" s="1117"/>
      <c r="J8" s="1118"/>
      <c r="K8" s="1118"/>
      <c r="L8" s="1118"/>
      <c r="M8" s="1119"/>
      <c r="N8" s="1101"/>
    </row>
    <row r="9" spans="8:8" ht="13.5">
      <c r="B9" s="1116"/>
      <c r="C9" s="1117"/>
      <c r="D9" s="1117"/>
      <c r="E9" s="1117"/>
      <c r="F9" s="1117"/>
      <c r="G9" s="1117"/>
      <c r="H9" s="1117"/>
      <c r="I9" s="1117"/>
      <c r="J9" s="1120" t="s">
        <v>294</v>
      </c>
      <c r="K9" s="1121"/>
      <c r="L9" s="1122"/>
      <c r="M9" s="1123" t="str">
        <f>IF('[2]Basic Data'!P10="A","Under 60 Yrs.",IF('[2]Basic Data'!P10="B","Between 60&amp;80 Yrs.","Above 80 Yrs."))</f>
        <v>Above 80 Yrs.</v>
      </c>
      <c r="N9" s="1101"/>
    </row>
    <row r="10" spans="8:8">
      <c r="B10" s="1124" t="s">
        <v>295</v>
      </c>
      <c r="C10" s="1125"/>
      <c r="D10" s="1125"/>
      <c r="E10" s="1125"/>
      <c r="F10" s="1125"/>
      <c r="G10" s="1125"/>
      <c r="H10" s="1126" t="s">
        <v>296</v>
      </c>
      <c r="I10" s="1126"/>
      <c r="J10" s="1127"/>
      <c r="K10" s="1127"/>
      <c r="L10" s="1127"/>
      <c r="M10" s="1128"/>
      <c r="N10" s="1101"/>
    </row>
    <row r="11" spans="8:8" ht="9.0" customHeight="1">
      <c r="B11" s="1129" t="str">
        <f>CONCATENATE('MASTER DATA SHEET'!C3," ","DDO CODE"," ",'MASTER DATA SHEET'!C8)</f>
        <v> PRINCIPAL,GOVT. SEN. SEC. SCHOOL DASANA KHURD (DEEDWANA-KUCHAMAN) DDO CODE 1234567</v>
      </c>
      <c r="C11" s="1130"/>
      <c r="D11" s="1130"/>
      <c r="E11" s="1130"/>
      <c r="F11" s="1130"/>
      <c r="G11" s="1131"/>
      <c r="H11" s="1132" t="str">
        <f>'MASTER DATA SHEET'!C4</f>
        <v>BHAGIRATH MAL</v>
      </c>
      <c r="I11" s="1133"/>
      <c r="J11" s="1133"/>
      <c r="K11" s="1133"/>
      <c r="L11" s="1133"/>
      <c r="M11" s="1134"/>
      <c r="N11" s="1101"/>
    </row>
    <row r="12" spans="8:8" ht="7.5" customHeight="1">
      <c r="B12" s="1135"/>
      <c r="C12" s="1136"/>
      <c r="D12" s="1136"/>
      <c r="E12" s="1136"/>
      <c r="F12" s="1136"/>
      <c r="G12" s="1137"/>
      <c r="H12" s="1138"/>
      <c r="I12" s="1139"/>
      <c r="J12" s="1139"/>
      <c r="K12" s="1139"/>
      <c r="L12" s="1139"/>
      <c r="M12" s="1140"/>
      <c r="N12" s="1101"/>
    </row>
    <row r="13" spans="8:8" ht="8.25" customHeight="1">
      <c r="B13" s="1135"/>
      <c r="C13" s="1136"/>
      <c r="D13" s="1136"/>
      <c r="E13" s="1136"/>
      <c r="F13" s="1136"/>
      <c r="G13" s="1137"/>
      <c r="H13" s="1138" t="str">
        <f>'MASTER DATA SHEET'!E4</f>
        <v>TEACHER L-1</v>
      </c>
      <c r="I13" s="1139"/>
      <c r="J13" s="1139"/>
      <c r="K13" s="1139"/>
      <c r="L13" s="1139"/>
      <c r="M13" s="1140"/>
      <c r="N13" s="1101"/>
    </row>
    <row r="14" spans="8:8" ht="9.0" customHeight="1">
      <c r="B14" s="1141"/>
      <c r="C14" s="1142"/>
      <c r="D14" s="1142"/>
      <c r="E14" s="1142"/>
      <c r="F14" s="1142"/>
      <c r="G14" s="1143"/>
      <c r="H14" s="1144"/>
      <c r="I14" s="1145"/>
      <c r="J14" s="1145"/>
      <c r="K14" s="1145"/>
      <c r="L14" s="1145"/>
      <c r="M14" s="1146"/>
      <c r="N14" s="1101"/>
    </row>
    <row r="15" spans="8:8">
      <c r="B15" s="1116" t="s">
        <v>297</v>
      </c>
      <c r="C15" s="1117"/>
      <c r="D15" s="1147"/>
      <c r="E15" s="1148" t="s">
        <v>298</v>
      </c>
      <c r="F15" s="1117"/>
      <c r="G15" s="1147"/>
      <c r="H15" s="1148" t="s">
        <v>299</v>
      </c>
      <c r="I15" s="1117"/>
      <c r="J15" s="1117"/>
      <c r="K15" s="1117"/>
      <c r="L15" s="1117"/>
      <c r="M15" s="1149"/>
      <c r="N15" s="1101"/>
      <c r="R15" s="1150">
        <f>I26</f>
        <v>84000.3</v>
      </c>
    </row>
    <row r="16" spans="8:8">
      <c r="B16" s="814"/>
      <c r="C16" s="815"/>
      <c r="D16" s="816"/>
      <c r="E16" s="1148" t="str">
        <f>'MASTER DATA SHEET'!C6</f>
        <v>AAAAAXXXXA</v>
      </c>
      <c r="F16" s="1117"/>
      <c r="G16" s="1147"/>
      <c r="H16" s="1148" t="str">
        <f>'MASTER DATA SHEET'!C6</f>
        <v>AAAAAXXXXA</v>
      </c>
      <c r="I16" s="1117"/>
      <c r="J16" s="1117"/>
      <c r="K16" s="1117"/>
      <c r="L16" s="1117"/>
      <c r="M16" s="1149"/>
      <c r="N16" s="1101"/>
      <c r="R16" s="1150">
        <f>C44</f>
        <v>0.0</v>
      </c>
    </row>
    <row r="17" spans="8:8">
      <c r="B17" s="1151" t="s">
        <v>300</v>
      </c>
      <c r="C17" s="1152"/>
      <c r="D17" s="1153"/>
      <c r="E17" s="820"/>
      <c r="F17" s="821"/>
      <c r="G17" s="822"/>
      <c r="H17" s="1117" t="s">
        <v>301</v>
      </c>
      <c r="I17" s="1117"/>
      <c r="J17" s="1117"/>
      <c r="K17" s="1148" t="s">
        <v>302</v>
      </c>
      <c r="L17" s="1154"/>
      <c r="M17" s="1155"/>
      <c r="N17" s="1101"/>
      <c r="R17" s="1150">
        <f>C55</f>
        <v>0.0</v>
      </c>
    </row>
    <row r="18" spans="8:8" customHeight="1">
      <c r="B18" s="1156" t="s">
        <v>303</v>
      </c>
      <c r="C18" s="1157"/>
      <c r="D18" s="1158"/>
      <c r="E18" s="828"/>
      <c r="F18" s="829"/>
      <c r="G18" s="830"/>
      <c r="H18" s="1148" t="s">
        <v>304</v>
      </c>
      <c r="I18" s="1147"/>
      <c r="J18" s="1159" t="s">
        <v>305</v>
      </c>
      <c r="K18" s="1160" t="str">
        <f>Q5</f>
        <v>2025-26</v>
      </c>
      <c r="L18" s="1161"/>
      <c r="M18" s="1162"/>
      <c r="N18" s="1101"/>
      <c r="R18" s="1150">
        <f>SUM(R15:R17)</f>
        <v>84000.3</v>
      </c>
    </row>
    <row r="19" spans="8:8" ht="14.25" customHeight="1">
      <c r="B19" s="1163" t="s">
        <v>306</v>
      </c>
      <c r="C19" s="1164"/>
      <c r="D19" s="1165"/>
      <c r="E19" s="838"/>
      <c r="F19" s="839"/>
      <c r="G19" s="840"/>
      <c r="H19" s="1166">
        <f>'GA-55'!C9</f>
        <v>45383.0</v>
      </c>
      <c r="I19" s="1167"/>
      <c r="J19" s="1168">
        <f>EOMONTH('GA-55'!C19,0)+31</f>
        <v>45747.0</v>
      </c>
      <c r="K19" s="1169"/>
      <c r="L19" s="1170"/>
      <c r="M19" s="1171"/>
      <c r="N19" s="1101"/>
    </row>
    <row r="20" spans="8:8">
      <c r="B20" s="1163" t="s">
        <v>307</v>
      </c>
      <c r="C20" s="1164"/>
      <c r="D20" s="1164"/>
      <c r="E20" s="1172"/>
      <c r="F20" s="1172"/>
      <c r="G20" s="1172"/>
      <c r="H20" s="1173"/>
      <c r="I20" s="1173"/>
      <c r="J20" s="1173"/>
      <c r="K20" s="1173"/>
      <c r="L20" s="1173"/>
      <c r="M20" s="1174"/>
      <c r="N20" s="1101"/>
    </row>
    <row r="21" spans="8:8" ht="24.0" customHeight="1">
      <c r="B21" s="1124" t="s">
        <v>308</v>
      </c>
      <c r="C21" s="1126"/>
      <c r="D21" s="1175" t="s">
        <v>309</v>
      </c>
      <c r="E21" s="1175"/>
      <c r="F21" s="1175"/>
      <c r="G21" s="1176" t="s">
        <v>310</v>
      </c>
      <c r="H21" s="1176"/>
      <c r="I21" s="1177" t="s">
        <v>311</v>
      </c>
      <c r="J21" s="1178"/>
      <c r="K21" s="1179"/>
      <c r="L21" s="1175" t="s">
        <v>312</v>
      </c>
      <c r="M21" s="1180"/>
      <c r="N21" s="1101"/>
    </row>
    <row r="22" spans="8:8" ht="15.0" customHeight="1">
      <c r="B22" s="1181" t="s">
        <v>313</v>
      </c>
      <c r="C22" s="1182"/>
      <c r="D22" s="858"/>
      <c r="E22" s="815"/>
      <c r="F22" s="816"/>
      <c r="G22" s="859"/>
      <c r="H22" s="860"/>
      <c r="I22" s="1183">
        <f>R22</f>
        <v>21000.0</v>
      </c>
      <c r="J22" s="1184"/>
      <c r="K22" s="1185"/>
      <c r="L22" s="1186">
        <f>I22</f>
        <v>21000.0</v>
      </c>
      <c r="M22" s="1187"/>
      <c r="N22" s="1101"/>
      <c r="Q22" s="1097">
        <v>1.0</v>
      </c>
      <c r="R22" s="1188">
        <f>SUM('GA-55'!V8:V10)</f>
        <v>21000.0</v>
      </c>
    </row>
    <row r="23" spans="8:8" ht="15.0" customHeight="1">
      <c r="B23" s="1181" t="s">
        <v>314</v>
      </c>
      <c r="C23" s="1182"/>
      <c r="D23" s="858"/>
      <c r="E23" s="815"/>
      <c r="F23" s="816"/>
      <c r="G23" s="859"/>
      <c r="H23" s="860"/>
      <c r="I23" s="1183">
        <f>R23</f>
        <v>21000.0</v>
      </c>
      <c r="J23" s="1184"/>
      <c r="K23" s="1185"/>
      <c r="L23" s="1186">
        <f>I23</f>
        <v>21000.0</v>
      </c>
      <c r="M23" s="1187"/>
      <c r="N23" s="1101"/>
      <c r="Q23" s="1097">
        <v>2.0</v>
      </c>
      <c r="R23" s="1188">
        <f>SUM('GA-55'!V11:V13)</f>
        <v>21000.0</v>
      </c>
    </row>
    <row r="24" spans="8:8" ht="15.0" customHeight="1">
      <c r="B24" s="1181" t="s">
        <v>315</v>
      </c>
      <c r="C24" s="1182"/>
      <c r="D24" s="858"/>
      <c r="E24" s="815"/>
      <c r="F24" s="816"/>
      <c r="G24" s="859"/>
      <c r="H24" s="860"/>
      <c r="I24" s="1183">
        <f>R24</f>
        <v>21000.0</v>
      </c>
      <c r="J24" s="1184"/>
      <c r="K24" s="1185"/>
      <c r="L24" s="1186">
        <f>I24</f>
        <v>21000.0</v>
      </c>
      <c r="M24" s="1189"/>
      <c r="N24" s="1101"/>
      <c r="Q24" s="1097">
        <v>3.0</v>
      </c>
      <c r="R24" s="1188">
        <f>SUM('GA-55'!V14:V16)</f>
        <v>21000.0</v>
      </c>
    </row>
    <row r="25" spans="8:8" ht="15.0" customHeight="1">
      <c r="B25" s="1181" t="s">
        <v>316</v>
      </c>
      <c r="C25" s="1182"/>
      <c r="D25" s="858"/>
      <c r="E25" s="815"/>
      <c r="F25" s="816"/>
      <c r="G25" s="859"/>
      <c r="H25" s="860"/>
      <c r="I25" s="1183">
        <f>R25</f>
        <v>21000.3</v>
      </c>
      <c r="J25" s="1184"/>
      <c r="K25" s="1185"/>
      <c r="L25" s="1186">
        <f>I25</f>
        <v>21000.3</v>
      </c>
      <c r="M25" s="1189"/>
      <c r="N25" s="1101"/>
      <c r="Q25" s="1097">
        <v>4.0</v>
      </c>
      <c r="R25" s="1188">
        <f>SUM('GA-55'!V17:V19)+'TAX (OLD REGIME)'!O55</f>
        <v>21000.3</v>
      </c>
    </row>
    <row r="26" spans="8:8" ht="15.0" customHeight="1">
      <c r="B26" s="1116" t="s">
        <v>317</v>
      </c>
      <c r="C26" s="1147"/>
      <c r="D26" s="1148"/>
      <c r="E26" s="1117"/>
      <c r="F26" s="1147"/>
      <c r="G26" s="1190"/>
      <c r="H26" s="1191"/>
      <c r="I26" s="1148">
        <f>SUM(I22:K25)</f>
        <v>84000.3</v>
      </c>
      <c r="J26" s="1117"/>
      <c r="K26" s="1147"/>
      <c r="L26" s="1190">
        <f>SUM(L22:M25)</f>
        <v>84000.3</v>
      </c>
      <c r="M26" s="1192"/>
      <c r="N26" s="1101"/>
    </row>
    <row r="27" spans="8:8" ht="15.75" customHeight="1">
      <c r="B27" s="1193" t="s">
        <v>318</v>
      </c>
      <c r="C27" s="1194"/>
      <c r="D27" s="1194"/>
      <c r="E27" s="1194"/>
      <c r="F27" s="1195"/>
      <c r="G27" s="1195"/>
      <c r="H27" s="1195"/>
      <c r="I27" s="1195"/>
      <c r="J27" s="1195"/>
      <c r="K27" s="1195"/>
      <c r="L27" s="1195"/>
      <c r="M27" s="1196"/>
      <c r="N27" s="1101"/>
    </row>
    <row r="28" spans="8:8" customHeight="1">
      <c r="B28" s="1197" t="s">
        <v>319</v>
      </c>
      <c r="C28" s="1198" t="s">
        <v>320</v>
      </c>
      <c r="D28" s="1198"/>
      <c r="E28" s="1199"/>
      <c r="F28" s="1200" t="s">
        <v>321</v>
      </c>
      <c r="G28" s="1201"/>
      <c r="H28" s="1201"/>
      <c r="I28" s="1201"/>
      <c r="J28" s="1202"/>
      <c r="K28" s="1202"/>
      <c r="L28" s="1201"/>
      <c r="M28" s="1203"/>
      <c r="N28" s="1101"/>
    </row>
    <row r="29" spans="8:8">
      <c r="B29" s="1204"/>
      <c r="C29" s="1205" t="s">
        <v>322</v>
      </c>
      <c r="D29" s="1205"/>
      <c r="E29" s="1205"/>
      <c r="F29" s="1206" t="s">
        <v>323</v>
      </c>
      <c r="G29" s="1207"/>
      <c r="H29" s="1206" t="s">
        <v>324</v>
      </c>
      <c r="I29" s="1208"/>
      <c r="J29" s="1206" t="s">
        <v>325</v>
      </c>
      <c r="K29" s="1208"/>
      <c r="L29" s="1209" t="s">
        <v>326</v>
      </c>
      <c r="M29" s="1210"/>
      <c r="N29" s="1101"/>
    </row>
    <row r="30" spans="8:8">
      <c r="B30" s="1204"/>
      <c r="C30" s="1211"/>
      <c r="D30" s="1211" t="s">
        <v>327</v>
      </c>
      <c r="E30" s="1211"/>
      <c r="F30" s="1212" t="s">
        <v>328</v>
      </c>
      <c r="G30" s="1213"/>
      <c r="H30" s="1212" t="s">
        <v>328</v>
      </c>
      <c r="I30" s="1213"/>
      <c r="J30" s="1212" t="s">
        <v>328</v>
      </c>
      <c r="K30" s="1213"/>
      <c r="L30" s="1214" t="s">
        <v>329</v>
      </c>
      <c r="M30" s="1215"/>
      <c r="N30" s="1101"/>
    </row>
    <row r="31" spans="8:8">
      <c r="B31" s="1216"/>
      <c r="C31" s="1217"/>
      <c r="D31" s="1217"/>
      <c r="E31" s="1217"/>
      <c r="F31" s="1218"/>
      <c r="G31" s="1219"/>
      <c r="H31" s="1220"/>
      <c r="I31" s="1221"/>
      <c r="J31" s="1220" t="s">
        <v>330</v>
      </c>
      <c r="K31" s="1221"/>
      <c r="L31" s="1222"/>
      <c r="M31" s="1223"/>
      <c r="N31" s="1101"/>
    </row>
    <row r="32" spans="8:8" ht="15.0" customHeight="1">
      <c r="B32" s="1224">
        <v>1.0</v>
      </c>
      <c r="C32" s="858"/>
      <c r="D32" s="815"/>
      <c r="E32" s="816"/>
      <c r="F32" s="859"/>
      <c r="G32" s="860"/>
      <c r="H32" s="858"/>
      <c r="I32" s="816"/>
      <c r="J32" s="900"/>
      <c r="K32" s="900"/>
      <c r="L32" s="858"/>
      <c r="M32" s="901"/>
      <c r="N32" s="1101"/>
    </row>
    <row r="33" spans="8:8" ht="15.0" customHeight="1">
      <c r="B33" s="1225">
        <v>2.0</v>
      </c>
      <c r="C33" s="858"/>
      <c r="D33" s="815"/>
      <c r="E33" s="816"/>
      <c r="F33" s="859"/>
      <c r="G33" s="860"/>
      <c r="H33" s="858"/>
      <c r="I33" s="816"/>
      <c r="J33" s="900"/>
      <c r="K33" s="900"/>
      <c r="L33" s="858"/>
      <c r="M33" s="901"/>
      <c r="N33" s="1101"/>
    </row>
    <row r="34" spans="8:8" ht="15.0" customHeight="1">
      <c r="B34" s="1225">
        <v>3.0</v>
      </c>
      <c r="C34" s="858"/>
      <c r="D34" s="815"/>
      <c r="E34" s="816"/>
      <c r="F34" s="859"/>
      <c r="G34" s="860"/>
      <c r="H34" s="858"/>
      <c r="I34" s="816"/>
      <c r="J34" s="900"/>
      <c r="K34" s="900"/>
      <c r="L34" s="858"/>
      <c r="M34" s="901"/>
      <c r="N34" s="1101"/>
    </row>
    <row r="35" spans="8:8" ht="15.0" customHeight="1">
      <c r="B35" s="1225">
        <v>4.0</v>
      </c>
      <c r="C35" s="858"/>
      <c r="D35" s="815"/>
      <c r="E35" s="816"/>
      <c r="F35" s="859"/>
      <c r="G35" s="860"/>
      <c r="H35" s="858"/>
      <c r="I35" s="816"/>
      <c r="J35" s="900"/>
      <c r="K35" s="900"/>
      <c r="L35" s="858"/>
      <c r="M35" s="901"/>
      <c r="N35" s="1101"/>
    </row>
    <row r="36" spans="8:8" ht="15.0" customHeight="1">
      <c r="B36" s="1225">
        <v>5.0</v>
      </c>
      <c r="C36" s="858"/>
      <c r="D36" s="815"/>
      <c r="E36" s="816"/>
      <c r="F36" s="859"/>
      <c r="G36" s="860"/>
      <c r="H36" s="858"/>
      <c r="I36" s="816"/>
      <c r="J36" s="900"/>
      <c r="K36" s="900"/>
      <c r="L36" s="858"/>
      <c r="M36" s="901"/>
      <c r="N36" s="1101"/>
    </row>
    <row r="37" spans="8:8" ht="15.0" customHeight="1">
      <c r="B37" s="1225">
        <v>6.0</v>
      </c>
      <c r="C37" s="858"/>
      <c r="D37" s="815"/>
      <c r="E37" s="816"/>
      <c r="F37" s="859"/>
      <c r="G37" s="860"/>
      <c r="H37" s="858"/>
      <c r="I37" s="816"/>
      <c r="J37" s="900"/>
      <c r="K37" s="900"/>
      <c r="L37" s="858"/>
      <c r="M37" s="901"/>
      <c r="N37" s="1101"/>
    </row>
    <row r="38" spans="8:8" ht="15.0" customHeight="1">
      <c r="B38" s="1225">
        <v>7.0</v>
      </c>
      <c r="C38" s="858"/>
      <c r="D38" s="815"/>
      <c r="E38" s="816"/>
      <c r="F38" s="859"/>
      <c r="G38" s="860"/>
      <c r="H38" s="858"/>
      <c r="I38" s="816"/>
      <c r="J38" s="900"/>
      <c r="K38" s="900"/>
      <c r="L38" s="858"/>
      <c r="M38" s="901"/>
      <c r="N38" s="1101"/>
    </row>
    <row r="39" spans="8:8" ht="15.0" customHeight="1">
      <c r="B39" s="1225">
        <v>8.0</v>
      </c>
      <c r="C39" s="858"/>
      <c r="D39" s="815"/>
      <c r="E39" s="816"/>
      <c r="F39" s="859"/>
      <c r="G39" s="860"/>
      <c r="H39" s="858"/>
      <c r="I39" s="816"/>
      <c r="J39" s="900"/>
      <c r="K39" s="900"/>
      <c r="L39" s="858"/>
      <c r="M39" s="901"/>
      <c r="N39" s="1101"/>
    </row>
    <row r="40" spans="8:8" ht="15.0" customHeight="1">
      <c r="B40" s="1225">
        <v>9.0</v>
      </c>
      <c r="C40" s="858"/>
      <c r="D40" s="815"/>
      <c r="E40" s="816"/>
      <c r="F40" s="859"/>
      <c r="G40" s="860"/>
      <c r="H40" s="858"/>
      <c r="I40" s="816"/>
      <c r="J40" s="900"/>
      <c r="K40" s="900"/>
      <c r="L40" s="858"/>
      <c r="M40" s="901"/>
      <c r="N40" s="1101"/>
    </row>
    <row r="41" spans="8:8" ht="15.0" customHeight="1">
      <c r="B41" s="1225">
        <v>10.0</v>
      </c>
      <c r="C41" s="858"/>
      <c r="D41" s="815"/>
      <c r="E41" s="816"/>
      <c r="F41" s="859"/>
      <c r="G41" s="860"/>
      <c r="H41" s="858"/>
      <c r="I41" s="816"/>
      <c r="J41" s="900"/>
      <c r="K41" s="900"/>
      <c r="L41" s="858"/>
      <c r="M41" s="901"/>
      <c r="N41" s="1101"/>
    </row>
    <row r="42" spans="8:8" ht="15.0" customHeight="1">
      <c r="B42" s="1225">
        <v>11.0</v>
      </c>
      <c r="C42" s="858"/>
      <c r="D42" s="815"/>
      <c r="E42" s="816"/>
      <c r="F42" s="859"/>
      <c r="G42" s="860"/>
      <c r="H42" s="858"/>
      <c r="I42" s="816"/>
      <c r="J42" s="900"/>
      <c r="K42" s="900"/>
      <c r="L42" s="858"/>
      <c r="M42" s="901"/>
      <c r="N42" s="1101"/>
    </row>
    <row r="43" spans="8:8" ht="15.0" customHeight="1">
      <c r="B43" s="1225">
        <v>12.0</v>
      </c>
      <c r="C43" s="858"/>
      <c r="D43" s="815"/>
      <c r="E43" s="816"/>
      <c r="F43" s="859"/>
      <c r="G43" s="860"/>
      <c r="H43" s="858"/>
      <c r="I43" s="816"/>
      <c r="J43" s="900"/>
      <c r="K43" s="900"/>
      <c r="L43" s="858"/>
      <c r="M43" s="901"/>
      <c r="N43" s="1101"/>
    </row>
    <row r="44" spans="8:8" ht="15.0" customHeight="1">
      <c r="B44" s="1216" t="s">
        <v>331</v>
      </c>
      <c r="C44" s="1226">
        <f>SUM(C32:E43)</f>
        <v>0.0</v>
      </c>
      <c r="D44" s="1227"/>
      <c r="E44" s="1182"/>
      <c r="F44" s="1186"/>
      <c r="G44" s="1228"/>
      <c r="H44" s="1226"/>
      <c r="I44" s="1182"/>
      <c r="J44" s="1229"/>
      <c r="K44" s="1229"/>
      <c r="L44" s="1226"/>
      <c r="M44" s="1230"/>
      <c r="N44" s="1101"/>
    </row>
    <row r="45" spans="8:8" ht="2.25" customHeight="1">
      <c r="B45" s="1163"/>
      <c r="C45" s="1231"/>
      <c r="D45" s="1231"/>
      <c r="E45" s="1231"/>
      <c r="F45" s="1232"/>
      <c r="G45" s="1232"/>
      <c r="H45" s="1231"/>
      <c r="I45" s="1231"/>
      <c r="J45" s="1173"/>
      <c r="K45" s="1173"/>
      <c r="L45" s="1173"/>
      <c r="M45" s="1223"/>
      <c r="N45" s="1101"/>
    </row>
    <row r="46" spans="8:8" ht="15.0" customHeight="1">
      <c r="B46" s="1193" t="s">
        <v>332</v>
      </c>
      <c r="C46" s="1194"/>
      <c r="D46" s="1194"/>
      <c r="E46" s="1194"/>
      <c r="F46" s="1195"/>
      <c r="G46" s="1195"/>
      <c r="H46" s="1195"/>
      <c r="I46" s="1195"/>
      <c r="J46" s="1195"/>
      <c r="K46" s="1195"/>
      <c r="L46" s="1195"/>
      <c r="M46" s="1196"/>
      <c r="N46" s="1101"/>
    </row>
    <row r="47" spans="8:8" ht="10.5" customHeight="1">
      <c r="B47" s="1197" t="s">
        <v>319</v>
      </c>
      <c r="C47" s="1198" t="s">
        <v>320</v>
      </c>
      <c r="D47" s="1198"/>
      <c r="E47" s="1199"/>
      <c r="F47" s="1200" t="s">
        <v>333</v>
      </c>
      <c r="G47" s="1201"/>
      <c r="H47" s="1201"/>
      <c r="I47" s="1201"/>
      <c r="J47" s="1202"/>
      <c r="K47" s="1202"/>
      <c r="L47" s="1201"/>
      <c r="M47" s="1203"/>
      <c r="N47" s="1101"/>
    </row>
    <row r="48" spans="8:8" ht="15.0" customHeight="1">
      <c r="B48" s="1204"/>
      <c r="C48" s="1205" t="s">
        <v>322</v>
      </c>
      <c r="D48" s="1205"/>
      <c r="E48" s="1205"/>
      <c r="F48" s="1206" t="s">
        <v>334</v>
      </c>
      <c r="G48" s="1207"/>
      <c r="H48" s="1206" t="s">
        <v>335</v>
      </c>
      <c r="I48" s="1208"/>
      <c r="J48" s="1206" t="s">
        <v>336</v>
      </c>
      <c r="K48" s="1208"/>
      <c r="L48" s="1209" t="s">
        <v>326</v>
      </c>
      <c r="M48" s="1210"/>
      <c r="N48" s="1101"/>
    </row>
    <row r="49" spans="8:8" ht="15.0" customHeight="1">
      <c r="B49" s="1204"/>
      <c r="C49" s="1211"/>
      <c r="D49" s="1211" t="s">
        <v>327</v>
      </c>
      <c r="E49" s="1211"/>
      <c r="F49" s="1212" t="s">
        <v>337</v>
      </c>
      <c r="G49" s="1233"/>
      <c r="H49" s="1212" t="s">
        <v>39</v>
      </c>
      <c r="I49" s="1213"/>
      <c r="J49" s="1212" t="s">
        <v>338</v>
      </c>
      <c r="K49" s="1213"/>
      <c r="L49" s="1214" t="s">
        <v>329</v>
      </c>
      <c r="M49" s="1215"/>
      <c r="N49" s="1101"/>
    </row>
    <row r="50" spans="8:8" ht="15.0" customHeight="1">
      <c r="B50" s="1216"/>
      <c r="C50" s="1217"/>
      <c r="D50" s="1217"/>
      <c r="E50" s="1217"/>
      <c r="F50" s="1218"/>
      <c r="G50" s="1219"/>
      <c r="H50" s="1220" t="s">
        <v>330</v>
      </c>
      <c r="I50" s="1221"/>
      <c r="J50" s="1234"/>
      <c r="K50" s="1235"/>
      <c r="L50" s="1222"/>
      <c r="M50" s="1223"/>
      <c r="N50" s="1101"/>
    </row>
    <row r="51" spans="8:8" ht="15.75" customHeight="1">
      <c r="B51" s="1224">
        <v>1.0</v>
      </c>
      <c r="C51" s="1226">
        <f>'OTHER DEDUCTION'!F40</f>
        <v>0.0</v>
      </c>
      <c r="D51" s="1227"/>
      <c r="E51" s="1182"/>
      <c r="F51" s="1236">
        <f>'OTHER DEDUCTION'!E40</f>
        <v>0.0</v>
      </c>
      <c r="G51" s="1237"/>
      <c r="H51" s="1238">
        <f>'OTHER DEDUCTION'!C40</f>
        <v>0.0</v>
      </c>
      <c r="I51" s="1239"/>
      <c r="J51" s="1240">
        <f>'OTHER DEDUCTION'!D40</f>
        <v>0.0</v>
      </c>
      <c r="K51" s="1229"/>
      <c r="L51" s="1226">
        <f>IF(C51&gt;0,"Matched",0)</f>
        <v>0.0</v>
      </c>
      <c r="M51" s="1230"/>
      <c r="N51" s="1101"/>
    </row>
    <row r="52" spans="8:8" ht="15.75" customHeight="1">
      <c r="B52" s="1225">
        <v>2.0</v>
      </c>
      <c r="C52" s="1226">
        <f>'OTHER DEDUCTION'!F41</f>
        <v>0.0</v>
      </c>
      <c r="D52" s="1227"/>
      <c r="E52" s="1182"/>
      <c r="F52" s="1236">
        <f>'OTHER DEDUCTION'!E41</f>
        <v>0.0</v>
      </c>
      <c r="G52" s="1237"/>
      <c r="H52" s="1238">
        <f>'OTHER DEDUCTION'!C41</f>
        <v>0.0</v>
      </c>
      <c r="I52" s="1239"/>
      <c r="J52" s="1240">
        <f>'OTHER DEDUCTION'!D41</f>
        <v>0.0</v>
      </c>
      <c r="K52" s="1229"/>
      <c r="L52" s="1226">
        <f>IF(C52&gt;0,"Matched",0)</f>
        <v>0.0</v>
      </c>
      <c r="M52" s="1230"/>
      <c r="N52" s="1101"/>
    </row>
    <row r="53" spans="8:8" ht="15.75" customHeight="1">
      <c r="B53" s="1225">
        <v>3.0</v>
      </c>
      <c r="C53" s="1226">
        <f>'OTHER DEDUCTION'!F42</f>
        <v>0.0</v>
      </c>
      <c r="D53" s="1227"/>
      <c r="E53" s="1182"/>
      <c r="F53" s="1236">
        <f>'OTHER DEDUCTION'!E42</f>
        <v>0.0</v>
      </c>
      <c r="G53" s="1237"/>
      <c r="H53" s="1238">
        <f>'OTHER DEDUCTION'!C42</f>
        <v>0.0</v>
      </c>
      <c r="I53" s="1239"/>
      <c r="J53" s="1240">
        <f>'OTHER DEDUCTION'!D42</f>
        <v>0.0</v>
      </c>
      <c r="K53" s="1229"/>
      <c r="L53" s="1226">
        <f>IF(C53&gt;0,"Matched",0)</f>
        <v>0.0</v>
      </c>
      <c r="M53" s="1230"/>
      <c r="N53" s="1101"/>
    </row>
    <row r="54" spans="8:8" ht="15.75" customHeight="1">
      <c r="B54" s="1225">
        <v>4.0</v>
      </c>
      <c r="C54" s="1226">
        <f>'OTHER DEDUCTION'!F43</f>
        <v>0.0</v>
      </c>
      <c r="D54" s="1227"/>
      <c r="E54" s="1182"/>
      <c r="F54" s="1236">
        <f>'OTHER DEDUCTION'!E43</f>
        <v>0.0</v>
      </c>
      <c r="G54" s="1237"/>
      <c r="H54" s="1238">
        <f>'OTHER DEDUCTION'!C43</f>
        <v>0.0</v>
      </c>
      <c r="I54" s="1239"/>
      <c r="J54" s="1240">
        <f>'OTHER DEDUCTION'!D43</f>
        <v>0.0</v>
      </c>
      <c r="K54" s="1229"/>
      <c r="L54" s="1226">
        <f>IF(C54&gt;0,"Matched",0)</f>
        <v>0.0</v>
      </c>
      <c r="M54" s="1230"/>
      <c r="N54" s="1101"/>
    </row>
    <row r="55" spans="8:8" ht="15.75" customHeight="1">
      <c r="B55" s="1241" t="s">
        <v>331</v>
      </c>
      <c r="C55" s="1148">
        <f>SUM(C51:E54)</f>
        <v>0.0</v>
      </c>
      <c r="D55" s="1117"/>
      <c r="E55" s="1147"/>
      <c r="F55" s="1236"/>
      <c r="G55" s="1237"/>
      <c r="H55" s="1226"/>
      <c r="I55" s="1227"/>
      <c r="J55" s="1227"/>
      <c r="K55" s="1227"/>
      <c r="L55" s="1227"/>
      <c r="M55" s="1230"/>
      <c r="N55" s="1101"/>
    </row>
    <row r="56" spans="8:8" ht="15.0" customHeight="1">
      <c r="B56" s="1242" t="s">
        <v>339</v>
      </c>
      <c r="C56" s="1243"/>
      <c r="D56" s="1243"/>
      <c r="E56" s="1243"/>
      <c r="F56" s="1243"/>
      <c r="G56" s="1243"/>
      <c r="H56" s="1243"/>
      <c r="I56" s="1243"/>
      <c r="J56" s="1243"/>
      <c r="K56" s="1243"/>
      <c r="L56" s="1243"/>
      <c r="M56" s="1244"/>
      <c r="N56" s="1101"/>
    </row>
    <row r="57" spans="8:8" ht="16.5" customHeight="1">
      <c r="B57" s="1245" t="s">
        <v>340</v>
      </c>
      <c r="C57" s="1246" t="str">
        <f>'MASTER DATA SHEET'!E8</f>
        <v>ABCD</v>
      </c>
      <c r="D57" s="1246"/>
      <c r="E57" s="1246"/>
      <c r="F57" s="1152" t="s">
        <v>341</v>
      </c>
      <c r="G57" s="1247"/>
      <c r="H57" s="925"/>
      <c r="I57" s="926"/>
      <c r="J57" s="926"/>
      <c r="K57" s="1152" t="s">
        <v>342</v>
      </c>
      <c r="L57" s="1247"/>
      <c r="M57" s="1248"/>
      <c r="N57" s="1101"/>
    </row>
    <row r="58" spans="8:8" ht="16.5" customHeight="1">
      <c r="B58" s="928" t="s">
        <v>442</v>
      </c>
      <c r="C58" s="929"/>
      <c r="D58" s="929"/>
      <c r="E58" s="1157" t="s">
        <v>343</v>
      </c>
      <c r="F58" s="1157"/>
      <c r="G58" s="1249"/>
      <c r="H58" s="1249"/>
      <c r="I58" s="1249"/>
      <c r="J58" s="1250">
        <f>'TAX (OLD REGIME)'!P64</f>
        <v>99000.0</v>
      </c>
      <c r="K58" s="1251" t="s">
        <v>344</v>
      </c>
      <c r="L58" s="1249"/>
      <c r="M58" s="933"/>
      <c r="N58" s="1101"/>
    </row>
    <row r="59" spans="8:8" ht="16.5" customHeight="1">
      <c r="B59" s="934"/>
      <c r="C59" s="935"/>
      <c r="D59" s="935"/>
      <c r="E59" s="935"/>
      <c r="F59" s="935"/>
      <c r="G59" s="1252" t="s">
        <v>345</v>
      </c>
      <c r="H59" s="1253"/>
      <c r="I59" s="1253"/>
      <c r="J59" s="1253"/>
      <c r="K59" s="1253"/>
      <c r="L59" s="1253"/>
      <c r="M59" s="1254"/>
      <c r="N59" s="1101"/>
    </row>
    <row r="60" spans="8:8" ht="16.5" customHeight="1">
      <c r="B60" s="1255" t="s">
        <v>346</v>
      </c>
      <c r="C60" s="1256"/>
      <c r="D60" s="1256"/>
      <c r="E60" s="1256"/>
      <c r="F60" s="1256"/>
      <c r="G60" s="1256"/>
      <c r="H60" s="1256"/>
      <c r="I60" s="1256"/>
      <c r="J60" s="1256"/>
      <c r="K60" s="1256"/>
      <c r="L60" s="1256"/>
      <c r="M60" s="1257"/>
      <c r="N60" s="1101"/>
    </row>
    <row r="61" spans="8:8" ht="16.5" customHeight="1">
      <c r="B61" s="1258"/>
      <c r="C61" s="1259"/>
      <c r="D61" s="1259"/>
      <c r="E61" s="1259"/>
      <c r="F61" s="1259"/>
      <c r="G61" s="1259"/>
      <c r="H61" s="1259"/>
      <c r="I61" s="1259"/>
      <c r="J61" s="1259"/>
      <c r="K61" s="1259"/>
      <c r="L61" s="1259"/>
      <c r="M61" s="1260"/>
      <c r="N61" s="1101"/>
    </row>
    <row r="62" spans="8:8" ht="15.0" customHeight="1">
      <c r="B62" s="1261" t="s">
        <v>347</v>
      </c>
      <c r="C62" s="1262"/>
      <c r="D62" s="1263"/>
      <c r="E62" s="1263"/>
      <c r="F62" s="1263"/>
      <c r="G62" s="1263"/>
      <c r="H62" s="1263"/>
      <c r="I62" s="1263"/>
      <c r="J62" s="1263"/>
      <c r="K62" s="1263"/>
      <c r="L62" s="1263"/>
      <c r="M62" s="1264"/>
      <c r="N62" s="1101"/>
    </row>
    <row r="63" spans="8:8" ht="15.0" customHeight="1">
      <c r="B63" s="1265" t="s">
        <v>348</v>
      </c>
      <c r="C63" s="1266"/>
      <c r="D63" s="1266"/>
      <c r="E63" s="1266"/>
      <c r="F63" s="1266"/>
      <c r="G63" s="1266"/>
      <c r="H63" s="1266"/>
      <c r="I63" s="1266"/>
      <c r="J63" s="1266"/>
      <c r="K63" s="1266"/>
      <c r="L63" s="1266"/>
      <c r="M63" s="1267"/>
      <c r="N63" s="1101"/>
    </row>
    <row r="64" spans="8:8" ht="15.0" customHeight="1">
      <c r="B64" s="1265" t="s">
        <v>349</v>
      </c>
      <c r="C64" s="1266"/>
      <c r="D64" s="1266"/>
      <c r="E64" s="1266"/>
      <c r="F64" s="1266"/>
      <c r="G64" s="1266"/>
      <c r="H64" s="1266"/>
      <c r="I64" s="1266"/>
      <c r="J64" s="1266"/>
      <c r="K64" s="1266"/>
      <c r="L64" s="1266"/>
      <c r="M64" s="1267"/>
      <c r="N64" s="1101"/>
    </row>
    <row r="65" spans="8:8" ht="15.0" customHeight="1">
      <c r="B65" s="1265" t="s">
        <v>350</v>
      </c>
      <c r="C65" s="1266"/>
      <c r="D65" s="1266"/>
      <c r="E65" s="1266"/>
      <c r="F65" s="1266"/>
      <c r="G65" s="1266"/>
      <c r="H65" s="1266"/>
      <c r="I65" s="1266"/>
      <c r="J65" s="1266"/>
      <c r="K65" s="1266"/>
      <c r="L65" s="1266"/>
      <c r="M65" s="1267"/>
      <c r="N65" s="1101"/>
    </row>
    <row r="66" spans="8:8" ht="15.0" customHeight="1">
      <c r="B66" s="1265" t="s">
        <v>351</v>
      </c>
      <c r="C66" s="1266"/>
      <c r="D66" s="1266"/>
      <c r="E66" s="1266"/>
      <c r="F66" s="1266"/>
      <c r="G66" s="1266"/>
      <c r="H66" s="1266"/>
      <c r="I66" s="1266"/>
      <c r="J66" s="1266"/>
      <c r="K66" s="1266"/>
      <c r="L66" s="1266"/>
      <c r="M66" s="1267"/>
      <c r="N66" s="1101"/>
    </row>
    <row r="67" spans="8:8" ht="15.0" customHeight="1">
      <c r="B67" s="1265" t="s">
        <v>352</v>
      </c>
      <c r="C67" s="1266"/>
      <c r="D67" s="1266"/>
      <c r="E67" s="1266"/>
      <c r="F67" s="1266"/>
      <c r="G67" s="1266"/>
      <c r="H67" s="1266"/>
      <c r="I67" s="1268"/>
      <c r="J67" s="1268"/>
      <c r="K67" s="1268"/>
      <c r="L67" s="1268"/>
      <c r="M67" s="1269"/>
      <c r="N67" s="1101"/>
    </row>
    <row r="68" spans="8:8" ht="15.0" customHeight="1">
      <c r="B68" s="1265" t="s">
        <v>353</v>
      </c>
      <c r="C68" s="1266"/>
      <c r="D68" s="1266"/>
      <c r="E68" s="1266"/>
      <c r="F68" s="1266"/>
      <c r="G68" s="1266"/>
      <c r="H68" s="1266"/>
      <c r="I68" s="1266"/>
      <c r="J68" s="1266"/>
      <c r="K68" s="1266"/>
      <c r="L68" s="1266"/>
      <c r="M68" s="1267"/>
      <c r="N68" s="1101"/>
    </row>
    <row r="69" spans="8:8" ht="15.0" customHeight="1">
      <c r="B69" s="1265" t="s">
        <v>354</v>
      </c>
      <c r="C69" s="1266"/>
      <c r="D69" s="1266"/>
      <c r="E69" s="1266"/>
      <c r="F69" s="1266"/>
      <c r="G69" s="1266"/>
      <c r="H69" s="1266"/>
      <c r="I69" s="1266"/>
      <c r="J69" s="1266"/>
      <c r="K69" s="1266"/>
      <c r="L69" s="1266"/>
      <c r="M69" s="1267"/>
      <c r="N69" s="1101"/>
    </row>
    <row r="70" spans="8:8" ht="15.0" customHeight="1">
      <c r="B70" s="1265" t="s">
        <v>355</v>
      </c>
      <c r="C70" s="1266"/>
      <c r="D70" s="1266"/>
      <c r="E70" s="1266"/>
      <c r="F70" s="1266"/>
      <c r="G70" s="1266"/>
      <c r="H70" s="1266"/>
      <c r="I70" s="1266"/>
      <c r="J70" s="1266"/>
      <c r="K70" s="1266"/>
      <c r="L70" s="1266"/>
      <c r="M70" s="1267"/>
      <c r="N70" s="1101"/>
    </row>
    <row r="71" spans="8:8" ht="15.0" customHeight="1">
      <c r="B71" s="1265" t="s">
        <v>356</v>
      </c>
      <c r="C71" s="1266"/>
      <c r="D71" s="1266"/>
      <c r="E71" s="1266"/>
      <c r="F71" s="1266"/>
      <c r="G71" s="1266"/>
      <c r="H71" s="1266"/>
      <c r="I71" s="1266"/>
      <c r="J71" s="1266"/>
      <c r="K71" s="1266"/>
      <c r="L71" s="1266"/>
      <c r="M71" s="1267"/>
      <c r="N71" s="1101"/>
    </row>
    <row r="72" spans="8:8" ht="15.0" customHeight="1">
      <c r="B72" s="1255" t="s">
        <v>357</v>
      </c>
      <c r="C72" s="1256"/>
      <c r="D72" s="1256"/>
      <c r="E72" s="1256"/>
      <c r="F72" s="1256"/>
      <c r="G72" s="1256"/>
      <c r="H72" s="1256"/>
      <c r="I72" s="1256"/>
      <c r="J72" s="1256"/>
      <c r="K72" s="1256"/>
      <c r="L72" s="1256"/>
      <c r="M72" s="1257"/>
      <c r="N72" s="1101"/>
    </row>
    <row r="73" spans="8:8" ht="15.0" customHeight="1">
      <c r="B73" s="1255" t="s">
        <v>358</v>
      </c>
      <c r="C73" s="1256"/>
      <c r="D73" s="1256"/>
      <c r="E73" s="1256"/>
      <c r="F73" s="1256"/>
      <c r="G73" s="1157"/>
      <c r="H73" s="1157"/>
      <c r="I73" s="1157"/>
      <c r="J73" s="1157"/>
      <c r="K73" s="1157"/>
      <c r="L73" s="1157"/>
      <c r="M73" s="1270"/>
      <c r="N73" s="1101"/>
    </row>
    <row r="74" spans="8:8" ht="15.0" customHeight="1">
      <c r="B74" s="1271" t="s">
        <v>359</v>
      </c>
      <c r="C74" s="1157"/>
      <c r="D74" s="1157"/>
      <c r="E74" s="1157"/>
      <c r="F74" s="1157"/>
      <c r="G74" s="1268"/>
      <c r="H74" s="1268"/>
      <c r="I74" s="1268"/>
      <c r="J74" s="1268"/>
      <c r="K74" s="1268"/>
      <c r="L74" s="1268"/>
      <c r="M74" s="1269"/>
      <c r="N74" s="1101"/>
    </row>
    <row r="75" spans="8:8" ht="2.25" customHeight="1">
      <c r="B75" s="1272"/>
      <c r="C75" s="1273"/>
      <c r="D75" s="1273"/>
      <c r="E75" s="1273"/>
      <c r="F75" s="1273"/>
      <c r="G75" s="1273"/>
      <c r="H75" s="1273"/>
      <c r="I75" s="1273"/>
      <c r="J75" s="1273"/>
      <c r="K75" s="1273"/>
      <c r="L75" s="1273"/>
      <c r="M75" s="1274"/>
      <c r="N75" s="1101"/>
    </row>
    <row r="76" spans="8:8" ht="15.0" customHeight="1">
      <c r="B76" s="1275" t="s">
        <v>360</v>
      </c>
      <c r="C76" s="1276"/>
      <c r="D76" s="1276"/>
      <c r="E76" s="1276"/>
      <c r="F76" s="1276"/>
      <c r="G76" s="1276"/>
      <c r="H76" s="1276"/>
      <c r="I76" s="1276"/>
      <c r="J76" s="1276"/>
      <c r="K76" s="1276"/>
      <c r="L76" s="1276"/>
      <c r="M76" s="1277"/>
      <c r="N76" s="1101"/>
    </row>
    <row r="77" spans="8:8" ht="15.0" customHeight="1">
      <c r="B77" s="1278" t="s">
        <v>361</v>
      </c>
      <c r="C77" s="1279"/>
      <c r="D77" s="1279"/>
      <c r="E77" s="1279"/>
      <c r="F77" s="1279"/>
      <c r="G77" s="1279"/>
      <c r="H77" s="1279"/>
      <c r="I77" s="1279"/>
      <c r="J77" s="1279"/>
      <c r="K77" s="1279"/>
      <c r="L77" s="1279"/>
      <c r="M77" s="1280"/>
      <c r="N77" s="1101"/>
    </row>
    <row r="78" spans="8:8" ht="15.0" customHeight="1">
      <c r="B78" s="1281" t="s">
        <v>362</v>
      </c>
      <c r="C78" s="1282"/>
      <c r="D78" s="1283"/>
      <c r="E78" s="1283"/>
      <c r="F78" s="1283"/>
      <c r="G78" s="1283"/>
      <c r="H78" s="1283"/>
      <c r="I78" s="1283"/>
      <c r="J78" s="1284"/>
      <c r="K78" s="1285"/>
      <c r="L78" s="1286"/>
      <c r="M78" s="1287"/>
      <c r="N78" s="1101"/>
    </row>
    <row r="79" spans="8:8" ht="15.0" customHeight="1">
      <c r="B79" s="1288"/>
      <c r="C79" s="1252" t="s">
        <v>363</v>
      </c>
      <c r="D79" s="1252"/>
      <c r="E79" s="1252"/>
      <c r="F79" s="1252"/>
      <c r="G79" s="1252"/>
      <c r="H79" s="1283"/>
      <c r="I79" s="1283"/>
      <c r="J79" s="1289">
        <f>'TAX (OLD REGIME)'!P4</f>
        <v>1512112.0</v>
      </c>
      <c r="K79" s="1284"/>
      <c r="L79" s="1286"/>
      <c r="M79" s="1287"/>
      <c r="N79" s="1101"/>
    </row>
    <row r="80" spans="8:8" ht="15.0" customHeight="1">
      <c r="B80" s="1288"/>
      <c r="C80" s="1252" t="s">
        <v>364</v>
      </c>
      <c r="D80" s="1252"/>
      <c r="E80" s="1252"/>
      <c r="F80" s="1252"/>
      <c r="G80" s="1252"/>
      <c r="H80" s="1283"/>
      <c r="I80" s="1283"/>
      <c r="J80" s="1289"/>
      <c r="K80" s="1284"/>
      <c r="L80" s="1286"/>
      <c r="M80" s="1287"/>
      <c r="N80" s="1101"/>
    </row>
    <row r="81" spans="8:8" ht="15.0" customHeight="1">
      <c r="B81" s="1288"/>
      <c r="C81" s="1252" t="s">
        <v>365</v>
      </c>
      <c r="D81" s="1252"/>
      <c r="E81" s="1252"/>
      <c r="F81" s="1252"/>
      <c r="G81" s="1252"/>
      <c r="H81" s="1283"/>
      <c r="I81" s="1283"/>
      <c r="J81" s="1284"/>
      <c r="K81" s="1284"/>
      <c r="L81" s="1286"/>
      <c r="M81" s="1287"/>
      <c r="N81" s="1101"/>
    </row>
    <row r="82" spans="8:8" ht="15.0" customHeight="1">
      <c r="B82" s="1288"/>
      <c r="C82" s="1252" t="s">
        <v>366</v>
      </c>
      <c r="D82" s="1252"/>
      <c r="E82" s="1252"/>
      <c r="F82" s="1252"/>
      <c r="G82" s="1252"/>
      <c r="H82" s="1283"/>
      <c r="I82" s="1283"/>
      <c r="J82" s="1289"/>
      <c r="K82" s="1284"/>
      <c r="L82" s="1286"/>
      <c r="M82" s="1287"/>
      <c r="N82" s="1101"/>
    </row>
    <row r="83" spans="8:8" ht="15.0" customHeight="1">
      <c r="B83" s="1288"/>
      <c r="C83" s="1252" t="s">
        <v>365</v>
      </c>
      <c r="D83" s="1252"/>
      <c r="E83" s="1252"/>
      <c r="F83" s="1252"/>
      <c r="G83" s="1252"/>
      <c r="H83" s="1283"/>
      <c r="I83" s="1283"/>
      <c r="J83" s="1284"/>
      <c r="K83" s="1284"/>
      <c r="L83" s="1286"/>
      <c r="M83" s="1287"/>
      <c r="N83" s="1101"/>
    </row>
    <row r="84" spans="8:8" ht="15.0" customHeight="1">
      <c r="B84" s="1281"/>
      <c r="C84" s="1290" t="s">
        <v>367</v>
      </c>
      <c r="D84" s="1290"/>
      <c r="E84" s="1290"/>
      <c r="F84" s="1290"/>
      <c r="G84" s="1290"/>
      <c r="H84" s="1291"/>
      <c r="I84" s="1291"/>
      <c r="J84" s="1292"/>
      <c r="K84" s="1293">
        <f>+J83+J81+J79</f>
        <v>1512112.0</v>
      </c>
      <c r="L84" s="1294"/>
      <c r="M84" s="1287"/>
      <c r="N84" s="1101"/>
    </row>
    <row r="85" spans="8:8" ht="4.5" customHeight="1">
      <c r="B85" s="1288"/>
      <c r="C85" s="1283"/>
      <c r="D85" s="1283"/>
      <c r="E85" s="1283"/>
      <c r="F85" s="1283"/>
      <c r="G85" s="1283"/>
      <c r="H85" s="1283"/>
      <c r="I85" s="1283"/>
      <c r="J85" s="1284"/>
      <c r="K85" s="1284"/>
      <c r="L85" s="1286"/>
      <c r="M85" s="1287"/>
      <c r="N85" s="1101"/>
    </row>
    <row r="86" spans="8:8" ht="15.0" customHeight="1">
      <c r="B86" s="1281" t="s">
        <v>368</v>
      </c>
      <c r="C86" s="1283"/>
      <c r="D86" s="1283"/>
      <c r="E86" s="1283"/>
      <c r="F86" s="1283"/>
      <c r="G86" s="1283"/>
      <c r="H86" s="1283"/>
      <c r="I86" s="1283"/>
      <c r="J86" s="1284"/>
      <c r="K86" s="1284"/>
      <c r="L86" s="1286"/>
      <c r="M86" s="1287"/>
      <c r="N86" s="1101"/>
    </row>
    <row r="87" spans="8:8" ht="15.0" customHeight="1">
      <c r="B87" s="1295" t="s">
        <v>369</v>
      </c>
      <c r="C87" s="1296"/>
      <c r="D87" s="1296"/>
      <c r="E87" s="1296"/>
      <c r="F87" s="1296"/>
      <c r="G87" s="1296"/>
      <c r="H87" s="1296"/>
      <c r="I87" s="1283"/>
      <c r="J87" s="1289">
        <v>0.0</v>
      </c>
      <c r="K87" s="1284"/>
      <c r="L87" s="1286"/>
      <c r="M87" s="1287"/>
      <c r="N87" s="1101"/>
    </row>
    <row r="88" spans="8:8" ht="15.0" customHeight="1">
      <c r="B88" s="1295" t="s">
        <v>370</v>
      </c>
      <c r="C88" s="1296"/>
      <c r="D88" s="1296"/>
      <c r="E88" s="1296"/>
      <c r="F88" s="1296"/>
      <c r="G88" s="1296"/>
      <c r="H88" s="1296"/>
      <c r="I88" s="1283"/>
      <c r="J88" s="1297"/>
      <c r="K88" s="1284"/>
      <c r="L88" s="1286"/>
      <c r="M88" s="1287"/>
      <c r="N88" s="1101"/>
    </row>
    <row r="89" spans="8:8" ht="15.0" customHeight="1">
      <c r="B89" s="1298" t="s">
        <v>371</v>
      </c>
      <c r="C89" s="1299"/>
      <c r="D89" s="1299"/>
      <c r="E89" s="1299"/>
      <c r="F89" s="1299"/>
      <c r="G89" s="1299"/>
      <c r="H89" s="1299"/>
      <c r="I89" s="1299"/>
      <c r="J89" s="1300"/>
      <c r="K89" s="1301">
        <f>+K84-J86-J87-J88</f>
        <v>1512112.0</v>
      </c>
      <c r="L89" s="1302"/>
      <c r="M89" s="1287"/>
      <c r="N89" s="1101"/>
    </row>
    <row r="90" spans="8:8" ht="4.5" customHeight="1">
      <c r="B90" s="1288"/>
      <c r="C90" s="1283"/>
      <c r="D90" s="1283"/>
      <c r="E90" s="1283"/>
      <c r="F90" s="1283"/>
      <c r="G90" s="1283"/>
      <c r="H90" s="1283"/>
      <c r="I90" s="1283"/>
      <c r="J90" s="1284"/>
      <c r="K90" s="1284"/>
      <c r="L90" s="1286"/>
      <c r="M90" s="1287"/>
      <c r="N90" s="1101"/>
    </row>
    <row r="91" spans="8:8" ht="15.0" customHeight="1">
      <c r="B91" s="1281" t="s">
        <v>372</v>
      </c>
      <c r="C91" s="1283"/>
      <c r="D91" s="1283"/>
      <c r="E91" s="1283"/>
      <c r="F91" s="1283"/>
      <c r="G91" s="1283"/>
      <c r="H91" s="1283"/>
      <c r="I91" s="1283"/>
      <c r="J91" s="1284"/>
      <c r="K91" s="1284"/>
      <c r="L91" s="1286"/>
      <c r="M91" s="1287"/>
      <c r="N91" s="1101"/>
      <c r="R91" s="1303">
        <f>IF('TAX (OLD REGIME)'!W1="TAX(NEW REGIEM)",0,'TAX (OLD REGIME)'!M7)</f>
        <v>50000.0</v>
      </c>
    </row>
    <row r="92" spans="8:8" ht="15.0" customHeight="1">
      <c r="B92" s="1288"/>
      <c r="C92" s="1252" t="s">
        <v>373</v>
      </c>
      <c r="D92" s="1252"/>
      <c r="E92" s="1252"/>
      <c r="F92" s="1252"/>
      <c r="G92" s="1252" t="s">
        <v>374</v>
      </c>
      <c r="H92" s="1304">
        <f>'TAX (OLD REGIME)'!M7</f>
        <v>50000.0</v>
      </c>
      <c r="I92" s="1305"/>
      <c r="J92" s="1284"/>
      <c r="K92" s="1284"/>
      <c r="L92" s="1286"/>
      <c r="M92" s="1287"/>
      <c r="N92" s="1101"/>
      <c r="R92" s="1303">
        <f>IF('TAX (OLD REGIME)'!W2="TAX(NEW REGIEM)",0,'TAX (OLD REGIME)'!M8+'TAX (OLD REGIME)'!M9)</f>
        <v>0.0</v>
      </c>
    </row>
    <row r="93" spans="8:8" ht="15.0" customHeight="1">
      <c r="B93" s="1288"/>
      <c r="C93" s="1252" t="s">
        <v>375</v>
      </c>
      <c r="D93" s="1252"/>
      <c r="E93" s="1252"/>
      <c r="F93" s="1252"/>
      <c r="G93" s="1252" t="s">
        <v>374</v>
      </c>
      <c r="H93" s="1304">
        <f>'TAX (OLD REGIME)'!M8</f>
        <v>0.0</v>
      </c>
      <c r="I93" s="1252"/>
      <c r="J93" s="1284"/>
      <c r="K93" s="1284"/>
      <c r="L93" s="1286"/>
      <c r="M93" s="1287"/>
      <c r="N93" s="1101"/>
    </row>
    <row r="94" spans="8:8" ht="15.0" customHeight="1">
      <c r="B94" s="1288"/>
      <c r="C94" s="1252" t="s">
        <v>376</v>
      </c>
      <c r="D94" s="1252"/>
      <c r="E94" s="1252"/>
      <c r="F94" s="1252"/>
      <c r="G94" s="1252" t="s">
        <v>374</v>
      </c>
      <c r="H94" s="1304">
        <f>'TAX (OLD REGIME)'!M9</f>
        <v>0.0</v>
      </c>
      <c r="I94" s="1252"/>
      <c r="J94" s="1284"/>
      <c r="K94" s="1284"/>
      <c r="L94" s="1286"/>
      <c r="M94" s="1287"/>
      <c r="N94" s="1101"/>
    </row>
    <row r="95" spans="8:8" ht="15.0" customHeight="1">
      <c r="B95" s="1281" t="s">
        <v>377</v>
      </c>
      <c r="C95" s="1283"/>
      <c r="D95" s="1283"/>
      <c r="E95" s="1283"/>
      <c r="F95" s="1283"/>
      <c r="G95" s="1283"/>
      <c r="H95" s="1283"/>
      <c r="I95" s="1283"/>
      <c r="J95" s="1306">
        <f>+H92+H93+H94</f>
        <v>50000.0</v>
      </c>
      <c r="K95" s="1284"/>
      <c r="L95" s="1286"/>
      <c r="M95" s="1287"/>
      <c r="N95" s="1101"/>
    </row>
    <row r="96" spans="8:8" ht="5.25" customHeight="1">
      <c r="B96" s="1288"/>
      <c r="C96" s="1283"/>
      <c r="D96" s="1283"/>
      <c r="E96" s="1283"/>
      <c r="F96" s="1283"/>
      <c r="G96" s="1283"/>
      <c r="H96" s="1283"/>
      <c r="I96" s="1283"/>
      <c r="J96" s="1284"/>
      <c r="K96" s="1284"/>
      <c r="L96" s="1286"/>
      <c r="M96" s="1287"/>
      <c r="N96" s="1101"/>
    </row>
    <row r="97" spans="8:8" ht="15.0" customHeight="1">
      <c r="B97" s="1281" t="s">
        <v>378</v>
      </c>
      <c r="C97" s="1291"/>
      <c r="D97" s="1291"/>
      <c r="E97" s="1291"/>
      <c r="F97" s="1291"/>
      <c r="G97" s="1291"/>
      <c r="H97" s="1291"/>
      <c r="I97" s="1291"/>
      <c r="J97" s="1292"/>
      <c r="K97" s="1292"/>
      <c r="L97" s="1307"/>
      <c r="M97" s="1308">
        <f>IF(AND((K89&gt;50000)),(K89-J95),0)</f>
        <v>1462112.0</v>
      </c>
      <c r="N97" s="1101"/>
    </row>
    <row r="98" spans="8:8" ht="6.0" customHeight="1">
      <c r="B98" s="1281"/>
      <c r="C98" s="1283"/>
      <c r="D98" s="1283"/>
      <c r="E98" s="1283"/>
      <c r="F98" s="1283"/>
      <c r="G98" s="1283"/>
      <c r="H98" s="1283"/>
      <c r="I98" s="1283"/>
      <c r="J98" s="1284"/>
      <c r="K98" s="1284"/>
      <c r="L98" s="1286"/>
      <c r="M98" s="1309"/>
      <c r="N98" s="1101"/>
    </row>
    <row r="99" spans="8:8" ht="13.5" customHeight="1">
      <c r="B99" s="1281" t="s">
        <v>379</v>
      </c>
      <c r="C99" s="1283"/>
      <c r="D99" s="1283"/>
      <c r="E99" s="1283"/>
      <c r="F99" s="1283"/>
      <c r="G99" s="1283"/>
      <c r="H99" s="1283"/>
      <c r="I99" s="1283"/>
      <c r="J99" s="1284"/>
      <c r="K99" s="1284"/>
      <c r="L99" s="1286"/>
      <c r="M99" s="1310">
        <f>'TAX (OLD REGIME)'!M12</f>
        <v>0.0</v>
      </c>
      <c r="N99" s="1101"/>
    </row>
    <row r="100" spans="8:8" ht="13.5" customHeight="1">
      <c r="B100" s="1281"/>
      <c r="C100" s="1283" t="s">
        <v>380</v>
      </c>
      <c r="D100" s="1283"/>
      <c r="E100" s="1283"/>
      <c r="F100" s="1283"/>
      <c r="G100" s="1283"/>
      <c r="H100" s="1283"/>
      <c r="I100" s="1283"/>
      <c r="J100" s="1284"/>
      <c r="K100" s="1284"/>
      <c r="L100" s="1286"/>
      <c r="M100" s="1310">
        <f>'TAX (OLD REGIME)'!M14</f>
        <v>0.0</v>
      </c>
      <c r="N100" s="1101"/>
    </row>
    <row r="101" spans="8:8" ht="3.0" customHeight="1">
      <c r="B101" s="1281"/>
      <c r="C101" s="1283"/>
      <c r="D101" s="1283"/>
      <c r="E101" s="1283"/>
      <c r="F101" s="1283"/>
      <c r="G101" s="1283"/>
      <c r="H101" s="1283"/>
      <c r="I101" s="1283"/>
      <c r="J101" s="1284"/>
      <c r="K101" s="1284"/>
      <c r="L101" s="1286"/>
      <c r="M101" s="1309"/>
      <c r="N101" s="1101"/>
    </row>
    <row r="102" spans="8:8" ht="16.5" customHeight="1">
      <c r="B102" s="1298" t="s">
        <v>381</v>
      </c>
      <c r="C102" s="1299"/>
      <c r="D102" s="1299"/>
      <c r="E102" s="1299"/>
      <c r="F102" s="1299"/>
      <c r="G102" s="1299"/>
      <c r="H102" s="1299"/>
      <c r="I102" s="1299"/>
      <c r="J102" s="1300"/>
      <c r="K102" s="1311"/>
      <c r="L102" s="1312"/>
      <c r="M102" s="1313">
        <f>+M97+M99-M100</f>
        <v>1462112.0</v>
      </c>
      <c r="N102" s="1101"/>
    </row>
    <row r="103" spans="8:8" ht="15.0" customHeight="1">
      <c r="B103" s="1314"/>
      <c r="C103" s="1315"/>
      <c r="D103" s="1315"/>
      <c r="E103" s="1315"/>
      <c r="F103" s="1315"/>
      <c r="G103" s="1315"/>
      <c r="H103" s="1316"/>
      <c r="I103" s="1317"/>
      <c r="J103" s="1315"/>
      <c r="K103" s="1286"/>
      <c r="L103" s="1283"/>
      <c r="M103" s="1318"/>
      <c r="N103" s="1101"/>
    </row>
    <row r="104" spans="8:8" ht="15.0" customHeight="1">
      <c r="B104" s="1319" t="s">
        <v>382</v>
      </c>
      <c r="C104" s="1320"/>
      <c r="D104" s="1320"/>
      <c r="E104" s="1320"/>
      <c r="F104" s="1283"/>
      <c r="G104" s="1286"/>
      <c r="H104" s="1284"/>
      <c r="I104" s="1286"/>
      <c r="J104" s="1283"/>
      <c r="K104" s="1286"/>
      <c r="L104" s="1283"/>
      <c r="M104" s="1318"/>
      <c r="N104" s="1101"/>
    </row>
    <row r="105" spans="8:8" ht="15.0" customHeight="1">
      <c r="B105" s="1321" t="s">
        <v>383</v>
      </c>
      <c r="C105" s="1283" t="s">
        <v>384</v>
      </c>
      <c r="D105" s="1283"/>
      <c r="E105" s="1283"/>
      <c r="F105" s="1283"/>
      <c r="G105" s="1307"/>
      <c r="H105" s="1292" t="s">
        <v>385</v>
      </c>
      <c r="I105" s="1291"/>
      <c r="J105" s="1322" t="s">
        <v>386</v>
      </c>
      <c r="K105" s="1323"/>
      <c r="L105" s="1292" t="s">
        <v>387</v>
      </c>
      <c r="M105" s="1324" t="s">
        <v>388</v>
      </c>
      <c r="N105" s="1101"/>
    </row>
    <row r="106" spans="8:8" ht="15.0" customHeight="1">
      <c r="B106" s="1325" t="s">
        <v>389</v>
      </c>
      <c r="C106" s="1283" t="s">
        <v>390</v>
      </c>
      <c r="D106" s="1283"/>
      <c r="E106" s="1283"/>
      <c r="F106" s="1283"/>
      <c r="G106" s="1286"/>
      <c r="H106" s="1326"/>
      <c r="I106" s="1327"/>
      <c r="J106" s="1326"/>
      <c r="K106" s="1327"/>
      <c r="L106" s="1326"/>
      <c r="M106" s="1328"/>
      <c r="N106" s="1101"/>
    </row>
    <row r="107" spans="8:8" ht="15.0" customHeight="1">
      <c r="B107" s="1329">
        <v>1.0</v>
      </c>
      <c r="C107" s="1283" t="s">
        <v>13</v>
      </c>
      <c r="D107" s="1330" t="str">
        <f t="shared" si="0" ref="D107:D112">_xlfn.IFERROR(VLOOKUP(B107,$Q$133:$S$151,2,0),"--")</f>
        <v>jkT; chek ¼SI)</v>
      </c>
      <c r="E107" s="1331"/>
      <c r="F107" s="1331"/>
      <c r="G107" s="1286" t="s">
        <v>374</v>
      </c>
      <c r="H107" s="1332">
        <f t="shared" si="1" ref="H107:H112">_xlfn.IFERROR(VLOOKUP(B107,$Q$133:$S$151,3,0),"--")</f>
        <v>84000.0</v>
      </c>
      <c r="I107" s="1333"/>
      <c r="J107" s="1332">
        <f t="shared" si="2" ref="J107:J112">+H107</f>
        <v>84000.0</v>
      </c>
      <c r="K107" s="1333"/>
      <c r="L107" s="1332">
        <f t="shared" si="3" ref="L107:L112">J107</f>
        <v>84000.0</v>
      </c>
      <c r="M107" s="1334"/>
      <c r="N107" s="1101"/>
    </row>
    <row r="108" spans="8:8" ht="15.0" customHeight="1">
      <c r="B108" s="1329">
        <v>2.0</v>
      </c>
      <c r="C108" s="1283" t="s">
        <v>15</v>
      </c>
      <c r="D108" s="1335" t="str">
        <f t="shared" si="0"/>
        <v>Gen.Provident Fund (GPF)</v>
      </c>
      <c r="E108" s="1336"/>
      <c r="F108" s="1336"/>
      <c r="G108" s="1286" t="s">
        <v>374</v>
      </c>
      <c r="H108" s="1332">
        <f t="shared" si="1"/>
        <v>72504.0</v>
      </c>
      <c r="I108" s="1333"/>
      <c r="J108" s="1332">
        <f t="shared" si="2"/>
        <v>72504.0</v>
      </c>
      <c r="K108" s="1333"/>
      <c r="L108" s="1332">
        <f t="shared" si="3"/>
        <v>72504.0</v>
      </c>
      <c r="M108" s="1334"/>
      <c r="N108" s="1101"/>
    </row>
    <row r="109" spans="8:8" ht="15.0" customHeight="1">
      <c r="B109" s="1329">
        <v>3.0</v>
      </c>
      <c r="C109" s="1283" t="s">
        <v>17</v>
      </c>
      <c r="D109" s="1330" t="str">
        <f t="shared" si="0"/>
        <v>lkewfgd chek izhfe;e ¼ G.Ins.)</v>
      </c>
      <c r="E109" s="1331"/>
      <c r="F109" s="1331"/>
      <c r="G109" s="1286" t="s">
        <v>374</v>
      </c>
      <c r="H109" s="1332">
        <f t="shared" si="1"/>
        <v>700.0</v>
      </c>
      <c r="I109" s="1333"/>
      <c r="J109" s="1332">
        <f t="shared" si="2"/>
        <v>700.0</v>
      </c>
      <c r="K109" s="1333"/>
      <c r="L109" s="1332">
        <f t="shared" si="3"/>
        <v>700.0</v>
      </c>
      <c r="M109" s="1334"/>
      <c r="N109" s="1101"/>
    </row>
    <row r="110" spans="8:8" ht="15.0" customHeight="1">
      <c r="B110" s="1329">
        <v>4.0</v>
      </c>
      <c r="C110" s="1283" t="s">
        <v>19</v>
      </c>
      <c r="D110" s="1335" t="str">
        <f t="shared" si="0"/>
        <v>--</v>
      </c>
      <c r="E110" s="1336"/>
      <c r="F110" s="1336"/>
      <c r="G110" s="1286" t="s">
        <v>374</v>
      </c>
      <c r="H110" s="1332" t="str">
        <f t="shared" si="1"/>
        <v>--</v>
      </c>
      <c r="I110" s="1333"/>
      <c r="J110" s="1332" t="str">
        <f t="shared" si="2"/>
        <v>--</v>
      </c>
      <c r="K110" s="1333"/>
      <c r="L110" s="1332" t="str">
        <f t="shared" si="3"/>
        <v>--</v>
      </c>
      <c r="M110" s="1334"/>
      <c r="N110" s="1101"/>
    </row>
    <row r="111" spans="8:8" ht="15.0" customHeight="1">
      <c r="B111" s="1329">
        <v>5.0</v>
      </c>
      <c r="C111" s="1283" t="s">
        <v>21</v>
      </c>
      <c r="D111" s="1335" t="str">
        <f t="shared" si="0"/>
        <v>--</v>
      </c>
      <c r="E111" s="1336"/>
      <c r="F111" s="1336"/>
      <c r="G111" s="1286" t="s">
        <v>374</v>
      </c>
      <c r="H111" s="1332" t="str">
        <f t="shared" si="1"/>
        <v>--</v>
      </c>
      <c r="I111" s="1333"/>
      <c r="J111" s="1332" t="str">
        <f t="shared" si="2"/>
        <v>--</v>
      </c>
      <c r="K111" s="1333"/>
      <c r="L111" s="1332" t="str">
        <f t="shared" si="3"/>
        <v>--</v>
      </c>
      <c r="M111" s="1334"/>
      <c r="N111" s="1101"/>
    </row>
    <row r="112" spans="8:8" ht="15.0" customHeight="1">
      <c r="B112" s="1329">
        <v>6.0</v>
      </c>
      <c r="C112" s="1283" t="s">
        <v>23</v>
      </c>
      <c r="D112" s="1335" t="str">
        <f t="shared" si="0"/>
        <v>--</v>
      </c>
      <c r="E112" s="1336"/>
      <c r="F112" s="1336"/>
      <c r="G112" s="1286" t="s">
        <v>374</v>
      </c>
      <c r="H112" s="1332" t="str">
        <f t="shared" si="1"/>
        <v>--</v>
      </c>
      <c r="I112" s="1333"/>
      <c r="J112" s="1332" t="str">
        <f t="shared" si="2"/>
        <v>--</v>
      </c>
      <c r="K112" s="1333"/>
      <c r="L112" s="1332" t="str">
        <f t="shared" si="3"/>
        <v>--</v>
      </c>
      <c r="M112" s="1334"/>
      <c r="N112" s="1101"/>
    </row>
    <row r="113" spans="8:8" ht="18.75" customHeight="1">
      <c r="B113" s="1337" t="s">
        <v>392</v>
      </c>
      <c r="C113" s="1338"/>
      <c r="D113" s="1338"/>
      <c r="E113" s="1338"/>
      <c r="F113" s="1338"/>
      <c r="G113" s="1339"/>
      <c r="H113" s="1340"/>
      <c r="I113" s="1341"/>
      <c r="J113" s="1342"/>
      <c r="K113" s="1341"/>
      <c r="L113" s="1343"/>
      <c r="M113" s="1344">
        <f>IF(SUM(L107:M112)&gt;150000,150000,SUM(L107:M112))</f>
        <v>150000.0</v>
      </c>
      <c r="N113" s="1101"/>
    </row>
    <row r="114" spans="8:8" ht="3.0" customHeight="1">
      <c r="B114" s="1281"/>
      <c r="C114" s="1283"/>
      <c r="D114" s="1283"/>
      <c r="E114" s="1283"/>
      <c r="F114" s="1283"/>
      <c r="G114" s="1286"/>
      <c r="H114" s="1340"/>
      <c r="I114" s="1341"/>
      <c r="J114" s="1342"/>
      <c r="K114" s="1341"/>
      <c r="L114" s="1343"/>
      <c r="M114" s="1345"/>
      <c r="N114" s="1101"/>
    </row>
    <row r="115" spans="8:8" ht="5.25" customHeight="1">
      <c r="B115" s="1281"/>
      <c r="C115" s="1283"/>
      <c r="D115" s="1283"/>
      <c r="E115" s="1283"/>
      <c r="F115" s="1283"/>
      <c r="G115" s="1286"/>
      <c r="H115" s="1340"/>
      <c r="I115" s="1341"/>
      <c r="J115" s="1342"/>
      <c r="K115" s="1341"/>
      <c r="L115" s="1343"/>
      <c r="M115" s="1345"/>
      <c r="N115" s="1101"/>
    </row>
    <row r="116" spans="8:8" ht="15.0" customHeight="1">
      <c r="B116" s="1346" t="s">
        <v>393</v>
      </c>
      <c r="C116" s="1172" t="s">
        <v>394</v>
      </c>
      <c r="D116" s="1172"/>
      <c r="E116" s="1172"/>
      <c r="F116" s="1172"/>
      <c r="G116" s="1347" t="s">
        <v>374</v>
      </c>
      <c r="H116" s="1332">
        <f>'TAX (OLD REGIME)'!P33</f>
        <v>0.0</v>
      </c>
      <c r="I116" s="1333"/>
      <c r="J116" s="1332">
        <f>+H116</f>
        <v>0.0</v>
      </c>
      <c r="K116" s="1333"/>
      <c r="L116" s="1348">
        <f>IF(J116&gt;50000,50000,J116)</f>
        <v>0.0</v>
      </c>
      <c r="M116" s="1349"/>
      <c r="N116" s="1101"/>
    </row>
    <row r="117" spans="8:8" ht="3.75" customHeight="1">
      <c r="B117" s="1350"/>
      <c r="C117" s="1351"/>
      <c r="D117" s="1351"/>
      <c r="E117" s="1351"/>
      <c r="F117" s="1351"/>
      <c r="G117" s="1351"/>
      <c r="H117" s="1232"/>
      <c r="I117" s="1232"/>
      <c r="J117" s="1232"/>
      <c r="K117" s="1232"/>
      <c r="L117" s="1352"/>
      <c r="M117" s="1353"/>
      <c r="N117" s="1101"/>
    </row>
    <row r="118" spans="8:8" ht="15.0" customHeight="1">
      <c r="B118" s="1354" t="s">
        <v>395</v>
      </c>
      <c r="C118" s="1283" t="s">
        <v>396</v>
      </c>
      <c r="D118" s="1283"/>
      <c r="E118" s="1283"/>
      <c r="F118" s="1283"/>
      <c r="G118" s="1283"/>
      <c r="H118" s="1340"/>
      <c r="I118" s="1342"/>
      <c r="J118" s="1340"/>
      <c r="K118" s="1355"/>
      <c r="L118" s="1342"/>
      <c r="M118" s="1356"/>
      <c r="N118" s="1101"/>
    </row>
    <row r="119" spans="8:8" ht="15.0" customHeight="1">
      <c r="B119" s="1321"/>
      <c r="C119" s="1283"/>
      <c r="D119" s="1283"/>
      <c r="E119" s="1283"/>
      <c r="F119" s="1283"/>
      <c r="G119" s="1283"/>
      <c r="H119" s="1292" t="s">
        <v>385</v>
      </c>
      <c r="I119" s="1291"/>
      <c r="J119" s="1322" t="s">
        <v>386</v>
      </c>
      <c r="K119" s="1323"/>
      <c r="L119" s="1292" t="s">
        <v>387</v>
      </c>
      <c r="M119" s="1324" t="s">
        <v>388</v>
      </c>
      <c r="N119" s="1101"/>
    </row>
    <row r="120" spans="8:8" ht="15.0" customHeight="1">
      <c r="B120" s="1357">
        <v>1.0</v>
      </c>
      <c r="C120" s="1283" t="s">
        <v>13</v>
      </c>
      <c r="D120" s="1358" t="str">
        <f>_xlfn.IFERROR(VLOOKUP(B120,$Q$154:$Y$163,8,0),"--")</f>
        <v>--</v>
      </c>
      <c r="E120" s="1358"/>
      <c r="F120" s="1358"/>
      <c r="G120" s="1283" t="s">
        <v>374</v>
      </c>
      <c r="H120" s="1332" t="str">
        <f>_xlfn.IFERROR(VLOOKUP(B120,$Q$154:$X$163,3,0),"0")</f>
        <v>0</v>
      </c>
      <c r="I120" s="1333"/>
      <c r="J120" s="1332" t="str">
        <f t="shared" si="4" ref="J120:J125">+H120</f>
        <v>0</v>
      </c>
      <c r="K120" s="1333"/>
      <c r="L120" s="1332" t="str">
        <f t="shared" si="5" ref="L120:L125">J120</f>
        <v>0</v>
      </c>
      <c r="M120" s="1334"/>
      <c r="N120" s="1101"/>
    </row>
    <row r="121" spans="8:8" ht="15.0" customHeight="1">
      <c r="B121" s="1357">
        <v>2.0</v>
      </c>
      <c r="C121" s="1283" t="s">
        <v>15</v>
      </c>
      <c r="D121" s="1358" t="str">
        <f>_xlfn.IFERROR(VLOOKUP(B121,$Q$154:$Y$163,8,0),"--")</f>
        <v>--</v>
      </c>
      <c r="E121" s="1358"/>
      <c r="F121" s="1358"/>
      <c r="G121" s="1283" t="s">
        <v>374</v>
      </c>
      <c r="H121" s="1332" t="str">
        <f>_xlfn.IFERROR(VLOOKUP(B121,$Q$154:$X$163,3,0),"0")</f>
        <v>0</v>
      </c>
      <c r="I121" s="1333"/>
      <c r="J121" s="1332" t="str">
        <f t="shared" si="4"/>
        <v>0</v>
      </c>
      <c r="K121" s="1333"/>
      <c r="L121" s="1332" t="str">
        <f t="shared" si="5"/>
        <v>0</v>
      </c>
      <c r="M121" s="1334"/>
      <c r="N121" s="1101"/>
    </row>
    <row r="122" spans="8:8" ht="15.0" customHeight="1">
      <c r="B122" s="1357">
        <v>3.0</v>
      </c>
      <c r="C122" s="1283" t="s">
        <v>17</v>
      </c>
      <c r="D122" s="1358" t="str">
        <f>_xlfn.IFERROR(VLOOKUP(B122,$Q$154:$Y$163,8,0),"--")</f>
        <v>--</v>
      </c>
      <c r="E122" s="1358"/>
      <c r="F122" s="1358"/>
      <c r="G122" s="1283" t="s">
        <v>374</v>
      </c>
      <c r="H122" s="1332" t="str">
        <f>_xlfn.IFERROR(VLOOKUP(B122,$Q$154:$X$163,3,0),"0")</f>
        <v>0</v>
      </c>
      <c r="I122" s="1333"/>
      <c r="J122" s="1332" t="str">
        <f t="shared" si="4"/>
        <v>0</v>
      </c>
      <c r="K122" s="1333"/>
      <c r="L122" s="1332" t="str">
        <f t="shared" si="5"/>
        <v>0</v>
      </c>
      <c r="M122" s="1334"/>
      <c r="N122" s="1101"/>
    </row>
    <row r="123" spans="8:8" ht="15.0" customHeight="1">
      <c r="B123" s="1357">
        <v>4.0</v>
      </c>
      <c r="C123" s="1283" t="s">
        <v>19</v>
      </c>
      <c r="D123" s="1358" t="str">
        <f>_xlfn.IFERROR(VLOOKUP(B123,$Q$154:$Y$163,8,0),"--")</f>
        <v>--</v>
      </c>
      <c r="E123" s="1358"/>
      <c r="F123" s="1358"/>
      <c r="G123" s="1283" t="s">
        <v>374</v>
      </c>
      <c r="H123" s="1332" t="str">
        <f>_xlfn.IFERROR(VLOOKUP(B123,$Q$154:$X$163,3,0),"0")</f>
        <v>0</v>
      </c>
      <c r="I123" s="1333"/>
      <c r="J123" s="1332" t="str">
        <f t="shared" si="4"/>
        <v>0</v>
      </c>
      <c r="K123" s="1333"/>
      <c r="L123" s="1332" t="str">
        <f t="shared" si="5"/>
        <v>0</v>
      </c>
      <c r="M123" s="1334"/>
      <c r="N123" s="1101"/>
    </row>
    <row r="124" spans="8:8" ht="15.0" customHeight="1">
      <c r="B124" s="1357">
        <v>5.0</v>
      </c>
      <c r="C124" s="1283" t="s">
        <v>21</v>
      </c>
      <c r="D124" s="1358" t="str">
        <f>_xlfn.IFERROR(VLOOKUP(B124,$Q$154:$Y$163,8,0),"--")</f>
        <v>--</v>
      </c>
      <c r="E124" s="1358"/>
      <c r="F124" s="1358"/>
      <c r="G124" s="1283" t="s">
        <v>374</v>
      </c>
      <c r="H124" s="1332" t="str">
        <f>_xlfn.IFERROR(VLOOKUP(B124,$Q$154:$X$163,3,0),"0")</f>
        <v>0</v>
      </c>
      <c r="I124" s="1333"/>
      <c r="J124" s="1332" t="str">
        <f t="shared" si="4"/>
        <v>0</v>
      </c>
      <c r="K124" s="1333"/>
      <c r="L124" s="1332" t="str">
        <f t="shared" si="5"/>
        <v>0</v>
      </c>
      <c r="M124" s="1334"/>
      <c r="N124" s="1101"/>
    </row>
    <row r="125" spans="8:8" ht="15.0" customHeight="1">
      <c r="B125" s="1357">
        <v>6.0</v>
      </c>
      <c r="C125" s="1283" t="s">
        <v>23</v>
      </c>
      <c r="D125" s="1358" t="str">
        <f>_xlfn.IFERROR(VLOOKUP(B125,$Q$154:$Y$163,8,0),"--")</f>
        <v>--</v>
      </c>
      <c r="E125" s="1358"/>
      <c r="F125" s="1358"/>
      <c r="G125" s="1283" t="s">
        <v>374</v>
      </c>
      <c r="H125" s="1332" t="str">
        <f>_xlfn.IFERROR(VLOOKUP(B125,$Q$154:$X$163,3,0),"0")</f>
        <v>0</v>
      </c>
      <c r="I125" s="1333"/>
      <c r="J125" s="1332" t="str">
        <f t="shared" si="4"/>
        <v>0</v>
      </c>
      <c r="K125" s="1333"/>
      <c r="L125" s="1332" t="str">
        <f t="shared" si="5"/>
        <v>0</v>
      </c>
      <c r="M125" s="1334"/>
      <c r="N125" s="1101"/>
    </row>
    <row r="126" spans="8:8" ht="15.0" customHeight="1">
      <c r="B126" s="1359">
        <v>8.0</v>
      </c>
      <c r="C126" s="1283" t="s">
        <v>29</v>
      </c>
      <c r="D126" s="1358" t="str">
        <f>_xlfn.IFERROR(VLOOKUP(B126,$Q$154:$Y$163,8,0),"--")</f>
        <v>--</v>
      </c>
      <c r="E126" s="1358"/>
      <c r="F126" s="1358"/>
      <c r="G126" s="1360"/>
      <c r="H126" s="1332" t="str">
        <f>_xlfn.IFERROR(VLOOKUP(B126,$Q$154:$X$163,3,0),"0")</f>
        <v>0</v>
      </c>
      <c r="I126" s="1333"/>
      <c r="J126" s="1332" t="str">
        <f t="shared" si="6" ref="J126">+H126</f>
        <v>0</v>
      </c>
      <c r="K126" s="1333"/>
      <c r="L126" s="1343"/>
      <c r="M126" s="1344"/>
      <c r="N126" s="1101"/>
    </row>
    <row r="127" spans="8:8" ht="15.0" customHeight="1">
      <c r="B127" s="1361" t="s">
        <v>397</v>
      </c>
      <c r="C127" s="1362"/>
      <c r="D127" s="1362"/>
      <c r="E127" s="1362"/>
      <c r="F127" s="1362"/>
      <c r="G127" s="1363"/>
      <c r="H127" s="1340"/>
      <c r="I127" s="1341"/>
      <c r="J127" s="1342"/>
      <c r="K127" s="1341"/>
      <c r="L127" s="1343"/>
      <c r="M127" s="1344">
        <f>IF(SUM(L120:M125)&gt;150000,150000,SUM(L120:M125))</f>
        <v>0.0</v>
      </c>
      <c r="N127" s="1101"/>
    </row>
    <row r="128" spans="8:8" ht="15.0" customHeight="1">
      <c r="B128" s="1364" t="s">
        <v>398</v>
      </c>
      <c r="C128" s="1365"/>
      <c r="D128" s="1365"/>
      <c r="E128" s="1365"/>
      <c r="F128" s="1365"/>
      <c r="G128" s="1366"/>
      <c r="H128" s="1367"/>
      <c r="I128" s="1366"/>
      <c r="J128" s="1367"/>
      <c r="K128" s="1366"/>
      <c r="L128" s="1368">
        <f>M113+L116+M126</f>
        <v>150000.0</v>
      </c>
      <c r="M128" s="1369">
        <f>SUM(K106:K113)</f>
        <v>0.0</v>
      </c>
      <c r="N128" s="1101"/>
    </row>
    <row r="129" spans="8:8" ht="4.5" customHeight="1">
      <c r="B129" s="1281"/>
      <c r="C129" s="1283"/>
      <c r="D129" s="1283"/>
      <c r="E129" s="1283"/>
      <c r="F129" s="1283"/>
      <c r="G129" s="1286"/>
      <c r="H129" s="1284"/>
      <c r="I129" s="1286"/>
      <c r="J129" s="1284"/>
      <c r="K129" s="1286"/>
      <c r="L129" s="1326"/>
      <c r="M129" s="1328"/>
      <c r="N129" s="1101"/>
    </row>
    <row r="130" spans="8:8" ht="15.0" customHeight="1">
      <c r="B130" s="1370" t="s">
        <v>399</v>
      </c>
      <c r="C130" s="1371"/>
      <c r="D130" s="1371"/>
      <c r="E130" s="1371"/>
      <c r="F130" s="1371"/>
      <c r="G130" s="1372"/>
      <c r="H130" s="1284"/>
      <c r="I130" s="1286"/>
      <c r="J130" s="1284"/>
      <c r="K130" s="1286"/>
      <c r="L130" s="1283"/>
      <c r="M130" s="1373">
        <f>'TAX (OLD REGIME)'!P48</f>
        <v>1228556.0</v>
      </c>
      <c r="N130" s="1101"/>
    </row>
    <row r="131" spans="8:8" ht="15.0" customHeight="1">
      <c r="B131" s="1281"/>
      <c r="C131" s="1283"/>
      <c r="D131" s="1283"/>
      <c r="E131" s="1283"/>
      <c r="F131" s="1283"/>
      <c r="G131" s="1286"/>
      <c r="H131" s="1284"/>
      <c r="I131" s="1286"/>
      <c r="J131" s="1284"/>
      <c r="K131" s="1286"/>
      <c r="L131" s="1283"/>
      <c r="M131" s="1374"/>
      <c r="N131" s="1101"/>
    </row>
    <row r="132" spans="8:8" ht="15.0" customHeight="1">
      <c r="B132" s="1281" t="s">
        <v>400</v>
      </c>
      <c r="C132" s="1283"/>
      <c r="D132" s="1283"/>
      <c r="E132" s="1283"/>
      <c r="F132" s="1283"/>
      <c r="G132" s="1286"/>
      <c r="H132" s="1284"/>
      <c r="I132" s="1286"/>
      <c r="J132" s="1284"/>
      <c r="K132" s="1286"/>
      <c r="L132" s="1283"/>
      <c r="M132" s="1375">
        <f>'TAX (OLD REGIME)'!P56</f>
        <v>181068.0</v>
      </c>
      <c r="N132" s="1101"/>
    </row>
    <row r="133" spans="8:8" ht="15.0" customHeight="1">
      <c r="B133" s="1376" t="s">
        <v>401</v>
      </c>
      <c r="C133" s="1283"/>
      <c r="D133" s="1283"/>
      <c r="E133" s="1283"/>
      <c r="F133" s="1283"/>
      <c r="G133" s="1283"/>
      <c r="H133" s="1284"/>
      <c r="I133" s="1286"/>
      <c r="J133" s="1283"/>
      <c r="K133" s="1286"/>
      <c r="L133" s="1283"/>
      <c r="M133" s="1375">
        <f>'TAX (OLD REGIME)'!P57</f>
        <v>0.0</v>
      </c>
      <c r="N133" s="1101"/>
      <c r="P133" s="701" t="s">
        <v>13</v>
      </c>
      <c r="Q133" s="1377">
        <f>W133</f>
        <v>1.0</v>
      </c>
      <c r="R133" s="1378" t="str">
        <f>VLOOKUP(P133,'TAX (OLD REGIME)'!C21:I29,2,0)</f>
        <v>jkT; chek ¼SI)</v>
      </c>
      <c r="S133" s="1379">
        <f>VLOOKUP(P133,'TAX (OLD REGIME)'!C21:I29,6,0)</f>
        <v>84000.0</v>
      </c>
      <c r="T133" s="1380"/>
      <c r="U133" s="1381">
        <f>IF(S133&gt;0,1,0)</f>
        <v>1.0</v>
      </c>
      <c r="V133" s="1097">
        <f>U133</f>
        <v>1.0</v>
      </c>
      <c r="W133" s="1097">
        <f>IF(V133&gt;V119,1,0)</f>
        <v>1.0</v>
      </c>
    </row>
    <row r="134" spans="8:8" ht="15.0" customHeight="1">
      <c r="B134" s="1281" t="s">
        <v>402</v>
      </c>
      <c r="C134" s="1283"/>
      <c r="D134" s="1283"/>
      <c r="E134" s="1283"/>
      <c r="F134" s="1283"/>
      <c r="G134" s="1283"/>
      <c r="H134" s="1284"/>
      <c r="I134" s="1286"/>
      <c r="J134" s="1283"/>
      <c r="K134" s="1286"/>
      <c r="L134" s="1283"/>
      <c r="M134" s="1374">
        <f>IF((M132-M133)&gt;0,(M132-M133),0)</f>
        <v>181068.0</v>
      </c>
      <c r="N134" s="1101"/>
      <c r="P134" s="701" t="s">
        <v>15</v>
      </c>
      <c r="Q134" s="1377">
        <f t="shared" si="7" ref="Q134:Q150">W134</f>
        <v>0.0</v>
      </c>
      <c r="R134" s="1378" t="str">
        <f>VLOOKUP(P134,'TAX (OLD REGIME)'!C22:I30,2,0)</f>
        <v>thou chek izhfe;e ¼LIC)</v>
      </c>
      <c r="S134" s="1379">
        <f>VLOOKUP(P134,'TAX (OLD REGIME)'!C22:I30,6,0)</f>
        <v>0.0</v>
      </c>
      <c r="U134" s="1381">
        <f t="shared" si="8" ref="U134:U151">IF(S134&gt;0,1,0)</f>
        <v>0.0</v>
      </c>
      <c r="V134" s="1097">
        <f t="shared" si="9" ref="V134:V151">U134+V133</f>
        <v>1.0</v>
      </c>
      <c r="W134" s="1097">
        <f>IF(V134&gt;V133,1+V133,0)</f>
        <v>0.0</v>
      </c>
    </row>
    <row r="135" spans="8:8" ht="15.0" customHeight="1">
      <c r="B135" s="1281" t="s">
        <v>403</v>
      </c>
      <c r="C135" s="1283"/>
      <c r="D135" s="1283"/>
      <c r="E135" s="1283"/>
      <c r="F135" s="1283"/>
      <c r="G135" s="1283"/>
      <c r="H135" s="1284"/>
      <c r="I135" s="1286"/>
      <c r="J135" s="1283"/>
      <c r="K135" s="1286"/>
      <c r="L135" s="1283"/>
      <c r="M135" s="1374">
        <f>ROUND(M134*4%,0)</f>
        <v>7243.0</v>
      </c>
      <c r="N135" s="1101"/>
      <c r="P135" s="701" t="s">
        <v>17</v>
      </c>
      <c r="Q135" s="1377">
        <f t="shared" si="7"/>
        <v>0.0</v>
      </c>
      <c r="R135" s="1378" t="str">
        <f>VLOOKUP(P135,'TAX (OLD REGIME)'!C23:I31,2,0)</f>
        <v>jk"Vªh; cpr i= ¼NSC)</v>
      </c>
      <c r="S135" s="1379">
        <f>VLOOKUP(P135,'TAX (OLD REGIME)'!C23:I31,6,0)</f>
        <v>0.0</v>
      </c>
      <c r="U135" s="1381">
        <f t="shared" si="8"/>
        <v>0.0</v>
      </c>
      <c r="V135" s="1097">
        <f t="shared" si="9"/>
        <v>1.0</v>
      </c>
      <c r="W135" s="1097">
        <f t="shared" si="10" ref="W135:W151">IF(V135&gt;V134,1+V134,0)</f>
        <v>0.0</v>
      </c>
    </row>
    <row r="136" spans="8:8" ht="15.0" customHeight="1">
      <c r="B136" s="1281" t="s">
        <v>404</v>
      </c>
      <c r="C136" s="1283"/>
      <c r="D136" s="1283"/>
      <c r="E136" s="1283"/>
      <c r="F136" s="1283"/>
      <c r="G136" s="1283"/>
      <c r="H136" s="1284"/>
      <c r="I136" s="1286"/>
      <c r="J136" s="1283"/>
      <c r="K136" s="1286"/>
      <c r="L136" s="1283"/>
      <c r="M136" s="1374">
        <f>M134+M135</f>
        <v>188311.0</v>
      </c>
      <c r="N136" s="1101"/>
      <c r="P136" s="701" t="s">
        <v>19</v>
      </c>
      <c r="Q136" s="1377">
        <f t="shared" si="7"/>
        <v>0.0</v>
      </c>
      <c r="R136" s="1378" t="str">
        <f>VLOOKUP(P136,'TAX (OLD REGIME)'!C24:I32,2,0)</f>
        <v>yksd Hkfo"; fuf/k ¼PPF)</v>
      </c>
      <c r="S136" s="1379">
        <f>VLOOKUP(P136,'TAX (OLD REGIME)'!C24:I32,6,0)</f>
        <v>0.0</v>
      </c>
      <c r="U136" s="1381">
        <f t="shared" si="8"/>
        <v>0.0</v>
      </c>
      <c r="V136" s="1097">
        <f t="shared" si="9"/>
        <v>1.0</v>
      </c>
      <c r="W136" s="1097">
        <f t="shared" si="10"/>
        <v>0.0</v>
      </c>
    </row>
    <row r="137" spans="8:8" ht="15.0" customHeight="1">
      <c r="B137" s="1281" t="s">
        <v>405</v>
      </c>
      <c r="C137" s="1283"/>
      <c r="D137" s="1283"/>
      <c r="E137" s="1283"/>
      <c r="F137" s="1283"/>
      <c r="G137" s="1283"/>
      <c r="H137" s="1284"/>
      <c r="I137" s="1286"/>
      <c r="J137" s="1283"/>
      <c r="K137" s="1286"/>
      <c r="L137" s="1283"/>
      <c r="M137" s="1374">
        <f>'TAX (OLD REGIME)'!P61</f>
        <v>0.0</v>
      </c>
      <c r="N137" s="1101"/>
      <c r="P137" s="701" t="s">
        <v>21</v>
      </c>
      <c r="Q137" s="1377">
        <f t="shared" si="7"/>
        <v>0.0</v>
      </c>
      <c r="R137" s="1378" t="str">
        <f>VLOOKUP(P137,'TAX (OLD REGIME)'!C25:I33,2,0)</f>
        <v>jk"Vªh; cpr Ldhe ¼NSS)</v>
      </c>
      <c r="S137" s="1379">
        <f>VLOOKUP(P137,'TAX (OLD REGIME)'!C25:I33,6,0)</f>
        <v>0.0</v>
      </c>
      <c r="U137" s="1381">
        <f t="shared" si="8"/>
        <v>0.0</v>
      </c>
      <c r="V137" s="1097">
        <f t="shared" si="9"/>
        <v>1.0</v>
      </c>
      <c r="W137" s="1097">
        <f>IF(V137&gt;V136,1+V136,0)</f>
        <v>0.0</v>
      </c>
    </row>
    <row r="138" spans="8:8" ht="15.0" customHeight="1">
      <c r="B138" s="1382" t="s">
        <v>406</v>
      </c>
      <c r="C138" s="1383"/>
      <c r="D138" s="1383"/>
      <c r="E138" s="1383"/>
      <c r="F138" s="1383"/>
      <c r="G138" s="1384"/>
      <c r="H138" s="1284"/>
      <c r="I138" s="1286"/>
      <c r="J138" s="1283"/>
      <c r="K138" s="1286"/>
      <c r="L138" s="1283"/>
      <c r="M138" s="1374">
        <f>M136-M137</f>
        <v>188311.0</v>
      </c>
      <c r="N138" s="1101"/>
      <c r="P138" s="701" t="s">
        <v>23</v>
      </c>
      <c r="Q138" s="1377">
        <f t="shared" si="7"/>
        <v>2.0</v>
      </c>
      <c r="R138" s="1385" t="str">
        <f>VLOOKUP(P138,'TAX (OLD REGIME)'!C26:I34,2,0)</f>
        <v>Gen.Provident Fund (GPF)</v>
      </c>
      <c r="S138" s="1379">
        <f>VLOOKUP(P138,'TAX (OLD REGIME)'!C26:I34,6,0)</f>
        <v>72504.0</v>
      </c>
      <c r="U138" s="1381">
        <f t="shared" si="8"/>
        <v>1.0</v>
      </c>
      <c r="V138" s="1097">
        <f t="shared" si="9"/>
        <v>2.0</v>
      </c>
      <c r="W138" s="1097">
        <f t="shared" si="10"/>
        <v>2.0</v>
      </c>
    </row>
    <row r="139" spans="8:8" ht="15.0" customHeight="1">
      <c r="B139" s="1382"/>
      <c r="C139" s="1383"/>
      <c r="D139" s="1383"/>
      <c r="E139" s="1383"/>
      <c r="F139" s="1383"/>
      <c r="G139" s="1384"/>
      <c r="H139" s="1284"/>
      <c r="I139" s="1286"/>
      <c r="J139" s="1322" t="s">
        <v>407</v>
      </c>
      <c r="K139" s="1323"/>
      <c r="L139" s="1283"/>
      <c r="M139" s="1386">
        <f>ROUND(M138,-1)</f>
        <v>188310.0</v>
      </c>
      <c r="N139" s="1101"/>
      <c r="P139" s="701" t="s">
        <v>25</v>
      </c>
      <c r="Q139" s="1377">
        <f t="shared" si="7"/>
        <v>3.0</v>
      </c>
      <c r="R139" s="1378" t="str">
        <f>VLOOKUP(P139,'TAX (OLD REGIME)'!C27:I35,2,0)</f>
        <v>lkewfgd chek izhfe;e ¼ G.Ins.)</v>
      </c>
      <c r="S139" s="1379">
        <f>VLOOKUP(P139,'TAX (OLD REGIME)'!C27:I35,6,0)</f>
        <v>700.0</v>
      </c>
      <c r="U139" s="1381">
        <f t="shared" si="8"/>
        <v>1.0</v>
      </c>
      <c r="V139" s="1097">
        <f t="shared" si="9"/>
        <v>3.0</v>
      </c>
      <c r="W139" s="1097">
        <f t="shared" si="10"/>
        <v>3.0</v>
      </c>
    </row>
    <row r="140" spans="8:8" ht="15.0" customHeight="1">
      <c r="B140" s="1281" t="s">
        <v>408</v>
      </c>
      <c r="C140" s="1283"/>
      <c r="D140" s="1283"/>
      <c r="E140" s="1283"/>
      <c r="F140" s="1283"/>
      <c r="G140" s="1283"/>
      <c r="H140" s="1284"/>
      <c r="I140" s="1286"/>
      <c r="J140" s="1283"/>
      <c r="K140" s="1286"/>
      <c r="L140" s="1283"/>
      <c r="M140" s="1374">
        <f>'TAX (OLD REGIME)'!P64</f>
        <v>99000.0</v>
      </c>
      <c r="N140" s="1101"/>
      <c r="P140" s="701" t="s">
        <v>27</v>
      </c>
      <c r="Q140" s="1377">
        <f t="shared" si="7"/>
        <v>3.0</v>
      </c>
      <c r="R140" s="1378" t="str">
        <f>VLOOKUP(P140,'TAX (OLD REGIME)'!C28:I36,2,0)</f>
        <v>UPLI@okf"kZd Iyku</v>
      </c>
      <c r="S140" s="1379">
        <f>VLOOKUP(P140,'TAX (OLD REGIME)'!C28:I36,6,0)</f>
        <v>0.0</v>
      </c>
      <c r="U140" s="1381">
        <f t="shared" si="8"/>
        <v>0.0</v>
      </c>
      <c r="V140" s="1097">
        <f t="shared" si="9"/>
        <v>3.0</v>
      </c>
      <c r="W140" s="1097">
        <f>IF(V140&gt;V138,1+V138,0)</f>
        <v>3.0</v>
      </c>
    </row>
    <row r="141" spans="8:8" ht="15.0" customHeight="1">
      <c r="B141" s="1298" t="s">
        <v>409</v>
      </c>
      <c r="C141" s="1299"/>
      <c r="D141" s="1299"/>
      <c r="E141" s="1299"/>
      <c r="F141" s="1299"/>
      <c r="G141" s="1299"/>
      <c r="H141" s="1300"/>
      <c r="I141" s="1312"/>
      <c r="J141" s="1387" t="str">
        <f>IF(M141&gt;0,"(Payble)","Refundable")</f>
        <v>(Payble)</v>
      </c>
      <c r="K141" s="1388"/>
      <c r="L141" s="1389"/>
      <c r="M141" s="1390">
        <f>M139-M140</f>
        <v>89310.0</v>
      </c>
      <c r="N141" s="1101"/>
      <c r="P141" s="701" t="s">
        <v>29</v>
      </c>
      <c r="Q141" s="1377">
        <f t="shared" si="7"/>
        <v>0.0</v>
      </c>
      <c r="R141" s="1378" t="str">
        <f>VLOOKUP(P141,'TAX (OLD REGIME)'!C29:I37,2,0)</f>
        <v>x`g _.k fdLr ¼HBA Premium)</v>
      </c>
      <c r="S141" s="1379">
        <f>VLOOKUP(P141,'TAX (OLD REGIME)'!C29:I37,6,0)</f>
        <v>0.0</v>
      </c>
      <c r="U141" s="1381">
        <f t="shared" si="8"/>
        <v>0.0</v>
      </c>
      <c r="V141" s="1097">
        <f t="shared" si="9"/>
        <v>3.0</v>
      </c>
      <c r="W141" s="1097">
        <f t="shared" si="10"/>
        <v>0.0</v>
      </c>
    </row>
    <row r="142" spans="8:8" ht="15.0" customHeight="1">
      <c r="B142" s="1242" t="s">
        <v>339</v>
      </c>
      <c r="C142" s="1243"/>
      <c r="D142" s="1243"/>
      <c r="E142" s="1243"/>
      <c r="F142" s="1243"/>
      <c r="G142" s="1243"/>
      <c r="H142" s="1243"/>
      <c r="I142" s="1243"/>
      <c r="J142" s="1243"/>
      <c r="K142" s="1243"/>
      <c r="L142" s="1243"/>
      <c r="M142" s="1391"/>
      <c r="N142" s="1101"/>
      <c r="P142" s="701" t="s">
        <v>14</v>
      </c>
      <c r="Q142" s="1377">
        <f t="shared" si="7"/>
        <v>0.0</v>
      </c>
      <c r="R142" s="1378" t="str">
        <f>VLOOKUP(P142,'TAX (OLD REGIME)'!C30:I38,2,0)</f>
        <v>lqdU;k le`f) ;kstuk esa tek jkf'k</v>
      </c>
      <c r="S142" s="1379">
        <f>VLOOKUP(P142,'TAX (OLD REGIME)'!C30:I38,6,0)</f>
        <v>0.0</v>
      </c>
      <c r="U142" s="1381">
        <f t="shared" si="8"/>
        <v>0.0</v>
      </c>
      <c r="V142" s="1097">
        <f>U142+V141</f>
        <v>3.0</v>
      </c>
      <c r="W142" s="1097">
        <f>IF(V142&gt;V141,1+V141,0)</f>
        <v>0.0</v>
      </c>
    </row>
    <row r="143" spans="8:8" ht="15.0" customHeight="1">
      <c r="B143" s="1245" t="s">
        <v>340</v>
      </c>
      <c r="C143" s="1246" t="str">
        <f>C57</f>
        <v>ABCD</v>
      </c>
      <c r="D143" s="1246"/>
      <c r="E143" s="1246"/>
      <c r="F143" s="1152" t="s">
        <v>341</v>
      </c>
      <c r="G143" s="1247"/>
      <c r="H143" s="1117"/>
      <c r="I143" s="1392"/>
      <c r="J143" s="1392"/>
      <c r="K143" s="1152" t="s">
        <v>342</v>
      </c>
      <c r="L143" s="1247"/>
      <c r="M143" s="1248"/>
      <c r="N143" s="1101"/>
      <c r="P143" s="701" t="s">
        <v>16</v>
      </c>
      <c r="Q143" s="1377">
        <f t="shared" si="7"/>
        <v>0.0</v>
      </c>
      <c r="R143" s="1378" t="str">
        <f>VLOOKUP(P143,'TAX (OLD REGIME)'!J21:O29,2,0)</f>
        <v>ljdkjh isa'ku ;kstuk esa va'knku ECPF vf/kdre osru dk 10 % /kkjk 80CCD(1) +अन्य कोई नियमो के अंतर्गत हो तो</v>
      </c>
      <c r="S143" s="1379">
        <f>VLOOKUP(P143,'TAX (OLD REGIME)'!J21:O29,5,0)</f>
        <v>0.0</v>
      </c>
      <c r="U143" s="1381">
        <f t="shared" si="8"/>
        <v>0.0</v>
      </c>
      <c r="V143" s="1097">
        <f t="shared" si="9"/>
        <v>3.0</v>
      </c>
      <c r="W143" s="1097">
        <f t="shared" si="10"/>
        <v>0.0</v>
      </c>
    </row>
    <row r="144" spans="8:8" ht="15.0" customHeight="1">
      <c r="B144" s="1393" t="str">
        <f>B58</f>
        <v>DDO/PRINCIPAL</v>
      </c>
      <c r="C144" s="1394"/>
      <c r="D144" s="1394"/>
      <c r="E144" s="1157" t="s">
        <v>410</v>
      </c>
      <c r="F144" s="1157"/>
      <c r="G144" s="1249"/>
      <c r="H144" s="1249"/>
      <c r="I144" s="1249"/>
      <c r="J144" s="1157"/>
      <c r="K144" s="1251"/>
      <c r="L144" s="1249"/>
      <c r="M144" s="1395"/>
      <c r="N144" s="1101"/>
      <c r="P144" s="701" t="s">
        <v>18</v>
      </c>
      <c r="Q144" s="1377">
        <f t="shared" si="7"/>
        <v>0.0</v>
      </c>
      <c r="R144" s="1378" t="str">
        <f>VLOOKUP(P144,'TAX (OLD REGIME)'!J23:O31,2,0)</f>
        <v>isa'ku Iyku gsrq va'knku ¼/kkjk 80CCC½</v>
      </c>
      <c r="S144" s="1379">
        <f>VLOOKUP(P144,'TAX (OLD REGIME)'!J23:O31,5,0)</f>
        <v>0.0</v>
      </c>
      <c r="U144" s="1381">
        <f t="shared" si="8"/>
        <v>0.0</v>
      </c>
      <c r="V144" s="1097">
        <f t="shared" si="9"/>
        <v>3.0</v>
      </c>
      <c r="W144" s="1097">
        <f t="shared" si="10"/>
        <v>0.0</v>
      </c>
    </row>
    <row r="145" spans="8:8" ht="15.0" customHeight="1">
      <c r="B145" s="1255" t="s">
        <v>411</v>
      </c>
      <c r="C145" s="1256"/>
      <c r="D145" s="1256"/>
      <c r="E145" s="1256"/>
      <c r="F145" s="1256"/>
      <c r="G145" s="1256"/>
      <c r="H145" s="1256"/>
      <c r="I145" s="1256"/>
      <c r="J145" s="1256"/>
      <c r="K145" s="1256"/>
      <c r="L145" s="1256"/>
      <c r="M145" s="1257"/>
      <c r="N145" s="1101"/>
      <c r="P145" s="701" t="s">
        <v>20</v>
      </c>
      <c r="Q145" s="1377">
        <f t="shared" si="7"/>
        <v>0.0</v>
      </c>
      <c r="R145" s="1378" t="str">
        <f>VLOOKUP(P145,'TAX (OLD REGIME)'!J24:O32,2,0)</f>
        <v>jk"Vªh; cpr i= ij vnr C;kt</v>
      </c>
      <c r="S145" s="1379">
        <f>VLOOKUP(P145,'TAX (OLD REGIME)'!J24:O32,5,0)</f>
        <v>0.0</v>
      </c>
      <c r="U145" s="1381">
        <f t="shared" si="8"/>
        <v>0.0</v>
      </c>
      <c r="V145" s="1097">
        <f t="shared" si="9"/>
        <v>3.0</v>
      </c>
      <c r="W145" s="1097">
        <f t="shared" si="10"/>
        <v>0.0</v>
      </c>
    </row>
    <row r="146" spans="8:8" ht="12.0" customHeight="1">
      <c r="B146" s="1396"/>
      <c r="C146" s="1397"/>
      <c r="D146" s="1397"/>
      <c r="E146" s="1397"/>
      <c r="F146" s="1397"/>
      <c r="G146" s="1397"/>
      <c r="H146" s="1397"/>
      <c r="I146" s="1397"/>
      <c r="J146" s="1397"/>
      <c r="K146" s="1397"/>
      <c r="L146" s="1397"/>
      <c r="M146" s="1398"/>
      <c r="N146" s="1101"/>
      <c r="P146" s="701" t="s">
        <v>22</v>
      </c>
      <c r="Q146" s="1377">
        <f t="shared" si="7"/>
        <v>0.0</v>
      </c>
      <c r="R146" s="1378" t="str">
        <f>VLOOKUP(P146,'TAX (OLD REGIME)'!J25:O33,2,0)</f>
        <v>V;w'ku Qhl </v>
      </c>
      <c r="S146" s="1379">
        <f>VLOOKUP(P146,'TAX (OLD REGIME)'!J25:O33,5,0)</f>
        <v>0.0</v>
      </c>
      <c r="U146" s="1381">
        <f t="shared" si="8"/>
        <v>0.0</v>
      </c>
      <c r="V146" s="1097">
        <f t="shared" si="9"/>
        <v>3.0</v>
      </c>
      <c r="W146" s="1097">
        <f t="shared" si="10"/>
        <v>0.0</v>
      </c>
    </row>
    <row r="147" spans="8:8" ht="5.25" customHeight="1">
      <c r="B147" s="1288"/>
      <c r="C147" s="1283"/>
      <c r="D147" s="1283"/>
      <c r="E147" s="1283"/>
      <c r="F147" s="1283"/>
      <c r="G147" s="1283"/>
      <c r="H147" s="1283"/>
      <c r="I147" s="1283"/>
      <c r="J147" s="1283"/>
      <c r="K147" s="1283"/>
      <c r="L147" s="1283"/>
      <c r="M147" s="1318"/>
      <c r="N147" s="1101"/>
      <c r="P147" s="701" t="s">
        <v>24</v>
      </c>
      <c r="Q147" s="1377">
        <f t="shared" si="7"/>
        <v>0.0</v>
      </c>
      <c r="R147" s="1378" t="str">
        <f>VLOOKUP(P147,'TAX (OLD REGIME)'!J26:O34,2,0)</f>
        <v>bfDoVh fyad lsfoax Ldhe</v>
      </c>
      <c r="S147" s="1379">
        <f>VLOOKUP(P147,'TAX (OLD REGIME)'!J26:O34,5,0)</f>
        <v>0.0</v>
      </c>
      <c r="U147" s="1381">
        <f t="shared" si="8"/>
        <v>0.0</v>
      </c>
      <c r="V147" s="1097">
        <f t="shared" si="9"/>
        <v>3.0</v>
      </c>
      <c r="W147" s="1097">
        <f t="shared" si="10"/>
        <v>0.0</v>
      </c>
    </row>
    <row r="148" spans="8:8" ht="5.25" customHeight="1">
      <c r="B148" s="1288"/>
      <c r="C148" s="1283"/>
      <c r="D148" s="1283"/>
      <c r="E148" s="1283"/>
      <c r="F148" s="1283"/>
      <c r="G148" s="1283"/>
      <c r="H148" s="1283"/>
      <c r="I148" s="1283"/>
      <c r="J148" s="1283"/>
      <c r="K148" s="1283"/>
      <c r="L148" s="1283"/>
      <c r="M148" s="1318"/>
      <c r="N148" s="1101"/>
      <c r="P148" s="701" t="s">
        <v>26</v>
      </c>
      <c r="Q148" s="1377">
        <f t="shared" si="7"/>
        <v>0.0</v>
      </c>
      <c r="R148" s="1378" t="str">
        <f>VLOOKUP(P148,'TAX (OLD REGIME)'!J27:O35,2,0)</f>
        <v>LFkfxr okf"kZdh ¼Defferred Annuty)</v>
      </c>
      <c r="S148" s="1379">
        <f>VLOOKUP(P148,'TAX (OLD REGIME)'!J27:O35,5,0)</f>
        <v>0.0</v>
      </c>
      <c r="U148" s="1381">
        <f t="shared" si="8"/>
        <v>0.0</v>
      </c>
      <c r="V148" s="1097">
        <f t="shared" si="9"/>
        <v>3.0</v>
      </c>
      <c r="W148" s="1097">
        <f t="shared" si="10"/>
        <v>0.0</v>
      </c>
    </row>
    <row r="149" spans="8:8" ht="5.25" customHeight="1">
      <c r="B149" s="1288"/>
      <c r="C149" s="1283"/>
      <c r="D149" s="1283"/>
      <c r="E149" s="1283"/>
      <c r="F149" s="1283"/>
      <c r="G149" s="1283"/>
      <c r="H149" s="1157"/>
      <c r="I149" s="1157"/>
      <c r="J149" s="1291"/>
      <c r="K149" s="1283"/>
      <c r="L149" s="1283"/>
      <c r="M149" s="1318"/>
      <c r="N149" s="1101"/>
      <c r="P149" s="701" t="s">
        <v>28</v>
      </c>
      <c r="Q149" s="1377">
        <f t="shared" si="7"/>
        <v>0.0</v>
      </c>
      <c r="R149" s="1378" t="str">
        <f>VLOOKUP(P149,'TAX (OLD REGIME)'!J28:O36,2,0)</f>
        <v>ih-,y-vkbZ- ¼PLI)</v>
      </c>
      <c r="S149" s="1379">
        <f>VLOOKUP(P149,'TAX (OLD REGIME)'!J28:O36,5,0)</f>
        <v>0.0</v>
      </c>
      <c r="U149" s="1381">
        <f t="shared" si="8"/>
        <v>0.0</v>
      </c>
      <c r="V149" s="1097">
        <f t="shared" si="9"/>
        <v>3.0</v>
      </c>
      <c r="W149" s="1097">
        <f t="shared" si="10"/>
        <v>0.0</v>
      </c>
    </row>
    <row r="150" spans="8:8" ht="15.0" customHeight="1">
      <c r="B150" s="1288"/>
      <c r="C150" s="1283"/>
      <c r="D150" s="1283"/>
      <c r="E150" s="1283"/>
      <c r="F150" s="1283"/>
      <c r="G150" s="1399" t="s">
        <v>412</v>
      </c>
      <c r="H150" s="1399"/>
      <c r="I150" s="1399"/>
      <c r="J150" s="1399"/>
      <c r="K150" s="1399"/>
      <c r="L150" s="1399"/>
      <c r="M150" s="1400"/>
      <c r="N150" s="1101"/>
      <c r="P150" s="701" t="s">
        <v>56</v>
      </c>
      <c r="Q150" s="1377">
        <f t="shared" si="7"/>
        <v>0.0</v>
      </c>
      <c r="R150" s="1378" t="str">
        <f>VLOOKUP(P150,'TAX (OLD REGIME)'!J29:O37,2,0)</f>
        <v>vU; tek jkf'k ¼/kkjk 80 lh ds vUrxZr½</v>
      </c>
      <c r="S150" s="1379">
        <f>VLOOKUP(P150,'TAX (OLD REGIME)'!J29:O37,5,0)</f>
        <v>0.0</v>
      </c>
      <c r="U150" s="1381">
        <f t="shared" si="8"/>
        <v>0.0</v>
      </c>
      <c r="V150" s="1097">
        <f t="shared" si="9"/>
        <v>3.0</v>
      </c>
      <c r="W150" s="1097">
        <f t="shared" si="10"/>
        <v>0.0</v>
      </c>
    </row>
    <row r="151" spans="8:8" ht="15.0" customHeight="1">
      <c r="B151" s="1288"/>
      <c r="C151" s="1283"/>
      <c r="D151" s="1283"/>
      <c r="E151" s="1283"/>
      <c r="F151" s="1283"/>
      <c r="G151" s="1399" t="s">
        <v>413</v>
      </c>
      <c r="H151" s="1399"/>
      <c r="I151" s="1399"/>
      <c r="J151" s="1399"/>
      <c r="K151" s="1399"/>
      <c r="L151" s="1399"/>
      <c r="M151" s="1400"/>
      <c r="N151" s="1101"/>
      <c r="P151" s="1401"/>
      <c r="Q151" s="1377"/>
      <c r="R151" s="1378"/>
      <c r="U151" s="1381">
        <f t="shared" si="8"/>
        <v>0.0</v>
      </c>
      <c r="V151" s="1097">
        <f t="shared" si="9"/>
        <v>3.0</v>
      </c>
      <c r="W151" s="1097">
        <f t="shared" si="10"/>
        <v>0.0</v>
      </c>
    </row>
    <row r="152" spans="8:8" ht="15.0" customHeight="1">
      <c r="B152" s="1288" t="s">
        <v>414</v>
      </c>
      <c r="C152" s="1085" t="str">
        <f>'MASTER DATA SHEET'!C3</f>
        <v> PRINCIPAL,GOVT. SEN. SEC. SCHOOL DASANA KHURD (DEEDWANA-KUCHAMAN)</v>
      </c>
      <c r="D152" s="1085"/>
      <c r="E152" s="1085"/>
      <c r="F152" s="1085"/>
      <c r="G152" s="1085"/>
      <c r="H152" s="1402" t="s">
        <v>415</v>
      </c>
      <c r="I152" s="1402"/>
      <c r="J152" s="1399" t="str">
        <f>C143</f>
        <v>ABCD</v>
      </c>
      <c r="K152" s="1399"/>
      <c r="L152" s="1283"/>
      <c r="M152" s="1318"/>
      <c r="N152" s="1101"/>
    </row>
    <row r="153" spans="8:8" ht="15.0" customHeight="1">
      <c r="B153" s="1288" t="s">
        <v>416</v>
      </c>
      <c r="C153" s="1087">
        <f>TODAY()</f>
        <v>45631.0</v>
      </c>
      <c r="D153" s="1087"/>
      <c r="E153" s="1087"/>
      <c r="F153" s="1087"/>
      <c r="G153" s="1403"/>
      <c r="H153" s="1402" t="s">
        <v>417</v>
      </c>
      <c r="I153" s="1402"/>
      <c r="J153" s="1399" t="str">
        <f>B144</f>
        <v>DDO/PRINCIPAL</v>
      </c>
      <c r="K153" s="1399"/>
      <c r="L153" s="1283"/>
      <c r="M153" s="1318"/>
      <c r="N153" s="1101"/>
    </row>
    <row r="154" spans="8:8" ht="16.5">
      <c r="B154" s="1404"/>
      <c r="C154" s="1405"/>
      <c r="D154" s="1405"/>
      <c r="E154" s="1405"/>
      <c r="F154" s="1405"/>
      <c r="G154" s="1405"/>
      <c r="H154" s="1405"/>
      <c r="I154" s="1405"/>
      <c r="J154" s="1405"/>
      <c r="K154" s="1406"/>
      <c r="L154" s="1405"/>
      <c r="M154" s="1407"/>
      <c r="N154" s="1101"/>
      <c r="P154" s="701" t="s">
        <v>13</v>
      </c>
      <c r="Q154" s="1381">
        <f>W154</f>
        <v>0.0</v>
      </c>
      <c r="R154" s="1378" t="str">
        <f>VLOOKUP(P154,'TAX (OLD REGIME)'!$C$36:$Q$44,2,0)</f>
        <v> /kkjk 80 D fpfdRlk chek izhfe;e ¼Lo;a]ifr@iRuh o cPpksa ds fy, : 25000] ekrk&amp;firk ds fy, : 25,000 lhfu;j flVhtu : 50,000½</v>
      </c>
      <c r="S154" s="1379">
        <f>VLOOKUP(P154,'TAX (OLD REGIME)'!$C$36:$Q$36,14,0)</f>
        <v>0.0</v>
      </c>
      <c r="U154" s="1381">
        <f>IF(S154&gt;0,1,0)</f>
        <v>0.0</v>
      </c>
      <c r="V154" s="1097">
        <f>U154</f>
        <v>0.0</v>
      </c>
      <c r="W154" s="1097">
        <f>IF(V154&gt;V153,1,0)</f>
        <v>0.0</v>
      </c>
      <c r="X154" s="1097" t="s">
        <v>418</v>
      </c>
    </row>
    <row r="155" spans="8:8" ht="16.5">
      <c r="B155" s="1408"/>
      <c r="C155" s="1408"/>
      <c r="D155" s="1408"/>
      <c r="E155" s="1408"/>
      <c r="F155" s="1408"/>
      <c r="G155" s="1408"/>
      <c r="H155" s="1408"/>
      <c r="I155" s="1408"/>
      <c r="J155" s="1408"/>
      <c r="K155" s="1408"/>
      <c r="L155" s="1408"/>
      <c r="M155" s="1408"/>
      <c r="N155" s="1409"/>
      <c r="P155" s="701" t="s">
        <v>15</v>
      </c>
      <c r="Q155" s="1381">
        <f t="shared" si="11" ref="Q155:Q162">W155</f>
        <v>0.0</v>
      </c>
      <c r="R155" s="1378" t="str">
        <f>VLOOKUP(P155,'TAX (OLD REGIME)'!$C$36:$Q$44,2,0)</f>
        <v>/kkjk 80 DD fodykax vkfJrksa ds fpfdRlk mipkj ¼vf/kdre 75,000 rFkk 80% ;k vf/kd fodykaxrk 125,000½</v>
      </c>
      <c r="S155" s="1379">
        <f>VLOOKUP(P155,'TAX (OLD REGIME)'!$C$36:$Q$44,14,0)</f>
        <v>0.0</v>
      </c>
      <c r="U155" s="1381">
        <f t="shared" si="12" ref="U155:U162">IF(S155&gt;0,1,0)</f>
        <v>0.0</v>
      </c>
      <c r="V155" s="1097">
        <f t="shared" si="13" ref="V155:V162">U155+V154</f>
        <v>0.0</v>
      </c>
      <c r="W155" s="1097">
        <f>IF(V155&gt;V154,1+V154,0)</f>
        <v>0.0</v>
      </c>
      <c r="X155" s="1097" t="s">
        <v>419</v>
      </c>
    </row>
    <row r="156" spans="8:8" ht="15.75" hidden="1">
      <c r="B156" s="1410"/>
      <c r="C156" s="1410"/>
      <c r="D156" s="1410"/>
      <c r="E156" s="1410"/>
      <c r="F156" s="1410"/>
      <c r="G156" s="1410"/>
      <c r="H156" s="1410"/>
      <c r="I156" s="1410"/>
      <c r="J156" s="1410"/>
      <c r="K156" s="1410"/>
      <c r="L156" s="1410"/>
      <c r="M156" s="1410"/>
      <c r="P156" s="701" t="s">
        <v>17</v>
      </c>
      <c r="Q156" s="1381">
        <f t="shared" si="11"/>
        <v>0.0</v>
      </c>
      <c r="R156" s="1378" t="str">
        <f>VLOOKUP(P156,'TAX (OLD REGIME)'!$C$36:$Q$44,2,0)</f>
        <v> /kkjk 80 DDB fof'k"V jksaxksa ds mipkj gsrq dVkSrh ¼vf/kdre : 40,000] lhfu;j flVhtu gsrq : 100,000½</v>
      </c>
      <c r="S156" s="1379">
        <f>VLOOKUP(P156,'TAX (OLD REGIME)'!$C$36:$Q$44,14,0)</f>
        <v>0.0</v>
      </c>
      <c r="U156" s="1381">
        <f t="shared" si="12"/>
        <v>0.0</v>
      </c>
      <c r="V156" s="1097">
        <f t="shared" si="13"/>
        <v>0.0</v>
      </c>
      <c r="W156" s="1097">
        <f t="shared" si="14" ref="W156:W161">IF(V156&gt;V155,1+V155,0)</f>
        <v>0.0</v>
      </c>
      <c r="X156" s="1097" t="s">
        <v>420</v>
      </c>
    </row>
    <row r="157" spans="8:8" ht="15.75" hidden="1">
      <c r="B157" s="1410"/>
      <c r="C157" s="1410"/>
      <c r="D157" s="1410"/>
      <c r="E157" s="1410"/>
      <c r="F157" s="1410"/>
      <c r="G157" s="1410"/>
      <c r="H157" s="1410"/>
      <c r="I157" s="1410"/>
      <c r="J157" s="1410"/>
      <c r="K157" s="1410"/>
      <c r="L157" s="1410"/>
      <c r="M157" s="1410"/>
      <c r="P157" s="701" t="s">
        <v>19</v>
      </c>
      <c r="Q157" s="1381">
        <f t="shared" si="11"/>
        <v>0.0</v>
      </c>
      <c r="R157" s="1378" t="str">
        <f>VLOOKUP(P157,'TAX (OLD REGIME)'!$C$36:$Q$44,2,0)</f>
        <v> /kkjk 80 E mPp f'k{kk gsrq fy, _.k dk C;kt</v>
      </c>
      <c r="S157" s="1379">
        <f>VLOOKUP(P157,'TAX (OLD REGIME)'!$C$36:$Q$44,14,0)</f>
        <v>0.0</v>
      </c>
      <c r="U157" s="1381">
        <f t="shared" si="12"/>
        <v>0.0</v>
      </c>
      <c r="V157" s="1097">
        <f t="shared" si="13"/>
        <v>0.0</v>
      </c>
      <c r="W157" s="1097">
        <f t="shared" si="14"/>
        <v>0.0</v>
      </c>
      <c r="X157" s="1097" t="s">
        <v>421</v>
      </c>
    </row>
    <row r="158" spans="8:8" ht="15.75" hidden="1">
      <c r="B158" s="1410"/>
      <c r="C158" s="1410"/>
      <c r="D158" s="1410"/>
      <c r="E158" s="1410"/>
      <c r="F158" s="1410"/>
      <c r="G158" s="1410"/>
      <c r="H158" s="1410"/>
      <c r="I158" s="1410"/>
      <c r="J158" s="1410"/>
      <c r="K158" s="1410"/>
      <c r="L158" s="1410"/>
      <c r="M158" s="1410"/>
      <c r="P158" s="701" t="s">
        <v>21</v>
      </c>
      <c r="Q158" s="1381">
        <f t="shared" si="11"/>
        <v>0.0</v>
      </c>
      <c r="R158" s="1378" t="str">
        <f>VLOOKUP(P158,'TAX (OLD REGIME)'!$C$36:$Q$44,2,0)</f>
        <v>/kkjk 80 G /kekZFkZ laLFkkvksa vkfn dks fn;s nku ¼ d Js.kh esa 100 izfr'kr ,oa [k Js.kh esa 50 izfr'kr½</v>
      </c>
      <c r="S158" s="1379">
        <f>VLOOKUP(P158,'TAX (OLD REGIME)'!$C$36:$Q$44,14,0)</f>
        <v>0.0</v>
      </c>
      <c r="U158" s="1381">
        <f t="shared" si="12"/>
        <v>0.0</v>
      </c>
      <c r="V158" s="1097">
        <f t="shared" si="13"/>
        <v>0.0</v>
      </c>
      <c r="W158" s="1097">
        <f t="shared" si="14"/>
        <v>0.0</v>
      </c>
      <c r="X158" s="1097" t="s">
        <v>422</v>
      </c>
    </row>
    <row r="159" spans="8:8" ht="15.75" hidden="1">
      <c r="B159" s="1410"/>
      <c r="C159" s="1410"/>
      <c r="D159" s="1410"/>
      <c r="E159" s="1410"/>
      <c r="F159" s="1410"/>
      <c r="G159" s="1410"/>
      <c r="H159" s="1410"/>
      <c r="I159" s="1410"/>
      <c r="J159" s="1410"/>
      <c r="K159" s="1410"/>
      <c r="L159" s="1410"/>
      <c r="M159" s="1410"/>
      <c r="P159" s="701" t="s">
        <v>23</v>
      </c>
      <c r="Q159" s="1381">
        <f t="shared" si="11"/>
        <v>0.0</v>
      </c>
      <c r="R159" s="1378" t="str">
        <f>VLOOKUP(P159,'TAX (OLD REGIME)'!$C$36:$Q$44,2,0)</f>
        <v>/kkjk 80 U LFkkbZ :i ls 'kkjhfjd vleFkZrrk dh n'kk esa ¼vf/kdre 75,000 rFkk  vf/kfu;e 1995 ds vuqlkj 125,000½</v>
      </c>
      <c r="S159" s="1379">
        <f>VLOOKUP(P159,'TAX (OLD REGIME)'!$C$36:$Q$44,14,0)</f>
        <v>0.0</v>
      </c>
      <c r="U159" s="1381">
        <f t="shared" si="12"/>
        <v>0.0</v>
      </c>
      <c r="V159" s="1097">
        <f t="shared" si="13"/>
        <v>0.0</v>
      </c>
      <c r="W159" s="1097">
        <f t="shared" si="14"/>
        <v>0.0</v>
      </c>
      <c r="X159" s="1097" t="s">
        <v>423</v>
      </c>
    </row>
    <row r="160" spans="8:8" ht="15.75" hidden="1">
      <c r="B160" s="1410"/>
      <c r="C160" s="1410"/>
      <c r="D160" s="1410"/>
      <c r="E160" s="1410"/>
      <c r="F160" s="1410"/>
      <c r="G160" s="1410"/>
      <c r="H160" s="1410"/>
      <c r="I160" s="1410"/>
      <c r="J160" s="1410"/>
      <c r="K160" s="1410"/>
      <c r="L160" s="1410"/>
      <c r="M160" s="1410"/>
      <c r="P160" s="701" t="s">
        <v>25</v>
      </c>
      <c r="Q160" s="1381">
        <f t="shared" si="11"/>
        <v>0.0</v>
      </c>
      <c r="R160" s="1378" t="str">
        <f>'TAX (OLD REGIME)'!D42</f>
        <v> /kkjk 80 TTA cpr [kkrs ij C;kt dh vf/kdre NwV :- 10,000           U/S 194(IA)</v>
      </c>
      <c r="S160" s="1379">
        <f>'TAX (OLD REGIME)'!P42</f>
        <v>0.0</v>
      </c>
      <c r="U160" s="1381">
        <f t="shared" si="12"/>
        <v>0.0</v>
      </c>
      <c r="V160" s="1097">
        <f t="shared" si="13"/>
        <v>0.0</v>
      </c>
      <c r="W160" s="1097">
        <f t="shared" si="14"/>
        <v>0.0</v>
      </c>
      <c r="X160" s="1097" t="s">
        <v>424</v>
      </c>
    </row>
    <row r="161" spans="8:8" ht="15.75" hidden="1">
      <c r="B161" s="1410"/>
      <c r="C161" s="1410"/>
      <c r="D161" s="1410"/>
      <c r="E161" s="1410"/>
      <c r="F161" s="1410"/>
      <c r="G161" s="1410"/>
      <c r="H161" s="1410"/>
      <c r="I161" s="1410"/>
      <c r="J161" s="1410"/>
      <c r="K161" s="1410"/>
      <c r="L161" s="1410"/>
      <c r="M161" s="1410"/>
      <c r="P161" s="701" t="s">
        <v>27</v>
      </c>
      <c r="Q161" s="1381">
        <f t="shared" si="11"/>
        <v>0.0</v>
      </c>
      <c r="R161" s="1378" t="str">
        <f>'TAX (OLD REGIME)'!D43</f>
        <v>/kkjk 80 TTB - aofj"B ukxfjdksa dks lHkh izdkj ds C;kt ij vf/kdre NwV&amp;  50,000 :-       U/S 194(A)</v>
      </c>
      <c r="S161" s="1379">
        <f>'TAX (OLD REGIME)'!P43</f>
        <v>0.0</v>
      </c>
      <c r="U161" s="1381">
        <f t="shared" si="12"/>
        <v>0.0</v>
      </c>
      <c r="V161" s="1097">
        <f t="shared" si="13"/>
        <v>0.0</v>
      </c>
      <c r="W161" s="1097">
        <f t="shared" si="14"/>
        <v>0.0</v>
      </c>
      <c r="X161" s="1411" t="s">
        <v>604</v>
      </c>
    </row>
    <row r="162" spans="8:8" ht="15.75" hidden="1">
      <c r="B162" s="1410"/>
      <c r="C162" s="1410"/>
      <c r="D162" s="1410"/>
      <c r="E162" s="1410"/>
      <c r="F162" s="1410"/>
      <c r="G162" s="1410"/>
      <c r="H162" s="1410"/>
      <c r="I162" s="1410"/>
      <c r="J162" s="1410"/>
      <c r="K162" s="1410"/>
      <c r="L162" s="1410"/>
      <c r="M162" s="1410"/>
      <c r="P162" s="701" t="s">
        <v>29</v>
      </c>
      <c r="Q162" s="1381">
        <f t="shared" si="11"/>
        <v>0.0</v>
      </c>
      <c r="R162" s="1378" t="str">
        <f>VLOOKUP(P162,'TAX (OLD REGIME)'!$C$36:$Q$44,2,0)</f>
        <v>/kkjk 80 GGC jktuhfrd ikfVZ;ksa gsrq fn;k x;k nku o धारा 80 GGA -अनुमोदित वैज्ञानिक,सामाजिक,ग्रामीण विकास आदि हेतु दिया गया दान</v>
      </c>
      <c r="S162" s="1379">
        <f>VLOOKUP(P162,'TAX (OLD REGIME)'!$C$36:$Q$44,14,0)</f>
        <v>0.0</v>
      </c>
      <c r="U162" s="1381">
        <f t="shared" si="12"/>
        <v>0.0</v>
      </c>
      <c r="V162" s="1097">
        <f t="shared" si="13"/>
        <v>0.0</v>
      </c>
      <c r="W162" s="1097">
        <f>IF(V162&gt;V160,1+V160,0)</f>
        <v>0.0</v>
      </c>
      <c r="X162" s="1097" t="s">
        <v>603</v>
      </c>
    </row>
    <row r="163" spans="8:8" hidden="1">
      <c r="B163" s="1410"/>
      <c r="C163" s="1410"/>
      <c r="D163" s="1410"/>
      <c r="E163" s="1410"/>
      <c r="F163" s="1410"/>
      <c r="G163" s="1410"/>
      <c r="H163" s="1410"/>
      <c r="I163" s="1410"/>
      <c r="J163" s="1410"/>
      <c r="K163" s="1410"/>
      <c r="L163" s="1410"/>
      <c r="M163" s="1410"/>
      <c r="Q163" s="1381"/>
      <c r="U163" s="1381"/>
    </row>
    <row r="164" spans="8:8" hidden="1">
      <c r="B164" s="1410"/>
      <c r="C164" s="1410"/>
      <c r="D164" s="1410"/>
      <c r="E164" s="1410"/>
      <c r="F164" s="1410"/>
      <c r="G164" s="1410"/>
      <c r="H164" s="1410"/>
      <c r="I164" s="1410"/>
      <c r="J164" s="1410"/>
      <c r="K164" s="1410"/>
      <c r="L164" s="1410"/>
      <c r="M164" s="1410"/>
    </row>
    <row r="165" spans="8:8" hidden="1"/>
    <row r="166" spans="8:8" hidden="1"/>
    <row r="167" spans="8:8" hidden="1"/>
    <row r="168" spans="8:8" hidden="1"/>
    <row r="169" spans="8:8" hidden="1"/>
    <row r="170" spans="8:8" hidden="1"/>
    <row r="171" spans="8:8" hidden="1"/>
    <row r="172" spans="8:8" hidden="1"/>
    <row r="173" spans="8:8" hidden="1"/>
    <row r="174" spans="8:8" hidden="1"/>
    <row r="175" spans="8:8" hidden="1"/>
    <row r="176" spans="8:8" hidden="1"/>
    <row r="177" spans="8:8" hidden="1"/>
    <row r="178" spans="8:8" hidden="1"/>
    <row r="179" spans="8:8" hidden="1"/>
    <row r="180" spans="8:8" hidden="1"/>
    <row r="181" spans="8:8" hidden="1"/>
    <row r="182" spans="8:8" hidden="1"/>
    <row r="183" spans="8:8" hidden="1"/>
    <row r="184" spans="8:8" hidden="1"/>
    <row r="185" spans="8:8" hidden="1"/>
    <row r="186" spans="8:8" hidden="1"/>
    <row r="187" spans="8:8" hidden="1"/>
    <row r="188" spans="8:8" hidden="1"/>
    <row r="189" spans="8:8" hidden="1"/>
    <row r="190" spans="8:8" hidden="1"/>
    <row r="191" spans="8:8" hidden="1"/>
    <row r="192" spans="8:8" hidden="1"/>
    <row r="193" spans="8:8" hidden="1"/>
    <row r="194" spans="8:8" hidden="1"/>
    <row r="195" spans="8:8" hidden="1"/>
    <row r="196" spans="8:8" hidden="1"/>
    <row r="197" spans="8:8" hidden="1"/>
    <row r="198" spans="8:8" hidden="1"/>
    <row r="199" spans="8:8" hidden="1"/>
    <row r="200" spans="8:8" hidden="1"/>
    <row r="201" spans="8:8" hidden="1"/>
    <row r="202" spans="8:8" hidden="1"/>
    <row r="203" spans="8:8" hidden="1"/>
    <row r="204" spans="8:8" hidden="1"/>
    <row r="205" spans="8:8" hidden="1"/>
    <row r="206" spans="8:8" hidden="1"/>
    <row r="207" spans="8:8" hidden="1"/>
    <row r="208" spans="8:8" hidden="1"/>
    <row r="209" spans="8:8" hidden="1"/>
    <row r="210" spans="8:8" hidden="1"/>
    <row r="211" spans="8:8" hidden="1"/>
    <row r="212" spans="8:8" hidden="1"/>
    <row r="213" spans="8:8" hidden="1"/>
    <row r="214" spans="8:8" hidden="1"/>
    <row r="215" spans="8:8" hidden="1"/>
    <row r="216" spans="8:8" hidden="1"/>
    <row r="217" spans="8:8" hidden="1"/>
    <row r="218" spans="8:8" hidden="1"/>
    <row r="219" spans="8:8" hidden="1"/>
    <row r="220" spans="8:8" hidden="1"/>
    <row r="221" spans="8:8" hidden="1"/>
    <row r="222" spans="8:8" hidden="1"/>
    <row r="223" spans="8:8" hidden="1"/>
    <row r="224" spans="8:8" hidden="1"/>
    <row r="225" spans="8:8" hidden="1"/>
    <row r="226" spans="8:8" hidden="1"/>
    <row r="227" spans="8:8" hidden="1"/>
    <row r="228" spans="8:8" hidden="1"/>
    <row r="229" spans="8:8" hidden="1"/>
    <row r="230" spans="8:8" hidden="1"/>
    <row r="231" spans="8:8" hidden="1"/>
    <row r="232" spans="8:8" hidden="1"/>
    <row r="233" spans="8:8" hidden="1"/>
    <row r="234" spans="8:8" hidden="1"/>
    <row r="235" spans="8:8" hidden="1"/>
    <row r="236" spans="8:8" hidden="1"/>
    <row r="237" spans="8:8" hidden="1"/>
    <row r="238" spans="8:8" hidden="1"/>
    <row r="239" spans="8:8" hidden="1"/>
    <row r="240" spans="8:8" hidden="1"/>
    <row r="241" spans="8:8" hidden="1"/>
    <row r="242" spans="8:8" hidden="1"/>
    <row r="243" spans="8:8" hidden="1"/>
    <row r="244" spans="8:8" hidden="1"/>
    <row r="245" spans="8:8" hidden="1"/>
    <row r="246" spans="8:8" hidden="1"/>
    <row r="247" spans="8:8" hidden="1"/>
    <row r="248" spans="8:8" hidden="1"/>
    <row r="249" spans="8:8" hidden="1"/>
    <row r="250" spans="8:8" hidden="1"/>
    <row r="251" spans="8:8" hidden="1"/>
    <row r="252" spans="8:8" hidden="1"/>
    <row r="253" spans="8:8" hidden="1"/>
    <row r="254" spans="8:8" hidden="1"/>
    <row r="255" spans="8:8" hidden="1"/>
    <row r="256" spans="8:8" hidden="1"/>
    <row r="257" spans="8:8" hidden="1"/>
    <row r="258" spans="8:8" hidden="1"/>
    <row r="259" spans="8:8" hidden="1"/>
    <row r="260" spans="8:8" hidden="1"/>
    <row r="261" spans="8:8" hidden="1"/>
    <row r="262" spans="8:8" hidden="1"/>
    <row r="263" spans="8:8" hidden="1"/>
    <row r="264" spans="8:8" hidden="1"/>
    <row r="265" spans="8:8" hidden="1"/>
    <row r="266" spans="8:8" hidden="1"/>
    <row r="267" spans="8:8" hidden="1"/>
    <row r="268" spans="8:8" hidden="1"/>
    <row r="269" spans="8:8" hidden="1"/>
    <row r="270" spans="8:8" hidden="1"/>
    <row r="271" spans="8:8" hidden="1"/>
    <row r="272" spans="8:8" hidden="1"/>
    <row r="273" spans="8:8" hidden="1"/>
    <row r="274" spans="8:8" hidden="1"/>
    <row r="275" spans="8:8" hidden="1"/>
    <row r="276" spans="8:8" hidden="1"/>
    <row r="277" spans="8:8" hidden="1"/>
    <row r="278" spans="8:8" hidden="1"/>
    <row r="279" spans="8:8" hidden="1"/>
    <row r="280" spans="8:8" hidden="1"/>
    <row r="281" spans="8:8" hidden="1"/>
    <row r="282" spans="8:8" hidden="1"/>
    <row r="283" spans="8:8" hidden="1"/>
    <row r="284" spans="8:8" hidden="1"/>
    <row r="285" spans="8:8" hidden="1"/>
    <row r="286" spans="8:8" hidden="1"/>
    <row r="287" spans="8:8" hidden="1"/>
    <row r="288" spans="8:8" hidden="1"/>
    <row r="289" spans="8:8" hidden="1"/>
    <row r="290" spans="8:8" hidden="1"/>
    <row r="291" spans="8:8" hidden="1"/>
    <row r="292" spans="8:8" hidden="1"/>
    <row r="293" spans="8:8" hidden="1"/>
    <row r="294" spans="8:8" hidden="1"/>
    <row r="295" spans="8:8" hidden="1"/>
    <row r="296" spans="8:8" hidden="1"/>
    <row r="297" spans="8:8" hidden="1"/>
    <row r="298" spans="8:8" hidden="1"/>
    <row r="299" spans="8:8" hidden="1"/>
    <row r="300" spans="8:8" hidden="1"/>
    <row r="301" spans="8:8" hidden="1"/>
    <row r="302" spans="8:8" hidden="1"/>
    <row r="303" spans="8:8" hidden="1"/>
    <row r="304" spans="8:8" hidden="1"/>
    <row r="305" spans="8:8" hidden="1"/>
    <row r="306" spans="8:8" hidden="1"/>
    <row r="307" spans="8:8" hidden="1"/>
    <row r="308" spans="8:8" hidden="1"/>
    <row r="309" spans="8:8" hidden="1"/>
    <row r="310" spans="8:8" hidden="1"/>
    <row r="311" spans="8:8" hidden="1"/>
    <row r="312" spans="8:8" hidden="1"/>
    <row r="313" spans="8:8" hidden="1"/>
    <row r="314" spans="8:8" hidden="1"/>
    <row r="315" spans="8:8" hidden="1"/>
  </sheetData>
  <sheetProtection password="cda0" sheet="1" objects="1" scenarios="1"/>
  <mergeCells count="285">
    <mergeCell ref="L108:M108"/>
    <mergeCell ref="F53:G53"/>
    <mergeCell ref="B63:M63"/>
    <mergeCell ref="H39:I39"/>
    <mergeCell ref="B155:M155"/>
    <mergeCell ref="B145:M145"/>
    <mergeCell ref="B142:M142"/>
    <mergeCell ref="D120:F120"/>
    <mergeCell ref="J105:K105"/>
    <mergeCell ref="L121:M121"/>
    <mergeCell ref="B77:M77"/>
    <mergeCell ref="J119:K119"/>
    <mergeCell ref="C57:E57"/>
    <mergeCell ref="L39:M39"/>
    <mergeCell ref="N2:N155"/>
    <mergeCell ref="C48:E48"/>
    <mergeCell ref="H57:J57"/>
    <mergeCell ref="J39:K39"/>
    <mergeCell ref="J54:K54"/>
    <mergeCell ref="H54:I54"/>
    <mergeCell ref="L48:M48"/>
    <mergeCell ref="B62:C62"/>
    <mergeCell ref="H122:I122"/>
    <mergeCell ref="J111:K111"/>
    <mergeCell ref="B73:F73"/>
    <mergeCell ref="B67:H67"/>
    <mergeCell ref="B88:H88"/>
    <mergeCell ref="B66:M66"/>
    <mergeCell ref="F55:G55"/>
    <mergeCell ref="F54:G54"/>
    <mergeCell ref="B5:M5"/>
    <mergeCell ref="B4:M4"/>
    <mergeCell ref="H34:I34"/>
    <mergeCell ref="L44:M44"/>
    <mergeCell ref="B6:M6"/>
    <mergeCell ref="H15:M15"/>
    <mergeCell ref="C31:E31"/>
    <mergeCell ref="J34:K34"/>
    <mergeCell ref="B24:C24"/>
    <mergeCell ref="B11:G14"/>
    <mergeCell ref="H10:M10"/>
    <mergeCell ref="C34:E34"/>
    <mergeCell ref="I26:K26"/>
    <mergeCell ref="D24:F24"/>
    <mergeCell ref="B27:M27"/>
    <mergeCell ref="G26:H26"/>
    <mergeCell ref="B22:C22"/>
    <mergeCell ref="L32:M32"/>
    <mergeCell ref="B8:M8"/>
    <mergeCell ref="C32:E32"/>
    <mergeCell ref="L26:M26"/>
    <mergeCell ref="D22:F22"/>
    <mergeCell ref="J37:K37"/>
    <mergeCell ref="D26:F26"/>
    <mergeCell ref="F34:G34"/>
    <mergeCell ref="I22:K22"/>
    <mergeCell ref="D112:F112"/>
    <mergeCell ref="L125:M125"/>
    <mergeCell ref="H128:I128"/>
    <mergeCell ref="L123:M123"/>
    <mergeCell ref="H125:I125"/>
    <mergeCell ref="D125:F125"/>
    <mergeCell ref="J108:K108"/>
    <mergeCell ref="B72:M72"/>
    <mergeCell ref="J53:K53"/>
    <mergeCell ref="C36:E36"/>
    <mergeCell ref="L34:M34"/>
    <mergeCell ref="C39:E39"/>
    <mergeCell ref="J38:K38"/>
    <mergeCell ref="H37:I37"/>
    <mergeCell ref="H41:I41"/>
    <mergeCell ref="B3:M3"/>
    <mergeCell ref="D122:F122"/>
    <mergeCell ref="L109:M109"/>
    <mergeCell ref="J141:K141"/>
    <mergeCell ref="H121:I121"/>
    <mergeCell ref="L110:M110"/>
    <mergeCell ref="B64:M64"/>
    <mergeCell ref="J120:K120"/>
    <mergeCell ref="H110:I110"/>
    <mergeCell ref="K89:L89"/>
    <mergeCell ref="D111:F111"/>
    <mergeCell ref="H124:I124"/>
    <mergeCell ref="C152:G152"/>
    <mergeCell ref="H49:I49"/>
    <mergeCell ref="F39:G39"/>
    <mergeCell ref="J36:K36"/>
    <mergeCell ref="D109:F109"/>
    <mergeCell ref="J124:K124"/>
    <mergeCell ref="L112:M112"/>
    <mergeCell ref="H36:I36"/>
    <mergeCell ref="L37:M37"/>
    <mergeCell ref="H40:I40"/>
    <mergeCell ref="B113:G113"/>
    <mergeCell ref="H120:I120"/>
    <mergeCell ref="C37:E37"/>
    <mergeCell ref="F49:G49"/>
    <mergeCell ref="D110:F110"/>
    <mergeCell ref="F37:G37"/>
    <mergeCell ref="F38:G38"/>
    <mergeCell ref="J116:K116"/>
    <mergeCell ref="B70:M70"/>
    <mergeCell ref="C54:E54"/>
    <mergeCell ref="J50:K50"/>
    <mergeCell ref="F52:G52"/>
    <mergeCell ref="L51:M51"/>
    <mergeCell ref="H35:I35"/>
    <mergeCell ref="F36:G36"/>
    <mergeCell ref="K84:L84"/>
    <mergeCell ref="G151:M151"/>
    <mergeCell ref="B104:E104"/>
    <mergeCell ref="J153:K153"/>
    <mergeCell ref="C153:F153"/>
    <mergeCell ref="L128:M128"/>
    <mergeCell ref="L129:M129"/>
    <mergeCell ref="J139:K139"/>
    <mergeCell ref="J152:K152"/>
    <mergeCell ref="J128:K128"/>
    <mergeCell ref="L106:M106"/>
    <mergeCell ref="C143:E143"/>
    <mergeCell ref="H153:I153"/>
    <mergeCell ref="L120:M120"/>
    <mergeCell ref="G150:M150"/>
    <mergeCell ref="B128:G128"/>
    <mergeCell ref="H152:I152"/>
    <mergeCell ref="H42:I42"/>
    <mergeCell ref="I23:K23"/>
    <mergeCell ref="G25:H25"/>
    <mergeCell ref="H19:I19"/>
    <mergeCell ref="J33:K33"/>
    <mergeCell ref="I25:K25"/>
    <mergeCell ref="L43:M43"/>
    <mergeCell ref="H50:I50"/>
    <mergeCell ref="L30:M30"/>
    <mergeCell ref="C42:E42"/>
    <mergeCell ref="L49:M49"/>
    <mergeCell ref="D25:F25"/>
    <mergeCell ref="D23:F23"/>
    <mergeCell ref="H33:I33"/>
    <mergeCell ref="L25:M25"/>
    <mergeCell ref="C29:E29"/>
    <mergeCell ref="C28:E28"/>
    <mergeCell ref="E15:G15"/>
    <mergeCell ref="I21:K21"/>
    <mergeCell ref="H55:M55"/>
    <mergeCell ref="J51:K51"/>
    <mergeCell ref="H51:I51"/>
    <mergeCell ref="B71:M71"/>
    <mergeCell ref="F47:M47"/>
    <mergeCell ref="B7:M7"/>
    <mergeCell ref="J42:K42"/>
    <mergeCell ref="F42:G42"/>
    <mergeCell ref="H17:J17"/>
    <mergeCell ref="C53:E53"/>
    <mergeCell ref="J52:K52"/>
    <mergeCell ref="B46:M46"/>
    <mergeCell ref="H109:I109"/>
    <mergeCell ref="D107:F107"/>
    <mergeCell ref="J107:K107"/>
    <mergeCell ref="B68:M68"/>
    <mergeCell ref="H107:I107"/>
    <mergeCell ref="J109:K109"/>
    <mergeCell ref="L107:M107"/>
    <mergeCell ref="B2:M2"/>
    <mergeCell ref="H44:I44"/>
    <mergeCell ref="C38:E38"/>
    <mergeCell ref="L23:M23"/>
    <mergeCell ref="H43:I43"/>
    <mergeCell ref="B25:C25"/>
    <mergeCell ref="C43:E43"/>
    <mergeCell ref="C35:E35"/>
    <mergeCell ref="L33:M33"/>
    <mergeCell ref="B16:D16"/>
    <mergeCell ref="H11:M12"/>
    <mergeCell ref="B58:D58"/>
    <mergeCell ref="H52:I52"/>
    <mergeCell ref="C55:E55"/>
    <mergeCell ref="F44:G44"/>
    <mergeCell ref="L35:M35"/>
    <mergeCell ref="G23:H23"/>
    <mergeCell ref="H38:I38"/>
    <mergeCell ref="J40:K40"/>
    <mergeCell ref="J41:K41"/>
    <mergeCell ref="F40:G40"/>
    <mergeCell ref="C41:E41"/>
    <mergeCell ref="C47:E47"/>
    <mergeCell ref="H18:I18"/>
    <mergeCell ref="L42:M42"/>
    <mergeCell ref="K18:M19"/>
    <mergeCell ref="F35:G35"/>
    <mergeCell ref="J44:K44"/>
    <mergeCell ref="F29:G29"/>
    <mergeCell ref="J43:K43"/>
    <mergeCell ref="L29:M29"/>
    <mergeCell ref="F28:M28"/>
    <mergeCell ref="L41:M41"/>
    <mergeCell ref="J35:K35"/>
    <mergeCell ref="F33:G33"/>
    <mergeCell ref="L38:M38"/>
    <mergeCell ref="F41:G41"/>
    <mergeCell ref="C33:E33"/>
    <mergeCell ref="B23:C23"/>
    <mergeCell ref="L40:M40"/>
    <mergeCell ref="F30:G30"/>
    <mergeCell ref="H29:I29"/>
    <mergeCell ref="H30:I30"/>
    <mergeCell ref="J29:K29"/>
    <mergeCell ref="J30:K30"/>
    <mergeCell ref="B21:C21"/>
    <mergeCell ref="B76:M76"/>
    <mergeCell ref="B144:D144"/>
    <mergeCell ref="H106:I106"/>
    <mergeCell ref="J106:K106"/>
    <mergeCell ref="B138:G139"/>
    <mergeCell ref="C51:E51"/>
    <mergeCell ref="J31:K31"/>
    <mergeCell ref="G24:H24"/>
    <mergeCell ref="L36:M36"/>
    <mergeCell ref="I24:K24"/>
    <mergeCell ref="L53:M53"/>
    <mergeCell ref="F32:G32"/>
    <mergeCell ref="J32:K32"/>
    <mergeCell ref="H32:I32"/>
    <mergeCell ref="B1:M1"/>
    <mergeCell ref="F43:G43"/>
    <mergeCell ref="H126:I126"/>
    <mergeCell ref="B69:M69"/>
    <mergeCell ref="D124:F124"/>
    <mergeCell ref="B130:G130"/>
    <mergeCell ref="J126:K126"/>
    <mergeCell ref="B127:G127"/>
    <mergeCell ref="L116:M116"/>
    <mergeCell ref="C52:E52"/>
    <mergeCell ref="B87:H87"/>
    <mergeCell ref="F51:G51"/>
    <mergeCell ref="J112:K112"/>
    <mergeCell ref="H116:I116"/>
    <mergeCell ref="H111:I111"/>
    <mergeCell ref="B9:I9"/>
    <mergeCell ref="J48:K48"/>
    <mergeCell ref="C50:E50"/>
    <mergeCell ref="J49:K49"/>
    <mergeCell ref="H31:I31"/>
    <mergeCell ref="C44:E44"/>
    <mergeCell ref="K17:M17"/>
    <mergeCell ref="H48:I48"/>
    <mergeCell ref="F48:G48"/>
    <mergeCell ref="C40:E40"/>
    <mergeCell ref="H16:M16"/>
    <mergeCell ref="B10:G10"/>
    <mergeCell ref="L52:M52"/>
    <mergeCell ref="H13:M14"/>
    <mergeCell ref="D21:F21"/>
    <mergeCell ref="B15:D15"/>
    <mergeCell ref="G21:H21"/>
    <mergeCell ref="E17:G19"/>
    <mergeCell ref="E16:G16"/>
    <mergeCell ref="L21:M21"/>
    <mergeCell ref="B65:M65"/>
    <mergeCell ref="B60:M61"/>
    <mergeCell ref="J125:K125"/>
    <mergeCell ref="B56:M56"/>
    <mergeCell ref="J9:K9"/>
    <mergeCell ref="D126:F126"/>
    <mergeCell ref="L122:M122"/>
    <mergeCell ref="J121:K121"/>
    <mergeCell ref="D121:F121"/>
    <mergeCell ref="H123:I123"/>
    <mergeCell ref="J123:K123"/>
    <mergeCell ref="H53:I53"/>
    <mergeCell ref="D123:F123"/>
    <mergeCell ref="L124:M124"/>
    <mergeCell ref="D108:F108"/>
    <mergeCell ref="H143:J143"/>
    <mergeCell ref="J122:K122"/>
    <mergeCell ref="H112:I112"/>
    <mergeCell ref="L111:M111"/>
    <mergeCell ref="J110:K110"/>
    <mergeCell ref="H108:I108"/>
    <mergeCell ref="B26:C26"/>
    <mergeCell ref="L54:M54"/>
    <mergeCell ref="B59:F59"/>
    <mergeCell ref="L24:M24"/>
    <mergeCell ref="L22:M22"/>
    <mergeCell ref="G22:H22"/>
  </mergeCells>
  <conditionalFormatting sqref="J141:M141">
    <cfRule type="expression" priority="5" dxfId="23">
      <formula>$K141="Refundable)"</formula>
    </cfRule>
    <cfRule type="expression" priority="6" dxfId="24">
      <formula>$K141="(payble)"</formula>
    </cfRule>
  </conditionalFormatting>
  <conditionalFormatting sqref="H120:I126">
    <cfRule type="cellIs" operator="equal" priority="2" dxfId="25">
      <formula>0</formula>
    </cfRule>
  </conditionalFormatting>
  <conditionalFormatting sqref="C57:E57 J58 D22:M26 C51:M55 C32:M44 H92:H94 H107:M112 H120:M120 J121:M125 H121:I126 J126:K126">
    <cfRule type="cellIs" operator="equal" priority="3" dxfId="26">
      <formula>0</formula>
    </cfRule>
  </conditionalFormatting>
  <conditionalFormatting sqref="F51:G55 C51:E54 H51:M54">
    <cfRule type="cellIs" operator="equal" priority="7" dxfId="27">
      <formula>0</formula>
    </cfRule>
  </conditionalFormatting>
  <conditionalFormatting sqref="L120:M128 L107:M116 M102 M99:M100 M97 K89:L89 J95 J87 J79:J80 J82 H116:K116 H92:H94 H107:K112 M130:M141 H120:K126">
    <cfRule type="cellIs" operator="equal" priority="4" dxfId="28">
      <formula>0</formula>
    </cfRule>
  </conditionalFormatting>
  <conditionalFormatting sqref="C51:M54 H120:M126">
    <cfRule type="cellIs" operator="equal" priority="1" dxfId="29">
      <formula>0</formula>
    </cfRule>
  </conditionalFormatting>
  <printOptions horizontalCentered="1"/>
  <pageMargins left="0.1968503937007874" right="0.0" top="0.1968503937007874" bottom="0.11811023622047245" header="0.07874015748031496" footer="0.07874015748031496"/>
  <pageSetup paperSize="9" scale="77"/>
  <headerFooter>
    <oddFooter>&amp;C&amp;"Arial,Bold"&amp;11निर्माणकर्ता :-भागीरथ मल अध्यापक L-1 GSSS डसाणा खुर्द मौलासर (डीडवाना-कुचामन)</oddFooter>
  </headerFooter>
</worksheet>
</file>

<file path=xl/worksheets/sheet11.xml><?xml version="1.0" encoding="utf-8"?>
<worksheet xmlns:r="http://schemas.openxmlformats.org/officeDocument/2006/relationships" xmlns="http://schemas.openxmlformats.org/spreadsheetml/2006/main">
  <sheetPr>
    <tabColor rgb="FFFFFF00"/>
  </sheetPr>
  <dimension ref="B1:BI202"/>
  <sheetViews>
    <sheetView workbookViewId="0" topLeftCell="D1" showGridLines="0" showRowColHeaders="0">
      <pane xSplit="1" ySplit="9" topLeftCell="E10" state="frozen" activePane="bottomRight"/>
      <selection pane="bottomRight" activeCell="E10" sqref="E10"/>
    </sheetView>
  </sheetViews>
  <sheetFormatPr defaultRowHeight="12.75" defaultColWidth="0" zeroHeight="1"/>
  <cols>
    <col min="1" max="1" hidden="1" customWidth="1" width="9.140625" style="306"/>
    <col min="2" max="2" hidden="1" customWidth="1" width="9.285156" style="306"/>
    <col min="3" max="3" hidden="1" customWidth="1" width="5.7109375" style="306"/>
    <col min="4" max="4" customWidth="1" width="1.5703125" style="1412"/>
    <col min="5" max="5" customWidth="1" width="6.2851562" style="1413"/>
    <col min="6" max="6" customWidth="1" width="21.140625" style="1413"/>
    <col min="7" max="7" customWidth="1" width="13.5703125" style="1413"/>
    <col min="8" max="8" customWidth="1" width="7.5703125" style="1413"/>
    <col min="9" max="9" customWidth="1" width="7.140625" style="1413"/>
    <col min="10" max="10" customWidth="1" width="7.0" style="1413"/>
    <col min="11" max="14" customWidth="1" width="8.5703125" style="1413"/>
    <col min="15" max="16" customWidth="1" width="13.0" style="1413"/>
    <col min="17" max="22" hidden="1" customWidth="1" width="8.5703125" style="1413"/>
    <col min="23" max="23" customWidth="1" width="10.425781" style="1413"/>
    <col min="24" max="24" hidden="1" customWidth="1" width="7.0" style="1413"/>
    <col min="25" max="25" hidden="1" customWidth="1" width="8.0" style="1413"/>
    <col min="26" max="26" hidden="1" customWidth="1" width="7.0" style="1412"/>
    <col min="27" max="27" hidden="1" customWidth="1" width="6.4257812" style="1412"/>
    <col min="28" max="28" hidden="1" customWidth="1" width="5.7109375" style="1412"/>
    <col min="29" max="29" hidden="1" customWidth="1" width="8.0" style="1412"/>
    <col min="30" max="30" hidden="1" customWidth="1" width="9.140625" style="1412"/>
    <col min="31" max="31" hidden="1" customWidth="1" width="10.140625" style="1412"/>
    <col min="32" max="32" customWidth="1" width="10.425781" style="1412"/>
    <col min="33" max="33" customWidth="1" width="8.0" style="1412"/>
    <col min="34" max="34" customWidth="1" width="7.140625" style="1412"/>
    <col min="35" max="38" customWidth="1" width="8.0" style="1412"/>
    <col min="39" max="39" customWidth="1" width="8.285156" style="1412"/>
    <col min="40" max="40" customWidth="1" width="13.0" style="1412"/>
    <col min="41" max="41" hidden="1" customWidth="1" width="8.0" style="1412"/>
    <col min="42" max="42" customWidth="1" width="7.4257812" style="1412"/>
    <col min="43" max="43" customWidth="1" width="5.2851562" style="1414"/>
    <col min="44" max="44" customWidth="1" width="3.140625" style="306"/>
    <col min="45" max="47" hidden="1" customWidth="1" width="7.8554688" style="306"/>
    <col min="48" max="49" hidden="1" customWidth="1" width="9.285156" style="306"/>
    <col min="50" max="50" hidden="1" customWidth="1" width="6.5703125" style="306"/>
    <col min="51" max="53" hidden="1" customWidth="1" width="7.8554688" style="306"/>
    <col min="54" max="54" hidden="1" customWidth="1" width="10.285156" style="306"/>
    <col min="55" max="55" hidden="1" customWidth="1" width="9.285156" style="306"/>
    <col min="56" max="56" hidden="1" customWidth="1" width="8.0" style="306"/>
    <col min="57" max="58" hidden="1" customWidth="1" width="3.140625" style="306"/>
    <col min="59" max="59" customWidth="1" width="3.140625" style="306"/>
    <col min="60" max="16384" hidden="1" customWidth="0" width="9.140625" style="306"/>
  </cols>
  <sheetData>
    <row r="1" spans="8:8" ht="33.75" customHeight="1">
      <c r="E1" s="1415" t="str">
        <f>'MASTER DATA SHEET'!B23</f>
        <v>निर्माणकर्ता :-भागीरथ मल अध्यापक L-1 GSSS डसाणा खुर्द मौलासर (डीडवाना-कुचामन)
किसी प्रकार के सुझाव के लिए ईमेल करे ---&gt;bhagirathmalkalwania@gmail.com</v>
      </c>
      <c r="F1" s="1415"/>
      <c r="G1" s="1415"/>
      <c r="H1" s="1415"/>
      <c r="I1" s="1415"/>
      <c r="J1" s="1415"/>
      <c r="K1" s="1415"/>
      <c r="L1" s="1415"/>
      <c r="M1" s="1415"/>
      <c r="N1" s="1415"/>
      <c r="O1" s="1415"/>
      <c r="P1" s="1415"/>
      <c r="Q1" s="1415"/>
      <c r="R1" s="1415"/>
      <c r="S1" s="1415"/>
      <c r="T1" s="1415"/>
      <c r="U1" s="1415"/>
      <c r="V1" s="1415"/>
      <c r="W1" s="1415"/>
      <c r="X1" s="1415"/>
      <c r="Y1" s="1415"/>
      <c r="Z1" s="1415"/>
      <c r="AA1" s="1415"/>
      <c r="AB1" s="1415"/>
      <c r="AC1" s="1415"/>
      <c r="AD1" s="1415"/>
      <c r="AE1" s="1415"/>
      <c r="AF1" s="1415"/>
      <c r="AG1" s="1415"/>
      <c r="AH1" s="1415"/>
      <c r="AI1" s="1415"/>
      <c r="AJ1" s="1415"/>
      <c r="AK1" s="1415"/>
      <c r="AL1" s="1415"/>
      <c r="AM1" s="1415"/>
      <c r="AN1" s="1415"/>
      <c r="AO1" s="1415"/>
      <c r="AP1" s="1415"/>
      <c r="AQ1" s="1415"/>
    </row>
    <row r="2" spans="8:8" ht="19.5" customHeight="1">
      <c r="D2" s="1416"/>
      <c r="E2" s="1417"/>
      <c r="F2" s="1418"/>
      <c r="G2" s="1418"/>
      <c r="H2" s="1418"/>
      <c r="I2" s="1418"/>
      <c r="J2" s="1418"/>
      <c r="K2" s="1418"/>
      <c r="L2" s="1418"/>
      <c r="M2" s="1418"/>
      <c r="N2" s="1418"/>
      <c r="O2" s="1418"/>
      <c r="P2" s="1418"/>
      <c r="Q2" s="1418"/>
      <c r="R2" s="1418"/>
      <c r="S2" s="1418"/>
      <c r="T2" s="1418"/>
      <c r="U2" s="1418"/>
      <c r="V2" s="1418"/>
      <c r="W2" s="1418"/>
      <c r="X2" s="1418"/>
      <c r="Y2" s="1418"/>
      <c r="Z2" s="1418"/>
      <c r="AA2" s="1418"/>
      <c r="AB2" s="1418"/>
      <c r="AC2" s="1418"/>
      <c r="AD2" s="1418"/>
      <c r="AE2" s="1418"/>
      <c r="AF2" s="1418"/>
      <c r="AG2" s="1418"/>
      <c r="AH2" s="1418"/>
      <c r="AI2" s="1418"/>
      <c r="AJ2" s="1418"/>
      <c r="AK2" s="1418"/>
      <c r="AL2" s="1418"/>
      <c r="AM2" s="1418"/>
      <c r="AN2" s="1418"/>
      <c r="AO2" s="1418"/>
      <c r="AP2" s="1418"/>
      <c r="AQ2" s="1418"/>
      <c r="AR2" s="1419"/>
      <c r="AS2" s="1420"/>
      <c r="AT2" s="1420"/>
      <c r="AU2" s="1420"/>
      <c r="AV2" s="1420"/>
      <c r="AW2" s="1420"/>
      <c r="AX2" s="1420"/>
      <c r="AY2" s="1420"/>
      <c r="AZ2" s="1420"/>
      <c r="BA2" s="1420"/>
      <c r="BB2" s="1420"/>
      <c r="BC2" s="1420"/>
      <c r="BD2" s="1420"/>
    </row>
    <row r="3" spans="8:8" ht="22.5" customHeight="1">
      <c r="B3" s="306" t="str">
        <f>UPPER(A3)</f>
        <v/>
      </c>
      <c r="D3" s="1416"/>
      <c r="E3" s="1421" t="str">
        <f>CONCATENATE('MASTER DATA SHEET'!C3," ",'MASTER DATA SHEET'!B8," ",'MASTER DATA SHEET'!C8)</f>
        <v> PRINCIPAL,GOVT. SEN. SEC. SCHOOL DASANA KHURD (DEEDWANA-KUCHAMAN) DDO CODE:- 1234567</v>
      </c>
      <c r="F3" s="1422"/>
      <c r="G3" s="1422"/>
      <c r="H3" s="1422"/>
      <c r="I3" s="1422"/>
      <c r="J3" s="1422"/>
      <c r="K3" s="1422"/>
      <c r="L3" s="1422"/>
      <c r="M3" s="1422"/>
      <c r="N3" s="1422"/>
      <c r="O3" s="1422"/>
      <c r="P3" s="1422"/>
      <c r="Q3" s="1422"/>
      <c r="R3" s="1422"/>
      <c r="S3" s="1422"/>
      <c r="T3" s="1422"/>
      <c r="U3" s="1422"/>
      <c r="V3" s="1422"/>
      <c r="W3" s="1422"/>
      <c r="X3" s="1422"/>
      <c r="Y3" s="1422"/>
      <c r="Z3" s="1422"/>
      <c r="AA3" s="1422"/>
      <c r="AB3" s="1422"/>
      <c r="AC3" s="1422"/>
      <c r="AD3" s="1422"/>
      <c r="AE3" s="1422"/>
      <c r="AF3" s="1422"/>
      <c r="AG3" s="1422"/>
      <c r="AH3" s="1422"/>
      <c r="AI3" s="1422"/>
      <c r="AJ3" s="1422"/>
      <c r="AK3" s="1422"/>
      <c r="AL3" s="1422"/>
      <c r="AM3" s="1422"/>
      <c r="AN3" s="1422"/>
      <c r="AO3" s="1422"/>
      <c r="AP3" s="1422"/>
      <c r="AQ3" s="1423"/>
      <c r="AR3" s="1419"/>
      <c r="AS3" s="1420"/>
      <c r="AT3" s="1420"/>
      <c r="AU3" s="1420"/>
      <c r="AV3" s="1420"/>
      <c r="AW3" s="1420"/>
      <c r="AX3" s="1420"/>
      <c r="AY3" s="1420"/>
      <c r="AZ3" s="1420"/>
      <c r="BA3" s="1420"/>
      <c r="BB3" s="1420"/>
      <c r="BC3" s="1420"/>
      <c r="BD3" s="1420"/>
    </row>
    <row r="4" spans="8:8" ht="21.0" customHeight="1">
      <c r="D4" s="1416"/>
      <c r="E4" s="1424" t="s">
        <v>581</v>
      </c>
      <c r="F4" s="1425"/>
      <c r="G4" s="1425"/>
      <c r="H4" s="1425"/>
      <c r="I4" s="1425"/>
      <c r="J4" s="1425"/>
      <c r="K4" s="1425"/>
      <c r="L4" s="1425"/>
      <c r="M4" s="1425"/>
      <c r="N4" s="1425"/>
      <c r="O4" s="1425"/>
      <c r="P4" s="1425"/>
      <c r="Q4" s="1425"/>
      <c r="R4" s="1425"/>
      <c r="S4" s="1425"/>
      <c r="T4" s="1425"/>
      <c r="U4" s="1425"/>
      <c r="V4" s="1425"/>
      <c r="W4" s="1425"/>
      <c r="X4" s="1425"/>
      <c r="Y4" s="1425"/>
      <c r="Z4" s="1425"/>
      <c r="AA4" s="1425"/>
      <c r="AB4" s="1425"/>
      <c r="AC4" s="1425"/>
      <c r="AD4" s="1425"/>
      <c r="AE4" s="1425"/>
      <c r="AF4" s="1425"/>
      <c r="AG4" s="1425"/>
      <c r="AH4" s="1425"/>
      <c r="AI4" s="1425"/>
      <c r="AJ4" s="1425"/>
      <c r="AK4" s="1425"/>
      <c r="AL4" s="1425"/>
      <c r="AM4" s="1425"/>
      <c r="AN4" s="1425"/>
      <c r="AO4" s="1425"/>
      <c r="AP4" s="1425"/>
      <c r="AQ4" s="1425"/>
      <c r="AR4" s="1419"/>
      <c r="AS4" s="1420"/>
      <c r="AT4" s="1420"/>
      <c r="AU4" s="1420"/>
      <c r="AV4" s="1420"/>
      <c r="AW4" s="1420"/>
      <c r="AX4" s="1420"/>
      <c r="AY4" s="1420"/>
      <c r="AZ4" s="1420"/>
      <c r="BA4" s="1420"/>
      <c r="BB4" s="1420"/>
      <c r="BC4" s="1420"/>
      <c r="BD4" s="1420"/>
    </row>
    <row r="5" spans="8:8" ht="21.0" hidden="1" customHeight="1">
      <c r="D5" s="1416"/>
      <c r="E5" s="1426"/>
      <c r="F5" s="1426"/>
      <c r="G5" s="1426"/>
      <c r="H5" s="1426"/>
      <c r="I5" s="1426"/>
      <c r="J5" s="1426"/>
      <c r="K5" s="1426"/>
      <c r="L5" s="1426"/>
      <c r="M5" s="1426"/>
      <c r="N5" s="1426"/>
      <c r="O5" s="1426"/>
      <c r="P5" s="1426"/>
      <c r="Q5" s="1427"/>
      <c r="R5" s="1426"/>
      <c r="S5" s="1426"/>
      <c r="T5" s="1426"/>
      <c r="U5" s="1426"/>
      <c r="V5" s="1426"/>
      <c r="W5" s="1426"/>
      <c r="X5" s="1426"/>
      <c r="Y5" s="1428"/>
      <c r="Z5" s="1428"/>
      <c r="AA5" s="1428"/>
      <c r="AB5" s="1428"/>
      <c r="AC5" s="1428"/>
      <c r="AD5" s="1428"/>
      <c r="AE5" s="1428"/>
      <c r="AF5" s="1429"/>
      <c r="AG5" s="1427"/>
      <c r="AH5" s="1430"/>
      <c r="AI5" s="1431"/>
      <c r="AJ5" s="1427"/>
      <c r="AK5" s="1430"/>
      <c r="AL5" s="1431"/>
      <c r="AM5" s="1426"/>
      <c r="AN5" s="1427"/>
      <c r="AO5" s="1426"/>
      <c r="AP5" s="1426"/>
      <c r="AQ5" s="1428"/>
      <c r="AR5" s="1419"/>
      <c r="AS5" s="1420"/>
      <c r="AT5" s="1420"/>
      <c r="AU5" s="1420"/>
      <c r="AV5" s="1420"/>
      <c r="AW5" s="1420"/>
      <c r="AX5" s="1420"/>
      <c r="AY5" s="1420"/>
      <c r="AZ5" s="1420"/>
      <c r="BA5" s="1420"/>
      <c r="BB5" s="1420"/>
      <c r="BC5" s="1420"/>
      <c r="BD5" s="1420"/>
    </row>
    <row r="6" spans="8:8" ht="15.75" hidden="1" customHeight="1">
      <c r="D6" s="1416"/>
      <c r="E6" s="1432"/>
      <c r="F6" s="1432"/>
      <c r="G6" s="1432"/>
      <c r="H6" s="1432"/>
      <c r="I6" s="1432"/>
      <c r="J6" s="1432"/>
      <c r="K6" s="1432"/>
      <c r="L6" s="1432"/>
      <c r="M6" s="1432"/>
      <c r="N6" s="1432"/>
      <c r="O6" s="1432"/>
      <c r="P6" s="1432"/>
      <c r="Q6" s="1427"/>
      <c r="R6" s="1432"/>
      <c r="S6" s="1432"/>
      <c r="T6" s="1432"/>
      <c r="U6" s="1432"/>
      <c r="V6" s="1433"/>
      <c r="W6" s="1432"/>
      <c r="X6" s="1434"/>
      <c r="Y6" s="1434"/>
      <c r="Z6" s="1434"/>
      <c r="AA6" s="1434"/>
      <c r="AB6" s="1434"/>
      <c r="AC6" s="1434"/>
      <c r="AD6" s="1434"/>
      <c r="AE6" s="1434"/>
      <c r="AF6" s="1434"/>
      <c r="AG6" s="1434"/>
      <c r="AH6" s="1434"/>
      <c r="AI6" s="1434"/>
      <c r="AJ6" s="1434"/>
      <c r="AK6" s="1435"/>
      <c r="AL6" s="1436"/>
      <c r="AM6" s="1432"/>
      <c r="AN6" s="1434"/>
      <c r="AO6" s="1432"/>
      <c r="AP6" s="1432"/>
      <c r="AQ6" s="1437"/>
      <c r="AR6" s="1419"/>
      <c r="AS6" s="1420"/>
      <c r="AT6" s="1420"/>
      <c r="AU6" s="1420"/>
      <c r="AV6" s="1420"/>
      <c r="AW6" s="1420"/>
      <c r="AX6" s="1420"/>
      <c r="AY6" s="1420"/>
      <c r="AZ6" s="1420"/>
      <c r="BA6" s="1420"/>
      <c r="BB6" s="1420"/>
      <c r="BC6" s="1420"/>
      <c r="BD6" s="1420"/>
    </row>
    <row r="7" spans="8:8" ht="62.25" customHeight="1">
      <c r="B7" s="1438"/>
      <c r="C7" s="1438"/>
      <c r="D7" s="1416"/>
      <c r="E7" s="1439" t="s">
        <v>547</v>
      </c>
      <c r="F7" s="1440" t="s">
        <v>548</v>
      </c>
      <c r="G7" s="1440" t="s">
        <v>583</v>
      </c>
      <c r="H7" s="1441" t="s">
        <v>549</v>
      </c>
      <c r="I7" s="1442" t="s">
        <v>584</v>
      </c>
      <c r="J7" s="1442" t="s">
        <v>550</v>
      </c>
      <c r="K7" s="1441" t="s">
        <v>551</v>
      </c>
      <c r="L7" s="1442" t="s">
        <v>552</v>
      </c>
      <c r="M7" s="1442" t="s">
        <v>553</v>
      </c>
      <c r="N7" s="1442" t="s">
        <v>554</v>
      </c>
      <c r="O7" s="1443" t="s">
        <v>555</v>
      </c>
      <c r="P7" s="1443" t="s">
        <v>556</v>
      </c>
      <c r="Q7" s="1444" t="s">
        <v>568</v>
      </c>
      <c r="R7" s="1445"/>
      <c r="S7" s="1445"/>
      <c r="T7" s="1445"/>
      <c r="U7" s="1445"/>
      <c r="V7" s="1446" t="s">
        <v>558</v>
      </c>
      <c r="W7" s="1447" t="s">
        <v>585</v>
      </c>
      <c r="X7" s="1444" t="s">
        <v>567</v>
      </c>
      <c r="Y7" s="1445"/>
      <c r="Z7" s="1445"/>
      <c r="AA7" s="1445"/>
      <c r="AB7" s="1445"/>
      <c r="AC7" s="1445"/>
      <c r="AD7" s="1445"/>
      <c r="AE7" s="1448"/>
      <c r="AF7" s="1449" t="s">
        <v>586</v>
      </c>
      <c r="AG7" s="1450" t="s">
        <v>577</v>
      </c>
      <c r="AH7" s="1451"/>
      <c r="AI7" s="1452"/>
      <c r="AJ7" s="1453" t="s">
        <v>580</v>
      </c>
      <c r="AK7" s="1454"/>
      <c r="AL7" s="1455"/>
      <c r="AM7" s="1441" t="s">
        <v>571</v>
      </c>
      <c r="AN7" s="1456" t="s">
        <v>587</v>
      </c>
      <c r="AO7" s="1457"/>
      <c r="AP7" s="1458" t="s">
        <v>572</v>
      </c>
      <c r="AQ7" s="1459" t="s">
        <v>588</v>
      </c>
      <c r="AR7" s="1419"/>
      <c r="AS7" s="1460"/>
      <c r="AT7" s="1460"/>
      <c r="AU7" s="1460"/>
      <c r="AV7" s="1460"/>
      <c r="AW7" s="1460"/>
      <c r="AX7" s="1460"/>
      <c r="AY7" s="1460"/>
      <c r="AZ7" s="1460"/>
      <c r="BA7" s="1460"/>
      <c r="BB7" s="1460"/>
      <c r="BC7" s="1460"/>
      <c r="BD7" s="1460"/>
      <c r="BE7" s="1438"/>
      <c r="BF7" s="1438"/>
      <c r="BG7" s="1438"/>
    </row>
    <row r="8" spans="8:8" ht="76.5" customHeight="1">
      <c r="B8" s="1461"/>
      <c r="C8" s="1461"/>
      <c r="D8" s="1416"/>
      <c r="E8" s="1462"/>
      <c r="F8" s="1446"/>
      <c r="G8" s="1446"/>
      <c r="H8" s="1463"/>
      <c r="I8" s="1464"/>
      <c r="J8" s="1464"/>
      <c r="K8" s="1463"/>
      <c r="L8" s="1464"/>
      <c r="M8" s="1464"/>
      <c r="N8" s="1464"/>
      <c r="O8" s="1465"/>
      <c r="P8" s="1465"/>
      <c r="Q8" s="1466" t="s">
        <v>557</v>
      </c>
      <c r="R8" s="1466" t="s">
        <v>565</v>
      </c>
      <c r="S8" s="1466" t="s">
        <v>566</v>
      </c>
      <c r="T8" s="1467" t="s">
        <v>34</v>
      </c>
      <c r="U8" s="1468" t="s">
        <v>564</v>
      </c>
      <c r="V8" s="1446"/>
      <c r="W8" s="1469"/>
      <c r="X8" s="1470" t="s">
        <v>559</v>
      </c>
      <c r="Y8" s="1470" t="s">
        <v>560</v>
      </c>
      <c r="Z8" s="1470" t="s">
        <v>561</v>
      </c>
      <c r="AA8" s="1470" t="s">
        <v>562</v>
      </c>
      <c r="AB8" s="1470" t="s">
        <v>563</v>
      </c>
      <c r="AC8" s="1467" t="s">
        <v>34</v>
      </c>
      <c r="AD8" s="1467" t="s">
        <v>564</v>
      </c>
      <c r="AE8" s="1467" t="s">
        <v>558</v>
      </c>
      <c r="AF8" s="1471"/>
      <c r="AG8" s="1467" t="s">
        <v>569</v>
      </c>
      <c r="AH8" s="1467" t="s">
        <v>570</v>
      </c>
      <c r="AI8" s="1467" t="s">
        <v>34</v>
      </c>
      <c r="AJ8" s="1472">
        <f>IF(AG7="INCOME TAX DEDUCT FROM SALARY TILL NOV 2024","Dec-24",0)</f>
        <v>0.0</v>
      </c>
      <c r="AK8" s="1472">
        <f>IF(AG7="INCOME TAX DEDUCT FROM SALARY TILL NOV 2024","Jan-25",0)</f>
        <v>0.0</v>
      </c>
      <c r="AL8" s="1473">
        <v>45689.0</v>
      </c>
      <c r="AM8" s="1463"/>
      <c r="AN8" s="1474"/>
      <c r="AO8" s="1475"/>
      <c r="AP8" s="1476"/>
      <c r="AQ8" s="1477"/>
      <c r="AR8" s="1419"/>
      <c r="AS8" s="1478"/>
      <c r="AT8" s="1479"/>
      <c r="AU8" s="1479"/>
      <c r="AV8" s="1479"/>
      <c r="AW8" s="1478"/>
      <c r="AX8" s="1478"/>
      <c r="AY8" s="1478"/>
      <c r="AZ8" s="1478"/>
      <c r="BA8" s="1478"/>
      <c r="BB8" s="1478"/>
      <c r="BC8" s="1478"/>
      <c r="BD8" s="1478"/>
      <c r="BE8" s="1461"/>
      <c r="BF8" s="1461"/>
      <c r="BG8" s="1461"/>
    </row>
    <row r="9" spans="8:8" ht="1.5" customHeight="1">
      <c r="B9" s="1461"/>
      <c r="C9" s="1461"/>
      <c r="D9" s="1416"/>
      <c r="E9" s="1480">
        <v>1.0</v>
      </c>
      <c r="F9" s="1481">
        <v>2.0</v>
      </c>
      <c r="G9" s="1481">
        <v>3.0</v>
      </c>
      <c r="H9" s="1481">
        <v>4.0</v>
      </c>
      <c r="I9" s="1481">
        <v>5.0</v>
      </c>
      <c r="J9" s="1481">
        <v>6.0</v>
      </c>
      <c r="K9" s="1481">
        <v>7.0</v>
      </c>
      <c r="L9" s="1481">
        <v>8.0</v>
      </c>
      <c r="M9" s="1481">
        <v>9.0</v>
      </c>
      <c r="N9" s="1481">
        <v>10.0</v>
      </c>
      <c r="O9" s="1481">
        <v>11.0</v>
      </c>
      <c r="P9" s="1481">
        <v>12.0</v>
      </c>
      <c r="Q9" s="1481">
        <v>13.0</v>
      </c>
      <c r="R9" s="1481">
        <v>14.0</v>
      </c>
      <c r="S9" s="1481">
        <v>15.0</v>
      </c>
      <c r="T9" s="1481">
        <v>16.0</v>
      </c>
      <c r="U9" s="1481">
        <v>17.0</v>
      </c>
      <c r="V9" s="1481">
        <v>18.0</v>
      </c>
      <c r="W9" s="1481">
        <v>19.0</v>
      </c>
      <c r="X9" s="1481">
        <v>20.0</v>
      </c>
      <c r="Y9" s="1481">
        <v>21.0</v>
      </c>
      <c r="Z9" s="1481">
        <v>22.0</v>
      </c>
      <c r="AA9" s="1481">
        <v>23.0</v>
      </c>
      <c r="AB9" s="1481">
        <v>24.0</v>
      </c>
      <c r="AC9" s="1481">
        <v>25.0</v>
      </c>
      <c r="AD9" s="1481">
        <v>26.0</v>
      </c>
      <c r="AE9" s="1481">
        <v>27.0</v>
      </c>
      <c r="AF9" s="1481">
        <v>28.0</v>
      </c>
      <c r="AG9" s="1482">
        <v>15.0</v>
      </c>
      <c r="AH9" s="1483"/>
      <c r="AI9" s="1484"/>
      <c r="AJ9" s="1481">
        <v>16.0</v>
      </c>
      <c r="AK9" s="1481">
        <v>17.0</v>
      </c>
      <c r="AL9" s="1481">
        <v>18.0</v>
      </c>
      <c r="AM9" s="1481">
        <v>19.0</v>
      </c>
      <c r="AN9" s="1482"/>
      <c r="AO9" s="1482"/>
      <c r="AP9" s="1485">
        <v>20.0</v>
      </c>
      <c r="AQ9" s="1486"/>
      <c r="AR9" s="1419"/>
      <c r="AS9" s="1487" t="s">
        <v>578</v>
      </c>
      <c r="AT9" s="1487"/>
      <c r="AU9" s="1487"/>
      <c r="AV9" s="1487"/>
      <c r="AW9" s="1487"/>
      <c r="AX9" s="1487"/>
      <c r="AY9" s="1487" t="s">
        <v>579</v>
      </c>
      <c r="AZ9" s="1487"/>
      <c r="BA9" s="1487"/>
      <c r="BB9" s="1487"/>
      <c r="BC9" s="1487"/>
      <c r="BD9" s="1487"/>
      <c r="BE9" s="1461"/>
      <c r="BF9" s="1461"/>
      <c r="BG9" s="1461"/>
    </row>
    <row r="10" spans="8:8" ht="15.75">
      <c r="B10" s="1488">
        <f>MIN(W10,AF10)</f>
        <v>132600.0</v>
      </c>
      <c r="C10" s="1488">
        <f t="shared" si="0" ref="C10:C73">IF(G10=0,0,IF(OR(W10=0,AF10=0),"NT",0))</f>
        <v>0.0</v>
      </c>
      <c r="D10" s="1489"/>
      <c r="E10" s="1490">
        <v>1.0</v>
      </c>
      <c r="F10" s="1491" t="s">
        <v>149</v>
      </c>
      <c r="G10" s="1491">
        <v>1512112.0</v>
      </c>
      <c r="H10" s="1492">
        <v>83556.0</v>
      </c>
      <c r="I10" s="1492">
        <v>50000.0</v>
      </c>
      <c r="J10" s="1492">
        <v>0.0</v>
      </c>
      <c r="K10" s="1492">
        <v>150000.0</v>
      </c>
      <c r="L10" s="1492">
        <v>0.0</v>
      </c>
      <c r="M10" s="1492">
        <v>0.0</v>
      </c>
      <c r="N10" s="1492">
        <v>0.0</v>
      </c>
      <c r="O10" s="1493">
        <f>G10-50000-H10-J10-K10-L10-M10-N10</f>
        <v>1228556.0</v>
      </c>
      <c r="P10" s="1493">
        <f>G10-75000</f>
        <v>1437112.0</v>
      </c>
      <c r="Q10" s="1494">
        <f>IF(O10&lt;250000,0,IF(O10&gt;500000,12500,IF(O10&lt;500000,ROUND((O10-250000)*0.05,0),0)))</f>
        <v>12500.0</v>
      </c>
      <c r="R10" s="1494">
        <f>IF(O10&lt;500000,0,IF(O10&gt;1000000,100000,ROUND((O10-500000)*0.2,0)))</f>
        <v>100000.0</v>
      </c>
      <c r="S10" s="1494">
        <f>IF(O10&lt;1000000,0,ROUND((O10-1000000)*0.3,0))</f>
        <v>68567.0</v>
      </c>
      <c r="T10" s="1493">
        <f t="shared" si="1" ref="T10:T73">IF(G10="","",IF(SUM(Q10:S10)&lt;=12500,0,SUM(Q10:S10)))</f>
        <v>181067.0</v>
      </c>
      <c r="U10" s="1494">
        <f>IF(T10="","",ROUND(T10*0.04,0))</f>
        <v>7243.0</v>
      </c>
      <c r="V10" s="1495">
        <f>IF(T10="","",T10+U10)</f>
        <v>188310.0</v>
      </c>
      <c r="W10" s="1495">
        <f>IF(T10="","",ROUNDUP(V10,-2))</f>
        <v>188400.0</v>
      </c>
      <c r="X10" s="1494">
        <f>IF(P10&gt;700000,20000,IF(P10&gt;300000,(P10-300000)*0.05,0))</f>
        <v>20000.0</v>
      </c>
      <c r="Y10" s="1494">
        <f>IF(P10&gt;1000000,30000,IF(P10&gt;700000,(P10-700000)*0.1,0))</f>
        <v>30000.0</v>
      </c>
      <c r="Z10" s="1494">
        <f>IF(P10&gt;1200000,30000,IF(P10&gt;1000000,(P10-1000000)*0.15,0))</f>
        <v>30000.0</v>
      </c>
      <c r="AA10" s="1494">
        <f>IF(P10&gt;1500000,60000,IF(P10&gt;1200000,(P10-1200000)*0.2,0))</f>
        <v>47422.4</v>
      </c>
      <c r="AB10" s="1496">
        <f>IF(P10&lt;1500000,0,(P10-1500000)*0.3)</f>
        <v>0.0</v>
      </c>
      <c r="AC10" s="1497">
        <f t="shared" si="2" ref="AC10:AC73">IF(G10="","",IF(SUM(X10:AB10)&lt;=25000,0,IF((P10-700000)&lt;SUM(X10:AB10),(P10-700000),(SUM(X10:AB10)))))</f>
        <v>127422.4</v>
      </c>
      <c r="AD10" s="1494">
        <f t="shared" si="3" ref="AD10:AD73">IF(G10="","",ROUND(AC10*0.04,0))</f>
        <v>5097.0</v>
      </c>
      <c r="AE10" s="1495">
        <f t="shared" si="4" ref="AE10:AE73">IF(G10="","",(AC10+AD10))</f>
        <v>132519.4</v>
      </c>
      <c r="AF10" s="1495">
        <f t="shared" si="5" ref="AF10:AF73">IF(G10="","",ROUNDUP(AE10,-2))</f>
        <v>132600.0</v>
      </c>
      <c r="AG10" s="1498">
        <v>110000.0</v>
      </c>
      <c r="AH10" s="1498"/>
      <c r="AI10" s="1496">
        <f>AG10+AH10</f>
        <v>110000.0</v>
      </c>
      <c r="AJ10" s="1496">
        <f>IF(OR(W10=0,AF10=0),0,IF(AN10="OLD TAX REGIME",AS10,AY10))</f>
        <v>0.0</v>
      </c>
      <c r="AK10" s="1496">
        <f>IF(OR(W10=0,AF10=0),0,IF(AN10="OLD TAX REGIME",AT10,AZ10))</f>
        <v>0.0</v>
      </c>
      <c r="AL10" s="1496">
        <f>IF(OR(W10=0,AF10=0),0,IF(AN10="OLD TAX REGIME",AU10,BA10))</f>
        <v>23000.0</v>
      </c>
      <c r="AM10" s="1497">
        <f>AJ10+AK10+AL10</f>
        <v>23000.0</v>
      </c>
      <c r="AN10" s="1499" t="s">
        <v>582</v>
      </c>
      <c r="AO10" s="1500">
        <f t="shared" si="6" ref="AO10:AO73">MIN(W10,AF10)</f>
        <v>132600.0</v>
      </c>
      <c r="AP10" s="1501">
        <f t="shared" si="7" ref="AP10:AP73">IF(AO10&lt;=12500,-AI10,AO10-(AI10+AM10))</f>
        <v>-400.0</v>
      </c>
      <c r="AQ10" s="1502" t="str">
        <f>IF(AP10=0,0,IF(AP10&gt;0,"(PAY)","(REF)"))</f>
        <v>(REF)</v>
      </c>
      <c r="AR10" s="1419"/>
      <c r="AS10" s="1501">
        <f>IF($AG$7="INCOME TAX DEDUCT FROM SALARY TILL JAN  2025",0,IF(W10&lt;=12500,0,IF(AI10&gt;W10,0,ROUNDUP((W10-AI10)/3,-3))))</f>
        <v>0.0</v>
      </c>
      <c r="AT10" s="1501">
        <f>IF($AG$7="INCOME TAX DEDUCT FROM SALARY TILL JAN  2025",0,IF(W10&lt;=12500,0,IF(AI10&gt;V10,0,ROUNDUP((W10-AI10)/3,-3))))</f>
        <v>0.0</v>
      </c>
      <c r="AU10" s="1501">
        <f>IF($AG$7="INCOME TAX DEDUCT FROM SALARY TILL JAN  2025",ROUNDUP((V10-AI10),-3),IF(V10&lt;=12500,0,IF(AI10&gt;V10,0,ROUNDUP((V10-AI10)/3,-3))))</f>
        <v>79000.0</v>
      </c>
      <c r="AV10" s="1503">
        <f>ROUNDUP(AS10+AT10+AU10,-3)</f>
        <v>79000.0</v>
      </c>
      <c r="AW10" s="1503">
        <f>AV10+AI10</f>
        <v>189000.0</v>
      </c>
      <c r="AX10" s="1501">
        <f>AW10-W10</f>
        <v>600.0</v>
      </c>
      <c r="AY10" s="1501">
        <f>IF($AG$7="INCOME TAX DEDUCT FROM SALARY TILL JAN  2025",0,IF(AF10&lt;=12500,0,IF(AI10&gt;AF10,0,ROUNDUP((AF10-AI10)/3,-3))))</f>
        <v>0.0</v>
      </c>
      <c r="AZ10" s="1501">
        <f>IF($AG$7="INCOME TAX DEDUCT FROM SALARY TILL JAN  2025",0,IF(AF10&lt;=12500,0,IF(AI10&gt;AF10,0,ROUNDUP((AF10-AI10)/3,-3))))</f>
        <v>0.0</v>
      </c>
      <c r="BA10" s="1501">
        <f>IF($AG$7="INCOME TAX DEDUCT FROM SALARY TILL JAN  2025",ROUNDUP((AF10-AI10),-3),IF(AF10&lt;=12500,0,IF(AI10&gt;AF10,0,ROUNDUP((AF10-AI10)/3,-3))))</f>
        <v>23000.0</v>
      </c>
      <c r="BB10" s="1503">
        <f>ROUNDUP(AY10+AZ10+BA10,-3)</f>
        <v>23000.0</v>
      </c>
      <c r="BC10" s="1503">
        <f>BB10+AI10</f>
        <v>133000.0</v>
      </c>
      <c r="BD10" s="1501">
        <f>BC10-AF10</f>
        <v>400.0</v>
      </c>
      <c r="BE10" s="1504"/>
      <c r="BF10" s="1504"/>
      <c r="BG10" s="1504"/>
    </row>
    <row r="11" spans="8:8" ht="15.75">
      <c r="B11" s="1488">
        <f t="shared" si="8" ref="B11:B74">MIN(W11,AF11)</f>
        <v>79400.0</v>
      </c>
      <c r="C11" s="1488">
        <f t="shared" si="0"/>
        <v>0.0</v>
      </c>
      <c r="D11" s="1489"/>
      <c r="E11" s="1505">
        <v>2.0</v>
      </c>
      <c r="F11" s="1506" t="s">
        <v>573</v>
      </c>
      <c r="G11" s="1506">
        <v>1250001.0</v>
      </c>
      <c r="H11" s="1507"/>
      <c r="I11" s="1492">
        <v>75000.0</v>
      </c>
      <c r="J11" s="1507"/>
      <c r="K11" s="1492"/>
      <c r="L11" s="1507"/>
      <c r="M11" s="1507"/>
      <c r="N11" s="1492">
        <v>0.0</v>
      </c>
      <c r="O11" s="1493">
        <f t="shared" si="9" ref="O11:O74">G11-50000-H11-J11-K11-L11-M11-N11</f>
        <v>1200001.0</v>
      </c>
      <c r="P11" s="1493">
        <f t="shared" si="10" ref="P11:P74">G11-75000</f>
        <v>1175001.0</v>
      </c>
      <c r="Q11" s="1494">
        <f t="shared" si="11" ref="Q11:Q74">IF(O11&lt;250000,0,IF(O11&gt;500000,12500,IF(O11&lt;500000,ROUND((O11-250000)*0.05,0),0)))</f>
        <v>12500.0</v>
      </c>
      <c r="R11" s="1494">
        <f t="shared" si="12" ref="R11:R74">IF(O11&lt;500000,0,IF(O11&gt;1000000,100000,ROUND((O11-500000)*0.2,0)))</f>
        <v>100000.0</v>
      </c>
      <c r="S11" s="1494">
        <f t="shared" si="13" ref="S11:S74">IF(O11&lt;1000000,0,ROUND((O11-1000000)*0.3,0))</f>
        <v>60000.0</v>
      </c>
      <c r="T11" s="1493">
        <f t="shared" si="1"/>
        <v>172500.0</v>
      </c>
      <c r="U11" s="1494">
        <f t="shared" si="14" ref="U11:U74">IF(T11="","",ROUND(T11*0.04,0))</f>
        <v>6900.0</v>
      </c>
      <c r="V11" s="1495">
        <f t="shared" si="15" ref="V11:V74">IF(T11="","",T11+U11)</f>
        <v>179400.0</v>
      </c>
      <c r="W11" s="1495">
        <f t="shared" si="16" ref="W11:W74">IF(T11="","",ROUNDUP(V11,-2))</f>
        <v>179400.0</v>
      </c>
      <c r="X11" s="1494">
        <f t="shared" si="17" ref="X11:X74">IF(P11&gt;700000,20000,IF(P11&gt;300000,(P11-300000)*0.05,0))</f>
        <v>20000.0</v>
      </c>
      <c r="Y11" s="1494">
        <f t="shared" si="18" ref="Y11:Y74">IF(P11&gt;1000000,30000,IF(P11&gt;700000,(P11-700000)*0.1,0))</f>
        <v>30000.0</v>
      </c>
      <c r="Z11" s="1494">
        <f t="shared" si="19" ref="Z11:Z74">IF(P11&gt;1200000,30000,IF(P11&gt;1000000,(P11-1000000)*0.15,0))</f>
        <v>26250.149999999998</v>
      </c>
      <c r="AA11" s="1494">
        <f t="shared" si="20" ref="AA11:AA74">IF(P11&gt;1500000,60000,IF(P11&gt;1200000,(P11-1200000)*0.2,0))</f>
        <v>0.0</v>
      </c>
      <c r="AB11" s="1496">
        <f t="shared" si="21" ref="AB11:AB74">IF(P11&lt;1500000,0,(P11-1500000)*0.3)</f>
        <v>0.0</v>
      </c>
      <c r="AC11" s="1497">
        <f t="shared" si="2"/>
        <v>76250.15</v>
      </c>
      <c r="AD11" s="1494">
        <f t="shared" si="3"/>
        <v>3050.0</v>
      </c>
      <c r="AE11" s="1495">
        <f t="shared" si="4"/>
        <v>79300.15</v>
      </c>
      <c r="AF11" s="1495">
        <f t="shared" si="5"/>
        <v>79400.0</v>
      </c>
      <c r="AG11" s="1508">
        <v>60000.0</v>
      </c>
      <c r="AH11" s="1508"/>
      <c r="AI11" s="1496">
        <f t="shared" si="22" ref="AI11:AI74">AG11+AH11</f>
        <v>60000.0</v>
      </c>
      <c r="AJ11" s="1496">
        <f>IF(OR(W11=0,AF11=0),0,IF(AN11="OLD TAX REGIME",AS11,AY11))</f>
        <v>0.0</v>
      </c>
      <c r="AK11" s="1496">
        <f>IF(OR(W11=0,AF11=0),0,IF(AN11="OLD TAX REGIME",AT11,AZ11))</f>
        <v>0.0</v>
      </c>
      <c r="AL11" s="1496">
        <f>IF(OR(W11=0,AF11=0),0,IF(AN11="OLD TAX REGIME",AU11,BA11))</f>
        <v>20000.0</v>
      </c>
      <c r="AM11" s="1497">
        <f t="shared" si="23" ref="AM11:AM74">AJ11+AK11+AL11</f>
        <v>20000.0</v>
      </c>
      <c r="AN11" s="1499" t="str">
        <f t="shared" si="24" ref="AN11:AN73">IF(G11="","",IF(W11=0,0,IF(W11&gt;AF11,"NEW REGIME","OLD REGIME")))</f>
        <v>NEW REGIME</v>
      </c>
      <c r="AO11" s="1500">
        <f t="shared" si="6"/>
        <v>79400.0</v>
      </c>
      <c r="AP11" s="1501">
        <f t="shared" si="7"/>
        <v>-600.0</v>
      </c>
      <c r="AQ11" s="1502" t="str">
        <f t="shared" si="25" ref="AQ11:AQ74">IF(AP11=0,0,IF(AP11&gt;0,"(PAY)","(REF)"))</f>
        <v>(REF)</v>
      </c>
      <c r="AR11" s="1419"/>
      <c r="AS11" s="1501">
        <f>IF($AG$7="INCOME TAX DEDUCT FROM SALARY TILL JAN  2025",0,IF(W11&lt;=12500,0,IF(AI11&gt;W11,0,ROUNDUP((W11-AI11)/3,-3))))</f>
        <v>0.0</v>
      </c>
      <c r="AT11" s="1501">
        <f>IF($AG$7="INCOME TAX DEDUCT FROM SALARY TILL JAN  2025",0,IF(W11&lt;=12500,0,IF(AI11&gt;V11,0,ROUNDUP((W11-AI11)/3,-3))))</f>
        <v>0.0</v>
      </c>
      <c r="AU11" s="1501">
        <f>IF($AG$7="INCOME TAX DEDUCT FROM SALARY TILL JAN  2025",ROUNDUP((V11-AI11),-3),IF(V11&lt;=12500,0,IF(AI11&gt;V11,0,ROUNDUP((V11-AI11)/3,-3))))</f>
        <v>120000.0</v>
      </c>
      <c r="AV11" s="1503">
        <f t="shared" si="26" ref="AV11:AV74">ROUNDUP(AS11+AT11+AU11,-3)</f>
        <v>120000.0</v>
      </c>
      <c r="AW11" s="1503">
        <f>AV11+AI11</f>
        <v>180000.0</v>
      </c>
      <c r="AX11" s="1501">
        <f>AW11-W11</f>
        <v>600.0</v>
      </c>
      <c r="AY11" s="1501">
        <f>IF($AG$7="INCOME TAX DEDUCT FROM SALARY TILL JAN  2025",0,IF(AF11&lt;=12500,0,IF(AI11&gt;AF11,0,ROUNDUP((AF11-AI11)/3,-3))))</f>
        <v>0.0</v>
      </c>
      <c r="AZ11" s="1501">
        <f>IF($AG$7="INCOME TAX DEDUCT FROM SALARY TILL JAN  2025",0,IF(AF11&lt;=12500,0,IF(AI11&gt;AF11,0,ROUNDUP((AF11-AI11)/3,-3))))</f>
        <v>0.0</v>
      </c>
      <c r="BA11" s="1501">
        <f>IF($AG$7="INCOME TAX DEDUCT FROM SALARY TILL JAN  2025",ROUNDUP((AF11-AI11),-3),IF(AF11&lt;=12500,0,IF(AI11&gt;AF11,0,ROUNDUP((AF11-AI11)/3,-3))))</f>
        <v>20000.0</v>
      </c>
      <c r="BB11" s="1503">
        <f t="shared" si="27" ref="BB11:BB74">ROUNDUP(AY11+AZ11+BA11,-3)</f>
        <v>20000.0</v>
      </c>
      <c r="BC11" s="1503">
        <f>BB11+AI11</f>
        <v>80000.0</v>
      </c>
      <c r="BD11" s="1501">
        <f>BC11-AF11</f>
        <v>600.0</v>
      </c>
      <c r="BE11" s="1504"/>
      <c r="BF11" s="1504"/>
      <c r="BG11" s="1504"/>
    </row>
    <row r="12" spans="8:8" ht="15.75">
      <c r="B12" s="1488">
        <f t="shared" si="8"/>
        <v>31900.0</v>
      </c>
      <c r="C12" s="1488">
        <f t="shared" si="0"/>
        <v>0.0</v>
      </c>
      <c r="D12" s="1489"/>
      <c r="E12" s="1505">
        <v>3.0</v>
      </c>
      <c r="F12" s="1506" t="s">
        <v>574</v>
      </c>
      <c r="G12" s="1506">
        <v>880815.0</v>
      </c>
      <c r="H12" s="1507"/>
      <c r="I12" s="1492">
        <v>75000.0</v>
      </c>
      <c r="J12" s="1507"/>
      <c r="K12" s="1492">
        <v>150000.0</v>
      </c>
      <c r="L12" s="1507">
        <v>0.0</v>
      </c>
      <c r="M12" s="1507"/>
      <c r="N12" s="1492">
        <v>0.0</v>
      </c>
      <c r="O12" s="1493">
        <f t="shared" si="9"/>
        <v>680815.0</v>
      </c>
      <c r="P12" s="1493">
        <f t="shared" si="10"/>
        <v>805815.0</v>
      </c>
      <c r="Q12" s="1494">
        <f t="shared" si="11"/>
        <v>12500.0</v>
      </c>
      <c r="R12" s="1494">
        <f t="shared" si="12"/>
        <v>36163.0</v>
      </c>
      <c r="S12" s="1494">
        <f t="shared" si="13"/>
        <v>0.0</v>
      </c>
      <c r="T12" s="1493">
        <f t="shared" si="1"/>
        <v>48663.0</v>
      </c>
      <c r="U12" s="1494">
        <f t="shared" si="14"/>
        <v>1947.0</v>
      </c>
      <c r="V12" s="1495">
        <f t="shared" si="15"/>
        <v>50610.0</v>
      </c>
      <c r="W12" s="1495">
        <f t="shared" si="16"/>
        <v>50700.0</v>
      </c>
      <c r="X12" s="1494">
        <f t="shared" si="17"/>
        <v>20000.0</v>
      </c>
      <c r="Y12" s="1494">
        <f t="shared" si="18"/>
        <v>10581.5</v>
      </c>
      <c r="Z12" s="1494">
        <f t="shared" si="19"/>
        <v>0.0</v>
      </c>
      <c r="AA12" s="1494">
        <f t="shared" si="20"/>
        <v>0.0</v>
      </c>
      <c r="AB12" s="1496">
        <f t="shared" si="21"/>
        <v>0.0</v>
      </c>
      <c r="AC12" s="1497">
        <f t="shared" si="2"/>
        <v>30581.5</v>
      </c>
      <c r="AD12" s="1494">
        <f t="shared" si="3"/>
        <v>1223.0</v>
      </c>
      <c r="AE12" s="1495">
        <f t="shared" si="4"/>
        <v>31804.5</v>
      </c>
      <c r="AF12" s="1495">
        <f t="shared" si="5"/>
        <v>31900.0</v>
      </c>
      <c r="AG12" s="1508">
        <v>20000.0</v>
      </c>
      <c r="AH12" s="1508"/>
      <c r="AI12" s="1496">
        <f t="shared" si="22"/>
        <v>20000.0</v>
      </c>
      <c r="AJ12" s="1496">
        <f>IF(OR(W12=0,AF12=0),0,IF(AN12="OLD TAX REGIME",AS12,AY12))</f>
        <v>0.0</v>
      </c>
      <c r="AK12" s="1496">
        <f>IF(OR(W12=0,AF12=0),0,IF(AN12="OLD TAX REGIME",AT12,AZ12))</f>
        <v>0.0</v>
      </c>
      <c r="AL12" s="1496">
        <f>IF(OR(W12=0,AF12=0),0,IF(AN12="OLD TAX REGIME",AU12,BA12))</f>
        <v>12000.0</v>
      </c>
      <c r="AM12" s="1497">
        <f t="shared" si="23"/>
        <v>12000.0</v>
      </c>
      <c r="AN12" s="1499" t="str">
        <f t="shared" si="24"/>
        <v>NEW REGIME</v>
      </c>
      <c r="AO12" s="1500">
        <f t="shared" si="6"/>
        <v>31900.0</v>
      </c>
      <c r="AP12" s="1501">
        <f t="shared" si="7"/>
        <v>-100.0</v>
      </c>
      <c r="AQ12" s="1502" t="str">
        <f t="shared" si="25"/>
        <v>(REF)</v>
      </c>
      <c r="AR12" s="1419"/>
      <c r="AS12" s="1501">
        <f>IF($AG$7="INCOME TAX DEDUCT FROM SALARY TILL JAN  2025",0,IF(W12&lt;=12500,0,IF(AI12&gt;W12,0,ROUNDUP((W12-AI12)/3,-3))))</f>
        <v>0.0</v>
      </c>
      <c r="AT12" s="1501">
        <f>IF($AG$7="INCOME TAX DEDUCT FROM SALARY TILL JAN  2025",0,IF(W12&lt;=12500,0,IF(AI12&gt;V12,0,ROUNDUP((W12-AI12)/3,-3))))</f>
        <v>0.0</v>
      </c>
      <c r="AU12" s="1501">
        <f>IF($AG$7="INCOME TAX DEDUCT FROM SALARY TILL JAN  2025",ROUNDUP((V12-AI12),-3),IF(V12&lt;=12500,0,IF(AI12&gt;V12,0,ROUNDUP((V12-AI12)/3,-3))))</f>
        <v>31000.0</v>
      </c>
      <c r="AV12" s="1503">
        <f t="shared" si="26"/>
        <v>31000.0</v>
      </c>
      <c r="AW12" s="1503">
        <f>AV12+AI12</f>
        <v>51000.0</v>
      </c>
      <c r="AX12" s="1501">
        <f>AW12-W12</f>
        <v>300.0</v>
      </c>
      <c r="AY12" s="1501">
        <f>IF($AG$7="INCOME TAX DEDUCT FROM SALARY TILL JAN  2025",0,IF(AF12&lt;=12500,0,IF(AI12&gt;AF12,0,ROUNDUP((AF12-AI12)/3,-3))))</f>
        <v>0.0</v>
      </c>
      <c r="AZ12" s="1501">
        <f>IF($AG$7="INCOME TAX DEDUCT FROM SALARY TILL JAN  2025",0,IF(AF12&lt;=12500,0,IF(AI12&gt;AF12,0,ROUNDUP((AF12-AI12)/3,-3))))</f>
        <v>0.0</v>
      </c>
      <c r="BA12" s="1501">
        <f>IF($AG$7="INCOME TAX DEDUCT FROM SALARY TILL JAN  2025",ROUNDUP((AF12-AI12),-3),IF(AF12&lt;=12500,0,IF(AI12&gt;AF12,0,ROUNDUP((AF12-AI12)/3,-3))))</f>
        <v>12000.0</v>
      </c>
      <c r="BB12" s="1503">
        <f t="shared" si="27"/>
        <v>12000.0</v>
      </c>
      <c r="BC12" s="1503">
        <f>BB12+AI12</f>
        <v>32000.0</v>
      </c>
      <c r="BD12" s="1501">
        <f>BC12-AF12</f>
        <v>100.0</v>
      </c>
      <c r="BE12" s="1504"/>
      <c r="BF12" s="1504"/>
      <c r="BG12" s="1504"/>
    </row>
    <row r="13" spans="8:8" ht="15.75">
      <c r="B13" s="1488">
        <f t="shared" si="8"/>
        <v>0.0</v>
      </c>
      <c r="C13" s="1488" t="str">
        <f t="shared" si="0"/>
        <v>NT</v>
      </c>
      <c r="D13" s="1489"/>
      <c r="E13" s="1505">
        <v>4.0</v>
      </c>
      <c r="F13" s="1506" t="s">
        <v>575</v>
      </c>
      <c r="G13" s="1506">
        <v>770005.0</v>
      </c>
      <c r="H13" s="1507"/>
      <c r="I13" s="1492">
        <v>75000.0</v>
      </c>
      <c r="J13" s="1507"/>
      <c r="K13" s="1492">
        <v>150000.0</v>
      </c>
      <c r="L13" s="1507"/>
      <c r="M13" s="1507"/>
      <c r="N13" s="1492">
        <v>0.0</v>
      </c>
      <c r="O13" s="1493">
        <f t="shared" si="9"/>
        <v>570005.0</v>
      </c>
      <c r="P13" s="1493">
        <f t="shared" si="10"/>
        <v>695005.0</v>
      </c>
      <c r="Q13" s="1494">
        <f t="shared" si="11"/>
        <v>12500.0</v>
      </c>
      <c r="R13" s="1494">
        <f t="shared" si="12"/>
        <v>14001.0</v>
      </c>
      <c r="S13" s="1494">
        <f t="shared" si="13"/>
        <v>0.0</v>
      </c>
      <c r="T13" s="1493">
        <f t="shared" si="1"/>
        <v>26501.0</v>
      </c>
      <c r="U13" s="1494">
        <f t="shared" si="14"/>
        <v>1060.0</v>
      </c>
      <c r="V13" s="1495">
        <f t="shared" si="15"/>
        <v>27561.0</v>
      </c>
      <c r="W13" s="1495">
        <f t="shared" si="16"/>
        <v>27600.0</v>
      </c>
      <c r="X13" s="1494">
        <f t="shared" si="17"/>
        <v>19750.25</v>
      </c>
      <c r="Y13" s="1494">
        <f t="shared" si="18"/>
        <v>0.0</v>
      </c>
      <c r="Z13" s="1494">
        <f t="shared" si="19"/>
        <v>0.0</v>
      </c>
      <c r="AA13" s="1494">
        <f t="shared" si="20"/>
        <v>0.0</v>
      </c>
      <c r="AB13" s="1496">
        <f t="shared" si="21"/>
        <v>0.0</v>
      </c>
      <c r="AC13" s="1497">
        <f t="shared" si="2"/>
        <v>0.0</v>
      </c>
      <c r="AD13" s="1494">
        <f t="shared" si="3"/>
        <v>0.0</v>
      </c>
      <c r="AE13" s="1495">
        <f t="shared" si="4"/>
        <v>0.0</v>
      </c>
      <c r="AF13" s="1495">
        <f t="shared" si="5"/>
        <v>0.0</v>
      </c>
      <c r="AG13" s="1508">
        <v>10000.0</v>
      </c>
      <c r="AH13" s="1508"/>
      <c r="AI13" s="1496">
        <f t="shared" si="22"/>
        <v>10000.0</v>
      </c>
      <c r="AJ13" s="1496">
        <f>IF(OR(W13=0,AF13=0),0,IF(AN13="OLD TAX REGIME",AS13,AY13))</f>
        <v>0.0</v>
      </c>
      <c r="AK13" s="1496">
        <f>IF(OR(W13=0,AF13=0),0,IF(AN13="OLD TAX REGIME",AT13,AZ13))</f>
        <v>0.0</v>
      </c>
      <c r="AL13" s="1496">
        <f>IF(OR(W13=0,AF13=0),0,IF(AN13="OLD TAX REGIME",AU13,BA13))</f>
        <v>0.0</v>
      </c>
      <c r="AM13" s="1497">
        <f t="shared" si="23"/>
        <v>0.0</v>
      </c>
      <c r="AN13" s="1499" t="str">
        <f t="shared" si="24"/>
        <v>NEW REGIME</v>
      </c>
      <c r="AO13" s="1500">
        <f t="shared" si="6"/>
        <v>0.0</v>
      </c>
      <c r="AP13" s="1501">
        <f t="shared" si="7"/>
        <v>-10000.0</v>
      </c>
      <c r="AQ13" s="1502" t="str">
        <f t="shared" si="25"/>
        <v>(REF)</v>
      </c>
      <c r="AR13" s="1419"/>
      <c r="AS13" s="1501">
        <f>IF($AG$7="INCOME TAX DEDUCT FROM SALARY TILL JAN  2025",0,IF(W13&lt;=12500,0,IF(AI13&gt;W13,0,ROUNDUP((W13-AI13)/3,-3))))</f>
        <v>0.0</v>
      </c>
      <c r="AT13" s="1501">
        <f>IF($AG$7="INCOME TAX DEDUCT FROM SALARY TILL JAN  2025",0,IF(W13&lt;=12500,0,IF(AI13&gt;V13,0,ROUNDUP((W13-AI13)/3,-3))))</f>
        <v>0.0</v>
      </c>
      <c r="AU13" s="1501">
        <f>IF($AG$7="INCOME TAX DEDUCT FROM SALARY TILL JAN  2025",ROUNDUP((V13-AI13),-3),IF(V13&lt;=12500,0,IF(AI13&gt;V13,0,ROUNDUP((V13-AI13)/3,-3))))</f>
        <v>18000.0</v>
      </c>
      <c r="AV13" s="1503">
        <f t="shared" si="26"/>
        <v>18000.0</v>
      </c>
      <c r="AW13" s="1503">
        <f>AV13+AI13</f>
        <v>28000.0</v>
      </c>
      <c r="AX13" s="1501">
        <f>AW13-W13</f>
        <v>400.0</v>
      </c>
      <c r="AY13" s="1501">
        <f>IF($AG$7="INCOME TAX DEDUCT FROM SALARY TILL JAN  2025",0,IF(AF13&lt;=12500,0,IF(AI13&gt;AF13,0,ROUNDUP((AF13-AI13)/3,-3))))</f>
        <v>0.0</v>
      </c>
      <c r="AZ13" s="1501">
        <f>IF($AG$7="INCOME TAX DEDUCT FROM SALARY TILL JAN  2025",0,IF(AF13&lt;=12500,0,IF(AI13&gt;AF13,0,ROUNDUP((AF13-AI13)/3,-3))))</f>
        <v>0.0</v>
      </c>
      <c r="BA13" s="1501">
        <f>IF($AG$7="INCOME TAX DEDUCT FROM SALARY TILL JAN  2025",ROUNDUP((AF13-AI13),-3),IF(AF13&lt;=12500,0,IF(AI13&gt;AF13,0,ROUNDUP((AF13-AI13)/3,-3))))</f>
        <v>-10000.0</v>
      </c>
      <c r="BB13" s="1503">
        <f t="shared" si="27"/>
        <v>-10000.0</v>
      </c>
      <c r="BC13" s="1503">
        <f>BB13+AI13</f>
        <v>0.0</v>
      </c>
      <c r="BD13" s="1501">
        <f>BC13-AF13</f>
        <v>0.0</v>
      </c>
      <c r="BE13" s="1504"/>
      <c r="BF13" s="1504"/>
      <c r="BG13" s="1504"/>
    </row>
    <row r="14" spans="8:8" ht="15.75">
      <c r="B14" s="1488">
        <f t="shared" si="8"/>
        <v>38100.0</v>
      </c>
      <c r="C14" s="1488">
        <f t="shared" si="0"/>
        <v>0.0</v>
      </c>
      <c r="D14" s="1489"/>
      <c r="E14" s="1505">
        <v>5.0</v>
      </c>
      <c r="F14" s="1506" t="s">
        <v>576</v>
      </c>
      <c r="G14" s="1506">
        <v>1000518.0</v>
      </c>
      <c r="H14" s="1507">
        <v>70005.0</v>
      </c>
      <c r="I14" s="1492">
        <v>50000.0</v>
      </c>
      <c r="J14" s="1507">
        <v>110000.0</v>
      </c>
      <c r="K14" s="1492">
        <v>150000.0</v>
      </c>
      <c r="L14" s="1507"/>
      <c r="M14" s="1507"/>
      <c r="N14" s="1492">
        <v>0.0</v>
      </c>
      <c r="O14" s="1493">
        <f t="shared" si="9"/>
        <v>620513.0</v>
      </c>
      <c r="P14" s="1493">
        <f t="shared" si="10"/>
        <v>925518.0</v>
      </c>
      <c r="Q14" s="1494">
        <f t="shared" si="11"/>
        <v>12500.0</v>
      </c>
      <c r="R14" s="1494">
        <f t="shared" si="12"/>
        <v>24103.0</v>
      </c>
      <c r="S14" s="1494">
        <f t="shared" si="13"/>
        <v>0.0</v>
      </c>
      <c r="T14" s="1493">
        <f t="shared" si="1"/>
        <v>36603.0</v>
      </c>
      <c r="U14" s="1494">
        <f t="shared" si="14"/>
        <v>1464.0</v>
      </c>
      <c r="V14" s="1495">
        <f t="shared" si="15"/>
        <v>38067.0</v>
      </c>
      <c r="W14" s="1495">
        <f t="shared" si="16"/>
        <v>38100.0</v>
      </c>
      <c r="X14" s="1494">
        <f t="shared" si="17"/>
        <v>20000.0</v>
      </c>
      <c r="Y14" s="1494">
        <f t="shared" si="18"/>
        <v>22551.800000000003</v>
      </c>
      <c r="Z14" s="1494">
        <f t="shared" si="19"/>
        <v>0.0</v>
      </c>
      <c r="AA14" s="1494">
        <f t="shared" si="20"/>
        <v>0.0</v>
      </c>
      <c r="AB14" s="1496">
        <f t="shared" si="21"/>
        <v>0.0</v>
      </c>
      <c r="AC14" s="1497">
        <f t="shared" si="2"/>
        <v>42551.8</v>
      </c>
      <c r="AD14" s="1494">
        <f t="shared" si="3"/>
        <v>1702.0</v>
      </c>
      <c r="AE14" s="1495">
        <f t="shared" si="4"/>
        <v>44253.8</v>
      </c>
      <c r="AF14" s="1495">
        <f t="shared" si="5"/>
        <v>44300.0</v>
      </c>
      <c r="AG14" s="1508">
        <v>45000.0</v>
      </c>
      <c r="AH14" s="1508"/>
      <c r="AI14" s="1496">
        <f t="shared" si="22"/>
        <v>45000.0</v>
      </c>
      <c r="AJ14" s="1496">
        <f>IF(OR(W14=0,AF14=0),0,IF(AN14="OLD TAX REGIME",AS14,AY14))</f>
        <v>0.0</v>
      </c>
      <c r="AK14" s="1496">
        <f>IF(OR(W14=0,AF14=0),0,IF(AN14="OLD TAX REGIME",AT14,AZ14))</f>
        <v>0.0</v>
      </c>
      <c r="AL14" s="1496">
        <f>IF(OR(W14=0,AF14=0),0,IF(AN14="OLD TAX REGIME",AU14,BA14))</f>
        <v>-1000.0</v>
      </c>
      <c r="AM14" s="1497">
        <f t="shared" si="23"/>
        <v>-1000.0</v>
      </c>
      <c r="AN14" s="1499" t="str">
        <f t="shared" si="24"/>
        <v>OLD REGIME</v>
      </c>
      <c r="AO14" s="1500">
        <f t="shared" si="6"/>
        <v>38100.0</v>
      </c>
      <c r="AP14" s="1501">
        <f t="shared" si="7"/>
        <v>-5900.0</v>
      </c>
      <c r="AQ14" s="1502" t="str">
        <f t="shared" si="25"/>
        <v>(REF)</v>
      </c>
      <c r="AR14" s="1419"/>
      <c r="AS14" s="1501">
        <f>IF($AG$7="INCOME TAX DEDUCT FROM SALARY TILL JAN  2025",0,IF(W14&lt;=12500,0,IF(AI14&gt;W14,0,ROUNDUP((W14-AI14)/3,-3))))</f>
        <v>0.0</v>
      </c>
      <c r="AT14" s="1501">
        <f>IF($AG$7="INCOME TAX DEDUCT FROM SALARY TILL JAN  2025",0,IF(W14&lt;=12500,0,IF(AI14&gt;V14,0,ROUNDUP((W14-AI14)/3,-3))))</f>
        <v>0.0</v>
      </c>
      <c r="AU14" s="1501">
        <f>IF($AG$7="INCOME TAX DEDUCT FROM SALARY TILL JAN  2025",ROUNDUP((V14-AI14),-3),IF(V14&lt;=12500,0,IF(AI14&gt;V14,0,ROUNDUP((V14-AI14)/3,-3))))</f>
        <v>-7000.0</v>
      </c>
      <c r="AV14" s="1503">
        <f t="shared" si="26"/>
        <v>-7000.0</v>
      </c>
      <c r="AW14" s="1503">
        <f>AV14+AI14</f>
        <v>38000.0</v>
      </c>
      <c r="AX14" s="1501">
        <f>AW14-W14</f>
        <v>-100.0</v>
      </c>
      <c r="AY14" s="1501">
        <f>IF($AG$7="INCOME TAX DEDUCT FROM SALARY TILL JAN  2025",0,IF(AF14&lt;=12500,0,IF(AI14&gt;AF14,0,ROUNDUP((AF14-AI14)/3,-3))))</f>
        <v>0.0</v>
      </c>
      <c r="AZ14" s="1501">
        <f>IF($AG$7="INCOME TAX DEDUCT FROM SALARY TILL JAN  2025",0,IF(AF14&lt;=12500,0,IF(AI14&gt;AF14,0,ROUNDUP((AF14-AI14)/3,-3))))</f>
        <v>0.0</v>
      </c>
      <c r="BA14" s="1501">
        <f>IF($AG$7="INCOME TAX DEDUCT FROM SALARY TILL JAN  2025",ROUNDUP((AF14-AI14),-3),IF(AF14&lt;=12500,0,IF(AI14&gt;AF14,0,ROUNDUP((AF14-AI14)/3,-3))))</f>
        <v>-1000.0</v>
      </c>
      <c r="BB14" s="1503">
        <f t="shared" si="27"/>
        <v>-1000.0</v>
      </c>
      <c r="BC14" s="1503">
        <f>BB14+AI14</f>
        <v>44000.0</v>
      </c>
      <c r="BD14" s="1501">
        <f>BC14-AF14</f>
        <v>-300.0</v>
      </c>
      <c r="BE14" s="1504"/>
      <c r="BF14" s="1504"/>
      <c r="BG14" s="1504"/>
    </row>
    <row r="15" spans="8:8" ht="15.75">
      <c r="B15" s="1488">
        <f t="shared" si="8"/>
        <v>0.0</v>
      </c>
      <c r="C15" s="1488">
        <f t="shared" si="0"/>
        <v>0.0</v>
      </c>
      <c r="D15" s="1489"/>
      <c r="E15" s="1505">
        <v>6.0</v>
      </c>
      <c r="F15" s="1506"/>
      <c r="G15" s="1506"/>
      <c r="H15" s="1507"/>
      <c r="I15" s="1492"/>
      <c r="J15" s="1507"/>
      <c r="K15" s="1507"/>
      <c r="L15" s="1507"/>
      <c r="M15" s="1507"/>
      <c r="N15" s="1492">
        <v>0.0</v>
      </c>
      <c r="O15" s="1493">
        <f t="shared" si="9"/>
        <v>-50000.0</v>
      </c>
      <c r="P15" s="1493">
        <f t="shared" si="10"/>
        <v>-75000.0</v>
      </c>
      <c r="Q15" s="1494">
        <f t="shared" si="11"/>
        <v>0.0</v>
      </c>
      <c r="R15" s="1494">
        <f t="shared" si="12"/>
        <v>0.0</v>
      </c>
      <c r="S15" s="1494">
        <f t="shared" si="13"/>
        <v>0.0</v>
      </c>
      <c r="T15" s="1493" t="str">
        <f t="shared" si="1"/>
        <v/>
      </c>
      <c r="U15" s="1494" t="str">
        <f t="shared" si="14"/>
        <v/>
      </c>
      <c r="V15" s="1495" t="str">
        <f t="shared" si="15"/>
        <v/>
      </c>
      <c r="W15" s="1495" t="str">
        <f t="shared" si="16"/>
        <v/>
      </c>
      <c r="X15" s="1494">
        <f t="shared" si="17"/>
        <v>0.0</v>
      </c>
      <c r="Y15" s="1494">
        <f t="shared" si="18"/>
        <v>0.0</v>
      </c>
      <c r="Z15" s="1494">
        <f t="shared" si="19"/>
        <v>0.0</v>
      </c>
      <c r="AA15" s="1494">
        <f t="shared" si="20"/>
        <v>0.0</v>
      </c>
      <c r="AB15" s="1496">
        <f t="shared" si="21"/>
        <v>0.0</v>
      </c>
      <c r="AC15" s="1497" t="str">
        <f t="shared" si="2"/>
        <v/>
      </c>
      <c r="AD15" s="1494" t="str">
        <f t="shared" si="3"/>
        <v/>
      </c>
      <c r="AE15" s="1495" t="str">
        <f t="shared" si="4"/>
        <v/>
      </c>
      <c r="AF15" s="1495" t="str">
        <f t="shared" si="5"/>
        <v/>
      </c>
      <c r="AG15" s="1508"/>
      <c r="AH15" s="1508"/>
      <c r="AI15" s="1496">
        <f t="shared" si="22"/>
        <v>0.0</v>
      </c>
      <c r="AJ15" s="1496">
        <f>IF(OR(W15=0,AF15=0),0,IF(AN15="OLD TAX REGIME",AS15,AY15))</f>
        <v>0.0</v>
      </c>
      <c r="AK15" s="1496">
        <f>IF(OR(W15=0,AF15=0),0,IF(AN15="OLD TAX REGIME",AT15,AZ15))</f>
        <v>0.0</v>
      </c>
      <c r="AL15" s="1496" t="e">
        <f>IF(OR(W15=0,AF15=0),0,IF(AN15="OLD TAX REGIME",AU15,BA15))</f>
        <v>#VALUE!</v>
      </c>
      <c r="AM15" s="1497" t="e">
        <f t="shared" si="23"/>
        <v>#VALUE!</v>
      </c>
      <c r="AN15" s="1499" t="str">
        <f t="shared" si="24"/>
        <v/>
      </c>
      <c r="AO15" s="1500">
        <f t="shared" si="6"/>
        <v>0.0</v>
      </c>
      <c r="AP15" s="1509">
        <f t="shared" si="7"/>
        <v>0.0</v>
      </c>
      <c r="AQ15" s="1502">
        <f t="shared" si="25"/>
        <v>0.0</v>
      </c>
      <c r="AR15" s="1419"/>
      <c r="AS15" s="1501">
        <f>IF($AG$7="INCOME TAX DEDUCT FROM SALARY TILL JAN  2025",0,IF(W15&lt;=12500,0,IF(AI15&gt;W15,0,ROUNDUP((W15-AI15)/3,-3))))</f>
        <v>0.0</v>
      </c>
      <c r="AT15" s="1501">
        <f>IF($AG$7="INCOME TAX DEDUCT FROM SALARY TILL JAN  2025",0,IF(W15&lt;=12500,0,IF(AI15&gt;V15,0,ROUNDUP((W15-AI15)/3,-3))))</f>
        <v>0.0</v>
      </c>
      <c r="AU15" s="1501" t="e">
        <f>IF($AG$7="INCOME TAX DEDUCT FROM SALARY TILL JAN  2025",ROUNDUP((V15-AI15),-3),IF(V15&lt;=12500,0,IF(AI15&gt;V15,0,ROUNDUP((V15-AI15)/3,-3))))</f>
        <v>#VALUE!</v>
      </c>
      <c r="AV15" s="1503" t="e">
        <f t="shared" si="26"/>
        <v>#VALUE!</v>
      </c>
      <c r="AW15" s="1503" t="e">
        <f>AV15+AI15</f>
        <v>#VALUE!</v>
      </c>
      <c r="AX15" s="1501" t="e">
        <f>AW15-W15</f>
        <v>#VALUE!</v>
      </c>
      <c r="AY15" s="1501">
        <f>IF($AG$7="INCOME TAX DEDUCT FROM SALARY TILL JAN  2025",0,IF(AF15&lt;=12500,0,IF(AI15&gt;AF15,0,ROUNDUP((AF15-AI15)/3,-3))))</f>
        <v>0.0</v>
      </c>
      <c r="AZ15" s="1501">
        <f>IF($AG$7="INCOME TAX DEDUCT FROM SALARY TILL JAN  2025",0,IF(AF15&lt;=12500,0,IF(AI15&gt;AF15,0,ROUNDUP((AF15-AI15)/3,-3))))</f>
        <v>0.0</v>
      </c>
      <c r="BA15" s="1501" t="e">
        <f>IF($AG$7="INCOME TAX DEDUCT FROM SALARY TILL JAN  2025",ROUNDUP((AF15-AI15),-3),IF(AF15&lt;=12500,0,IF(AI15&gt;AF15,0,ROUNDUP((AF15-AI15)/3,-3))))</f>
        <v>#VALUE!</v>
      </c>
      <c r="BB15" s="1503" t="e">
        <f t="shared" si="27"/>
        <v>#VALUE!</v>
      </c>
      <c r="BC15" s="1503" t="e">
        <f>BB15+AI15</f>
        <v>#VALUE!</v>
      </c>
      <c r="BD15" s="1501" t="e">
        <f>BC15-AF15</f>
        <v>#VALUE!</v>
      </c>
      <c r="BE15" s="1504"/>
      <c r="BF15" s="1504"/>
      <c r="BG15" s="1504"/>
    </row>
    <row r="16" spans="8:8" ht="15.75">
      <c r="B16" s="1488">
        <f t="shared" si="8"/>
        <v>0.0</v>
      </c>
      <c r="C16" s="1488">
        <f t="shared" si="0"/>
        <v>0.0</v>
      </c>
      <c r="D16" s="1489"/>
      <c r="E16" s="1505">
        <v>7.0</v>
      </c>
      <c r="F16" s="1506"/>
      <c r="G16" s="1506"/>
      <c r="H16" s="1507"/>
      <c r="I16" s="1492"/>
      <c r="J16" s="1507"/>
      <c r="K16" s="1507"/>
      <c r="L16" s="1507"/>
      <c r="M16" s="1507"/>
      <c r="N16" s="1492">
        <v>0.0</v>
      </c>
      <c r="O16" s="1493">
        <f t="shared" si="9"/>
        <v>-50000.0</v>
      </c>
      <c r="P16" s="1493">
        <f t="shared" si="10"/>
        <v>-75000.0</v>
      </c>
      <c r="Q16" s="1494">
        <f t="shared" si="11"/>
        <v>0.0</v>
      </c>
      <c r="R16" s="1494">
        <f t="shared" si="12"/>
        <v>0.0</v>
      </c>
      <c r="S16" s="1494">
        <f t="shared" si="13"/>
        <v>0.0</v>
      </c>
      <c r="T16" s="1493" t="str">
        <f t="shared" si="1"/>
        <v/>
      </c>
      <c r="U16" s="1494" t="str">
        <f t="shared" si="14"/>
        <v/>
      </c>
      <c r="V16" s="1495" t="str">
        <f t="shared" si="15"/>
        <v/>
      </c>
      <c r="W16" s="1495" t="str">
        <f t="shared" si="16"/>
        <v/>
      </c>
      <c r="X16" s="1494">
        <f t="shared" si="17"/>
        <v>0.0</v>
      </c>
      <c r="Y16" s="1494">
        <f t="shared" si="18"/>
        <v>0.0</v>
      </c>
      <c r="Z16" s="1494">
        <f t="shared" si="19"/>
        <v>0.0</v>
      </c>
      <c r="AA16" s="1494">
        <f t="shared" si="20"/>
        <v>0.0</v>
      </c>
      <c r="AB16" s="1496">
        <f t="shared" si="21"/>
        <v>0.0</v>
      </c>
      <c r="AC16" s="1497" t="str">
        <f t="shared" si="2"/>
        <v/>
      </c>
      <c r="AD16" s="1494" t="str">
        <f t="shared" si="3"/>
        <v/>
      </c>
      <c r="AE16" s="1495" t="str">
        <f t="shared" si="4"/>
        <v/>
      </c>
      <c r="AF16" s="1495" t="str">
        <f t="shared" si="5"/>
        <v/>
      </c>
      <c r="AG16" s="1508"/>
      <c r="AH16" s="1508"/>
      <c r="AI16" s="1496">
        <f t="shared" si="22"/>
        <v>0.0</v>
      </c>
      <c r="AJ16" s="1496">
        <f>IF(OR(W16=0,AF16=0),0,IF(AN16="OLD TAX REGIME",AS16,AY16))</f>
        <v>0.0</v>
      </c>
      <c r="AK16" s="1496">
        <f>IF(OR(W16=0,AF16=0),0,IF(AN16="OLD TAX REGIME",AT16,AZ16))</f>
        <v>0.0</v>
      </c>
      <c r="AL16" s="1496" t="e">
        <f>IF(OR(W16=0,AF16=0),0,IF(AN16="OLD TAX REGIME",AU16,BA16))</f>
        <v>#VALUE!</v>
      </c>
      <c r="AM16" s="1497" t="e">
        <f t="shared" si="23"/>
        <v>#VALUE!</v>
      </c>
      <c r="AN16" s="1499" t="str">
        <f t="shared" si="24"/>
        <v/>
      </c>
      <c r="AO16" s="1500">
        <f t="shared" si="6"/>
        <v>0.0</v>
      </c>
      <c r="AP16" s="1509">
        <f t="shared" si="7"/>
        <v>0.0</v>
      </c>
      <c r="AQ16" s="1502">
        <f t="shared" si="25"/>
        <v>0.0</v>
      </c>
      <c r="AR16" s="1419"/>
      <c r="AS16" s="1501">
        <f>IF($AG$7="INCOME TAX DEDUCT FROM SALARY TILL JAN  2025",0,IF(W16&lt;=12500,0,IF(AI16&gt;W16,0,ROUNDUP((W16-AI16)/3,-3))))</f>
        <v>0.0</v>
      </c>
      <c r="AT16" s="1501">
        <f>IF($AG$7="INCOME TAX DEDUCT FROM SALARY TILL JAN  2025",0,IF(W16&lt;=12500,0,IF(AI16&gt;V16,0,ROUNDUP((W16-AI16)/3,-3))))</f>
        <v>0.0</v>
      </c>
      <c r="AU16" s="1501" t="e">
        <f>IF($AG$7="INCOME TAX DEDUCT FROM SALARY TILL JAN  2025",ROUNDUP((V16-AI16),-3),IF(V16&lt;=12500,0,IF(AI16&gt;V16,0,ROUNDUP((V16-AI16)/3,-3))))</f>
        <v>#VALUE!</v>
      </c>
      <c r="AV16" s="1503" t="e">
        <f t="shared" si="26"/>
        <v>#VALUE!</v>
      </c>
      <c r="AW16" s="1503" t="e">
        <f>AV16+AI16</f>
        <v>#VALUE!</v>
      </c>
      <c r="AX16" s="1501" t="e">
        <f>AW16-W16</f>
        <v>#VALUE!</v>
      </c>
      <c r="AY16" s="1501">
        <f>IF($AG$7="INCOME TAX DEDUCT FROM SALARY TILL JAN  2025",0,IF(AF16&lt;=12500,0,IF(AI16&gt;AF16,0,ROUNDUP((AF16-AI16)/3,-3))))</f>
        <v>0.0</v>
      </c>
      <c r="AZ16" s="1501">
        <f>IF($AG$7="INCOME TAX DEDUCT FROM SALARY TILL JAN  2025",0,IF(AF16&lt;=12500,0,IF(AI16&gt;AF16,0,ROUNDUP((AF16-AI16)/3,-3))))</f>
        <v>0.0</v>
      </c>
      <c r="BA16" s="1501" t="e">
        <f>IF($AG$7="INCOME TAX DEDUCT FROM SALARY TILL JAN  2025",ROUNDUP((AF16-AI16),-3),IF(AF16&lt;=12500,0,IF(AI16&gt;AF16,0,ROUNDUP((AF16-AI16)/3,-3))))</f>
        <v>#VALUE!</v>
      </c>
      <c r="BB16" s="1503" t="e">
        <f t="shared" si="27"/>
        <v>#VALUE!</v>
      </c>
      <c r="BC16" s="1503" t="e">
        <f>BB16+AI16</f>
        <v>#VALUE!</v>
      </c>
      <c r="BD16" s="1501" t="e">
        <f>BC16-AF16</f>
        <v>#VALUE!</v>
      </c>
      <c r="BE16" s="1504"/>
      <c r="BF16" s="1504"/>
      <c r="BG16" s="1504"/>
    </row>
    <row r="17" spans="8:8" ht="15.75">
      <c r="B17" s="1488">
        <f t="shared" si="8"/>
        <v>0.0</v>
      </c>
      <c r="C17" s="1488">
        <f t="shared" si="0"/>
        <v>0.0</v>
      </c>
      <c r="D17" s="1489"/>
      <c r="E17" s="1505">
        <v>8.0</v>
      </c>
      <c r="F17" s="1506"/>
      <c r="G17" s="1506"/>
      <c r="H17" s="1507"/>
      <c r="I17" s="1492"/>
      <c r="J17" s="1507"/>
      <c r="K17" s="1507"/>
      <c r="L17" s="1507"/>
      <c r="M17" s="1507"/>
      <c r="N17" s="1492">
        <v>0.0</v>
      </c>
      <c r="O17" s="1493">
        <f t="shared" si="9"/>
        <v>-50000.0</v>
      </c>
      <c r="P17" s="1493">
        <f t="shared" si="10"/>
        <v>-75000.0</v>
      </c>
      <c r="Q17" s="1494">
        <f t="shared" si="11"/>
        <v>0.0</v>
      </c>
      <c r="R17" s="1494">
        <f t="shared" si="12"/>
        <v>0.0</v>
      </c>
      <c r="S17" s="1494">
        <f t="shared" si="13"/>
        <v>0.0</v>
      </c>
      <c r="T17" s="1493" t="str">
        <f t="shared" si="1"/>
        <v/>
      </c>
      <c r="U17" s="1494" t="str">
        <f t="shared" si="14"/>
        <v/>
      </c>
      <c r="V17" s="1495" t="str">
        <f t="shared" si="15"/>
        <v/>
      </c>
      <c r="W17" s="1495" t="str">
        <f t="shared" si="16"/>
        <v/>
      </c>
      <c r="X17" s="1494">
        <f t="shared" si="17"/>
        <v>0.0</v>
      </c>
      <c r="Y17" s="1494">
        <f t="shared" si="18"/>
        <v>0.0</v>
      </c>
      <c r="Z17" s="1494">
        <f t="shared" si="19"/>
        <v>0.0</v>
      </c>
      <c r="AA17" s="1494">
        <f t="shared" si="20"/>
        <v>0.0</v>
      </c>
      <c r="AB17" s="1496">
        <f t="shared" si="21"/>
        <v>0.0</v>
      </c>
      <c r="AC17" s="1497" t="str">
        <f t="shared" si="2"/>
        <v/>
      </c>
      <c r="AD17" s="1494" t="str">
        <f t="shared" si="3"/>
        <v/>
      </c>
      <c r="AE17" s="1495" t="str">
        <f t="shared" si="4"/>
        <v/>
      </c>
      <c r="AF17" s="1495" t="str">
        <f t="shared" si="5"/>
        <v/>
      </c>
      <c r="AG17" s="1508"/>
      <c r="AH17" s="1508"/>
      <c r="AI17" s="1496">
        <f t="shared" si="22"/>
        <v>0.0</v>
      </c>
      <c r="AJ17" s="1496">
        <f>IF(OR(W17=0,AF17=0),0,IF(AN17="OLD TAX REGIME",AS17,AY17))</f>
        <v>0.0</v>
      </c>
      <c r="AK17" s="1496">
        <f>IF(OR(W17=0,AF17=0),0,IF(AN17="OLD TAX REGIME",AT17,AZ17))</f>
        <v>0.0</v>
      </c>
      <c r="AL17" s="1496" t="e">
        <f>IF(OR(W17=0,AF17=0),0,IF(AN17="OLD TAX REGIME",AU17,BA17))</f>
        <v>#VALUE!</v>
      </c>
      <c r="AM17" s="1497" t="e">
        <f t="shared" si="23"/>
        <v>#VALUE!</v>
      </c>
      <c r="AN17" s="1499" t="str">
        <f t="shared" si="24"/>
        <v/>
      </c>
      <c r="AO17" s="1500">
        <f t="shared" si="6"/>
        <v>0.0</v>
      </c>
      <c r="AP17" s="1509">
        <f t="shared" si="7"/>
        <v>0.0</v>
      </c>
      <c r="AQ17" s="1502">
        <f t="shared" si="25"/>
        <v>0.0</v>
      </c>
      <c r="AR17" s="1419"/>
      <c r="AS17" s="1501">
        <f>IF($AG$7="INCOME TAX DEDUCT FROM SALARY TILL JAN  2025",0,IF(W17&lt;=12500,0,IF(AI17&gt;W17,0,ROUNDUP((W17-AI17)/3,-3))))</f>
        <v>0.0</v>
      </c>
      <c r="AT17" s="1501">
        <f>IF($AG$7="INCOME TAX DEDUCT FROM SALARY TILL JAN  2025",0,IF(W17&lt;=12500,0,IF(AI17&gt;V17,0,ROUNDUP((W17-AI17)/3,-3))))</f>
        <v>0.0</v>
      </c>
      <c r="AU17" s="1501" t="e">
        <f>IF($AG$7="INCOME TAX DEDUCT FROM SALARY TILL JAN  2025",ROUNDUP((V17-AI17),-3),IF(V17&lt;=12500,0,IF(AI17&gt;V17,0,ROUNDUP((V17-AI17)/3,-3))))</f>
        <v>#VALUE!</v>
      </c>
      <c r="AV17" s="1503" t="e">
        <f t="shared" si="26"/>
        <v>#VALUE!</v>
      </c>
      <c r="AW17" s="1503" t="e">
        <f>AV17+AI17</f>
        <v>#VALUE!</v>
      </c>
      <c r="AX17" s="1501" t="e">
        <f>AW17-W17</f>
        <v>#VALUE!</v>
      </c>
      <c r="AY17" s="1501">
        <f>IF($AG$7="INCOME TAX DEDUCT FROM SALARY TILL JAN  2025",0,IF(AF17&lt;=12500,0,IF(AI17&gt;AF17,0,ROUNDUP((AF17-AI17)/3,-3))))</f>
        <v>0.0</v>
      </c>
      <c r="AZ17" s="1501">
        <f>IF($AG$7="INCOME TAX DEDUCT FROM SALARY TILL JAN  2025",0,IF(AF17&lt;=12500,0,IF(AI17&gt;AF17,0,ROUNDUP((AF17-AI17)/3,-3))))</f>
        <v>0.0</v>
      </c>
      <c r="BA17" s="1501" t="e">
        <f>IF($AG$7="INCOME TAX DEDUCT FROM SALARY TILL JAN  2025",ROUNDUP((AF17-AI17),-3),IF(AF17&lt;=12500,0,IF(AI17&gt;AF17,0,ROUNDUP((AF17-AI17)/3,-3))))</f>
        <v>#VALUE!</v>
      </c>
      <c r="BB17" s="1503" t="e">
        <f t="shared" si="27"/>
        <v>#VALUE!</v>
      </c>
      <c r="BC17" s="1503" t="e">
        <f>BB17+AI17</f>
        <v>#VALUE!</v>
      </c>
      <c r="BD17" s="1501" t="e">
        <f>BC17-AF17</f>
        <v>#VALUE!</v>
      </c>
      <c r="BE17" s="1504"/>
      <c r="BF17" s="1504"/>
      <c r="BG17" s="1504"/>
    </row>
    <row r="18" spans="8:8" ht="15.75">
      <c r="B18" s="1488">
        <f t="shared" si="8"/>
        <v>0.0</v>
      </c>
      <c r="C18" s="1488">
        <f t="shared" si="0"/>
        <v>0.0</v>
      </c>
      <c r="D18" s="1489"/>
      <c r="E18" s="1505">
        <v>9.0</v>
      </c>
      <c r="F18" s="1506"/>
      <c r="G18" s="1506"/>
      <c r="H18" s="1507"/>
      <c r="I18" s="1492"/>
      <c r="J18" s="1507"/>
      <c r="K18" s="1507"/>
      <c r="L18" s="1507"/>
      <c r="M18" s="1507"/>
      <c r="N18" s="1492">
        <v>0.0</v>
      </c>
      <c r="O18" s="1493">
        <f t="shared" si="9"/>
        <v>-50000.0</v>
      </c>
      <c r="P18" s="1493">
        <f t="shared" si="10"/>
        <v>-75000.0</v>
      </c>
      <c r="Q18" s="1494">
        <f t="shared" si="11"/>
        <v>0.0</v>
      </c>
      <c r="R18" s="1494">
        <f t="shared" si="12"/>
        <v>0.0</v>
      </c>
      <c r="S18" s="1494">
        <f t="shared" si="13"/>
        <v>0.0</v>
      </c>
      <c r="T18" s="1493" t="str">
        <f t="shared" si="1"/>
        <v/>
      </c>
      <c r="U18" s="1494" t="str">
        <f t="shared" si="14"/>
        <v/>
      </c>
      <c r="V18" s="1495" t="str">
        <f t="shared" si="15"/>
        <v/>
      </c>
      <c r="W18" s="1495" t="str">
        <f t="shared" si="16"/>
        <v/>
      </c>
      <c r="X18" s="1494">
        <f t="shared" si="17"/>
        <v>0.0</v>
      </c>
      <c r="Y18" s="1494">
        <f t="shared" si="18"/>
        <v>0.0</v>
      </c>
      <c r="Z18" s="1494">
        <f t="shared" si="19"/>
        <v>0.0</v>
      </c>
      <c r="AA18" s="1494">
        <f t="shared" si="20"/>
        <v>0.0</v>
      </c>
      <c r="AB18" s="1496">
        <f t="shared" si="21"/>
        <v>0.0</v>
      </c>
      <c r="AC18" s="1497" t="str">
        <f t="shared" si="2"/>
        <v/>
      </c>
      <c r="AD18" s="1494" t="str">
        <f t="shared" si="3"/>
        <v/>
      </c>
      <c r="AE18" s="1495" t="str">
        <f t="shared" si="4"/>
        <v/>
      </c>
      <c r="AF18" s="1495" t="str">
        <f t="shared" si="5"/>
        <v/>
      </c>
      <c r="AG18" s="1508"/>
      <c r="AH18" s="1508"/>
      <c r="AI18" s="1496">
        <f t="shared" si="22"/>
        <v>0.0</v>
      </c>
      <c r="AJ18" s="1496">
        <f>IF(OR(W18=0,AF18=0),0,IF(AN18="OLD TAX REGIME",AS18,AY18))</f>
        <v>0.0</v>
      </c>
      <c r="AK18" s="1496">
        <f>IF(OR(W18=0,AF18=0),0,IF(AN18="OLD TAX REGIME",AT18,AZ18))</f>
        <v>0.0</v>
      </c>
      <c r="AL18" s="1496" t="e">
        <f>IF(OR(W18=0,AF18=0),0,IF(AN18="OLD TAX REGIME",AU18,BA18))</f>
        <v>#VALUE!</v>
      </c>
      <c r="AM18" s="1497" t="e">
        <f t="shared" si="23"/>
        <v>#VALUE!</v>
      </c>
      <c r="AN18" s="1499" t="str">
        <f t="shared" si="24"/>
        <v/>
      </c>
      <c r="AO18" s="1500">
        <f t="shared" si="6"/>
        <v>0.0</v>
      </c>
      <c r="AP18" s="1509">
        <f t="shared" si="7"/>
        <v>0.0</v>
      </c>
      <c r="AQ18" s="1502">
        <f t="shared" si="25"/>
        <v>0.0</v>
      </c>
      <c r="AR18" s="1419"/>
      <c r="AS18" s="1501">
        <f>IF($AG$7="INCOME TAX DEDUCT FROM SALARY TILL JAN  2025",0,IF(W18&lt;=12500,0,IF(AI18&gt;W18,0,ROUNDUP((W18-AI18)/3,-3))))</f>
        <v>0.0</v>
      </c>
      <c r="AT18" s="1501">
        <f>IF($AG$7="INCOME TAX DEDUCT FROM SALARY TILL JAN  2025",0,IF(W18&lt;=12500,0,IF(AI18&gt;V18,0,ROUNDUP((W18-AI18)/3,-3))))</f>
        <v>0.0</v>
      </c>
      <c r="AU18" s="1501" t="e">
        <f>IF($AG$7="INCOME TAX DEDUCT FROM SALARY TILL JAN  2025",ROUNDUP((V18-AI18),-3),IF(V18&lt;=12500,0,IF(AI18&gt;V18,0,ROUNDUP((V18-AI18)/3,-3))))</f>
        <v>#VALUE!</v>
      </c>
      <c r="AV18" s="1503" t="e">
        <f t="shared" si="26"/>
        <v>#VALUE!</v>
      </c>
      <c r="AW18" s="1503" t="e">
        <f>AV18+AI18</f>
        <v>#VALUE!</v>
      </c>
      <c r="AX18" s="1501" t="e">
        <f>AW18-W18</f>
        <v>#VALUE!</v>
      </c>
      <c r="AY18" s="1501">
        <f>IF($AG$7="INCOME TAX DEDUCT FROM SALARY TILL JAN  2025",0,IF(AF18&lt;=12500,0,IF(AI18&gt;AF18,0,ROUNDUP((AF18-AI18)/3,-3))))</f>
        <v>0.0</v>
      </c>
      <c r="AZ18" s="1501">
        <f>IF($AG$7="INCOME TAX DEDUCT FROM SALARY TILL JAN  2025",0,IF(AF18&lt;=12500,0,IF(AI18&gt;AF18,0,ROUNDUP((AF18-AI18)/3,-3))))</f>
        <v>0.0</v>
      </c>
      <c r="BA18" s="1501" t="e">
        <f>IF($AG$7="INCOME TAX DEDUCT FROM SALARY TILL JAN  2025",ROUNDUP((AF18-AI18),-3),IF(AF18&lt;=12500,0,IF(AI18&gt;AF18,0,ROUNDUP((AF18-AI18)/3,-3))))</f>
        <v>#VALUE!</v>
      </c>
      <c r="BB18" s="1503" t="e">
        <f t="shared" si="27"/>
        <v>#VALUE!</v>
      </c>
      <c r="BC18" s="1503" t="e">
        <f>BB18+AI18</f>
        <v>#VALUE!</v>
      </c>
      <c r="BD18" s="1501" t="e">
        <f>BC18-AF18</f>
        <v>#VALUE!</v>
      </c>
      <c r="BE18" s="1504"/>
      <c r="BF18" s="1504"/>
      <c r="BG18" s="1504"/>
    </row>
    <row r="19" spans="8:8" ht="15.75">
      <c r="B19" s="1488">
        <f t="shared" si="8"/>
        <v>0.0</v>
      </c>
      <c r="C19" s="1488">
        <f t="shared" si="0"/>
        <v>0.0</v>
      </c>
      <c r="D19" s="1489"/>
      <c r="E19" s="1505">
        <v>10.0</v>
      </c>
      <c r="F19" s="1506"/>
      <c r="G19" s="1506"/>
      <c r="H19" s="1507"/>
      <c r="I19" s="1492"/>
      <c r="J19" s="1507"/>
      <c r="K19" s="1507"/>
      <c r="L19" s="1507"/>
      <c r="M19" s="1507"/>
      <c r="N19" s="1492">
        <v>0.0</v>
      </c>
      <c r="O19" s="1493">
        <f t="shared" si="9"/>
        <v>-50000.0</v>
      </c>
      <c r="P19" s="1493">
        <f t="shared" si="10"/>
        <v>-75000.0</v>
      </c>
      <c r="Q19" s="1494">
        <f t="shared" si="11"/>
        <v>0.0</v>
      </c>
      <c r="R19" s="1494">
        <f t="shared" si="12"/>
        <v>0.0</v>
      </c>
      <c r="S19" s="1494">
        <f t="shared" si="13"/>
        <v>0.0</v>
      </c>
      <c r="T19" s="1493" t="str">
        <f t="shared" si="1"/>
        <v/>
      </c>
      <c r="U19" s="1494" t="str">
        <f t="shared" si="14"/>
        <v/>
      </c>
      <c r="V19" s="1495" t="str">
        <f t="shared" si="15"/>
        <v/>
      </c>
      <c r="W19" s="1495" t="str">
        <f t="shared" si="16"/>
        <v/>
      </c>
      <c r="X19" s="1494">
        <f t="shared" si="17"/>
        <v>0.0</v>
      </c>
      <c r="Y19" s="1494">
        <f t="shared" si="18"/>
        <v>0.0</v>
      </c>
      <c r="Z19" s="1494">
        <f t="shared" si="19"/>
        <v>0.0</v>
      </c>
      <c r="AA19" s="1494">
        <f t="shared" si="20"/>
        <v>0.0</v>
      </c>
      <c r="AB19" s="1496">
        <f t="shared" si="21"/>
        <v>0.0</v>
      </c>
      <c r="AC19" s="1497" t="str">
        <f t="shared" si="2"/>
        <v/>
      </c>
      <c r="AD19" s="1494" t="str">
        <f t="shared" si="3"/>
        <v/>
      </c>
      <c r="AE19" s="1495" t="str">
        <f t="shared" si="4"/>
        <v/>
      </c>
      <c r="AF19" s="1495" t="str">
        <f t="shared" si="5"/>
        <v/>
      </c>
      <c r="AG19" s="1508"/>
      <c r="AH19" s="1508"/>
      <c r="AI19" s="1496">
        <f t="shared" si="22"/>
        <v>0.0</v>
      </c>
      <c r="AJ19" s="1496">
        <f>IF(OR(W19=0,AF19=0),0,IF(AN19="OLD TAX REGIME",AS19,AY19))</f>
        <v>0.0</v>
      </c>
      <c r="AK19" s="1496">
        <f>IF(OR(W19=0,AF19=0),0,IF(AN19="OLD TAX REGIME",AT19,AZ19))</f>
        <v>0.0</v>
      </c>
      <c r="AL19" s="1496" t="e">
        <f>IF(OR(W19=0,AF19=0),0,IF(AN19="OLD TAX REGIME",AU19,BA19))</f>
        <v>#VALUE!</v>
      </c>
      <c r="AM19" s="1497" t="e">
        <f t="shared" si="23"/>
        <v>#VALUE!</v>
      </c>
      <c r="AN19" s="1499" t="str">
        <f t="shared" si="24"/>
        <v/>
      </c>
      <c r="AO19" s="1500">
        <f t="shared" si="6"/>
        <v>0.0</v>
      </c>
      <c r="AP19" s="1509">
        <f t="shared" si="7"/>
        <v>0.0</v>
      </c>
      <c r="AQ19" s="1502">
        <f t="shared" si="25"/>
        <v>0.0</v>
      </c>
      <c r="AR19" s="1419"/>
      <c r="AS19" s="1501">
        <f>IF($AG$7="INCOME TAX DEDUCT FROM SALARY TILL JAN  2025",0,IF(W19&lt;=12500,0,IF(AI19&gt;W19,0,ROUNDUP((W19-AI19)/3,-3))))</f>
        <v>0.0</v>
      </c>
      <c r="AT19" s="1501">
        <f>IF($AG$7="INCOME TAX DEDUCT FROM SALARY TILL JAN  2025",0,IF(W19&lt;=12500,0,IF(AI19&gt;V19,0,ROUNDUP((W19-AI19)/3,-3))))</f>
        <v>0.0</v>
      </c>
      <c r="AU19" s="1501" t="e">
        <f>IF($AG$7="INCOME TAX DEDUCT FROM SALARY TILL JAN  2025",ROUNDUP((V19-AI19),-3),IF(V19&lt;=12500,0,IF(AI19&gt;V19,0,ROUNDUP((V19-AI19)/3,-3))))</f>
        <v>#VALUE!</v>
      </c>
      <c r="AV19" s="1503" t="e">
        <f t="shared" si="26"/>
        <v>#VALUE!</v>
      </c>
      <c r="AW19" s="1503" t="e">
        <f>AV19+AI19</f>
        <v>#VALUE!</v>
      </c>
      <c r="AX19" s="1501" t="e">
        <f>AW19-W19</f>
        <v>#VALUE!</v>
      </c>
      <c r="AY19" s="1501">
        <f>IF($AG$7="INCOME TAX DEDUCT FROM SALARY TILL JAN  2025",0,IF(AF19&lt;=12500,0,IF(AI19&gt;AF19,0,ROUNDUP((AF19-AI19)/3,-3))))</f>
        <v>0.0</v>
      </c>
      <c r="AZ19" s="1501">
        <f>IF($AG$7="INCOME TAX DEDUCT FROM SALARY TILL JAN  2025",0,IF(AF19&lt;=12500,0,IF(AI19&gt;AF19,0,ROUNDUP((AF19-AI19)/3,-3))))</f>
        <v>0.0</v>
      </c>
      <c r="BA19" s="1501" t="e">
        <f>IF($AG$7="INCOME TAX DEDUCT FROM SALARY TILL JAN  2025",ROUNDUP((AF19-AI19),-3),IF(AF19&lt;=12500,0,IF(AI19&gt;AF19,0,ROUNDUP((AF19-AI19)/3,-3))))</f>
        <v>#VALUE!</v>
      </c>
      <c r="BB19" s="1503" t="e">
        <f t="shared" si="27"/>
        <v>#VALUE!</v>
      </c>
      <c r="BC19" s="1503" t="e">
        <f>BB19+AI19</f>
        <v>#VALUE!</v>
      </c>
      <c r="BD19" s="1501" t="e">
        <f>BC19-AF19</f>
        <v>#VALUE!</v>
      </c>
      <c r="BE19" s="1504"/>
      <c r="BF19" s="1504"/>
      <c r="BG19" s="1504"/>
    </row>
    <row r="20" spans="8:8" ht="15.75">
      <c r="B20" s="1488">
        <f t="shared" si="8"/>
        <v>0.0</v>
      </c>
      <c r="C20" s="1488">
        <f t="shared" si="0"/>
        <v>0.0</v>
      </c>
      <c r="D20" s="1489"/>
      <c r="E20" s="1505">
        <v>11.0</v>
      </c>
      <c r="F20" s="1506"/>
      <c r="G20" s="1506"/>
      <c r="H20" s="1507"/>
      <c r="I20" s="1492"/>
      <c r="J20" s="1507"/>
      <c r="K20" s="1507"/>
      <c r="L20" s="1507"/>
      <c r="M20" s="1507"/>
      <c r="N20" s="1492">
        <v>0.0</v>
      </c>
      <c r="O20" s="1493">
        <f t="shared" si="9"/>
        <v>-50000.0</v>
      </c>
      <c r="P20" s="1493">
        <f t="shared" si="10"/>
        <v>-75000.0</v>
      </c>
      <c r="Q20" s="1494">
        <f t="shared" si="11"/>
        <v>0.0</v>
      </c>
      <c r="R20" s="1494">
        <f t="shared" si="12"/>
        <v>0.0</v>
      </c>
      <c r="S20" s="1494">
        <f t="shared" si="13"/>
        <v>0.0</v>
      </c>
      <c r="T20" s="1493" t="str">
        <f t="shared" si="1"/>
        <v/>
      </c>
      <c r="U20" s="1494" t="str">
        <f t="shared" si="14"/>
        <v/>
      </c>
      <c r="V20" s="1495" t="str">
        <f t="shared" si="15"/>
        <v/>
      </c>
      <c r="W20" s="1495" t="str">
        <f t="shared" si="16"/>
        <v/>
      </c>
      <c r="X20" s="1494">
        <f t="shared" si="17"/>
        <v>0.0</v>
      </c>
      <c r="Y20" s="1494">
        <f t="shared" si="18"/>
        <v>0.0</v>
      </c>
      <c r="Z20" s="1494">
        <f t="shared" si="19"/>
        <v>0.0</v>
      </c>
      <c r="AA20" s="1494">
        <f t="shared" si="20"/>
        <v>0.0</v>
      </c>
      <c r="AB20" s="1496">
        <f t="shared" si="21"/>
        <v>0.0</v>
      </c>
      <c r="AC20" s="1497" t="str">
        <f t="shared" si="2"/>
        <v/>
      </c>
      <c r="AD20" s="1494" t="str">
        <f t="shared" si="3"/>
        <v/>
      </c>
      <c r="AE20" s="1495" t="str">
        <f t="shared" si="4"/>
        <v/>
      </c>
      <c r="AF20" s="1495" t="str">
        <f t="shared" si="5"/>
        <v/>
      </c>
      <c r="AG20" s="1508"/>
      <c r="AH20" s="1508"/>
      <c r="AI20" s="1496">
        <f t="shared" si="22"/>
        <v>0.0</v>
      </c>
      <c r="AJ20" s="1496">
        <f>IF(OR(W20=0,AF20=0),0,IF(AN20="OLD TAX REGIME",AS20,AY20))</f>
        <v>0.0</v>
      </c>
      <c r="AK20" s="1496">
        <f>IF(OR(W20=0,AF20=0),0,IF(AN20="OLD TAX REGIME",AT20,AZ20))</f>
        <v>0.0</v>
      </c>
      <c r="AL20" s="1496" t="e">
        <f>IF(OR(W20=0,AF20=0),0,IF(AN20="OLD TAX REGIME",AU20,BA20))</f>
        <v>#VALUE!</v>
      </c>
      <c r="AM20" s="1497" t="e">
        <f t="shared" si="23"/>
        <v>#VALUE!</v>
      </c>
      <c r="AN20" s="1499" t="str">
        <f t="shared" si="24"/>
        <v/>
      </c>
      <c r="AO20" s="1500">
        <f t="shared" si="6"/>
        <v>0.0</v>
      </c>
      <c r="AP20" s="1509">
        <f t="shared" si="7"/>
        <v>0.0</v>
      </c>
      <c r="AQ20" s="1502">
        <f t="shared" si="25"/>
        <v>0.0</v>
      </c>
      <c r="AR20" s="1419"/>
      <c r="AS20" s="1501">
        <f>IF($AG$7="INCOME TAX DEDUCT FROM SALARY TILL JAN  2025",0,IF(W20&lt;=12500,0,IF(AI20&gt;W20,0,ROUNDUP((W20-AI20)/3,-3))))</f>
        <v>0.0</v>
      </c>
      <c r="AT20" s="1501">
        <f>IF($AG$7="INCOME TAX DEDUCT FROM SALARY TILL JAN  2025",0,IF(W20&lt;=12500,0,IF(AI20&gt;V20,0,ROUNDUP((W20-AI20)/3,-3))))</f>
        <v>0.0</v>
      </c>
      <c r="AU20" s="1501" t="e">
        <f>IF($AG$7="INCOME TAX DEDUCT FROM SALARY TILL JAN  2025",ROUNDUP((V20-AI20),-3),IF(V20&lt;=12500,0,IF(AI20&gt;V20,0,ROUNDUP((V20-AI20)/3,-3))))</f>
        <v>#VALUE!</v>
      </c>
      <c r="AV20" s="1503" t="e">
        <f t="shared" si="26"/>
        <v>#VALUE!</v>
      </c>
      <c r="AW20" s="1503" t="e">
        <f>AV20+AI20</f>
        <v>#VALUE!</v>
      </c>
      <c r="AX20" s="1501" t="e">
        <f>AW20-W20</f>
        <v>#VALUE!</v>
      </c>
      <c r="AY20" s="1501">
        <f>IF($AG$7="INCOME TAX DEDUCT FROM SALARY TILL JAN  2025",0,IF(AF20&lt;=12500,0,IF(AI20&gt;AF20,0,ROUNDUP((AF20-AI20)/3,-3))))</f>
        <v>0.0</v>
      </c>
      <c r="AZ20" s="1501">
        <f>IF($AG$7="INCOME TAX DEDUCT FROM SALARY TILL JAN  2025",0,IF(AF20&lt;=12500,0,IF(AI20&gt;AF20,0,ROUNDUP((AF20-AI20)/3,-3))))</f>
        <v>0.0</v>
      </c>
      <c r="BA20" s="1501" t="e">
        <f>IF($AG$7="INCOME TAX DEDUCT FROM SALARY TILL JAN  2025",ROUNDUP((AF20-AI20),-3),IF(AF20&lt;=12500,0,IF(AI20&gt;AF20,0,ROUNDUP((AF20-AI20)/3,-3))))</f>
        <v>#VALUE!</v>
      </c>
      <c r="BB20" s="1503" t="e">
        <f t="shared" si="27"/>
        <v>#VALUE!</v>
      </c>
      <c r="BC20" s="1503" t="e">
        <f>BB20+AI20</f>
        <v>#VALUE!</v>
      </c>
      <c r="BD20" s="1501" t="e">
        <f>BC20-AF20</f>
        <v>#VALUE!</v>
      </c>
      <c r="BE20" s="1504"/>
      <c r="BF20" s="1504"/>
      <c r="BG20" s="1504"/>
    </row>
    <row r="21" spans="8:8" ht="15.75">
      <c r="B21" s="1488">
        <f t="shared" si="8"/>
        <v>0.0</v>
      </c>
      <c r="C21" s="1488">
        <f t="shared" si="0"/>
        <v>0.0</v>
      </c>
      <c r="D21" s="1489"/>
      <c r="E21" s="1505">
        <v>12.0</v>
      </c>
      <c r="F21" s="1506"/>
      <c r="G21" s="1506"/>
      <c r="H21" s="1507"/>
      <c r="I21" s="1492"/>
      <c r="J21" s="1507"/>
      <c r="K21" s="1507"/>
      <c r="L21" s="1507"/>
      <c r="M21" s="1507"/>
      <c r="N21" s="1492">
        <v>0.0</v>
      </c>
      <c r="O21" s="1493">
        <f t="shared" si="9"/>
        <v>-50000.0</v>
      </c>
      <c r="P21" s="1493">
        <f t="shared" si="10"/>
        <v>-75000.0</v>
      </c>
      <c r="Q21" s="1494">
        <f t="shared" si="11"/>
        <v>0.0</v>
      </c>
      <c r="R21" s="1494">
        <f t="shared" si="12"/>
        <v>0.0</v>
      </c>
      <c r="S21" s="1494">
        <f t="shared" si="13"/>
        <v>0.0</v>
      </c>
      <c r="T21" s="1493" t="str">
        <f t="shared" si="1"/>
        <v/>
      </c>
      <c r="U21" s="1494" t="str">
        <f t="shared" si="14"/>
        <v/>
      </c>
      <c r="V21" s="1495" t="str">
        <f t="shared" si="15"/>
        <v/>
      </c>
      <c r="W21" s="1495" t="str">
        <f t="shared" si="16"/>
        <v/>
      </c>
      <c r="X21" s="1494">
        <f t="shared" si="17"/>
        <v>0.0</v>
      </c>
      <c r="Y21" s="1494">
        <f t="shared" si="18"/>
        <v>0.0</v>
      </c>
      <c r="Z21" s="1494">
        <f t="shared" si="19"/>
        <v>0.0</v>
      </c>
      <c r="AA21" s="1494">
        <f t="shared" si="20"/>
        <v>0.0</v>
      </c>
      <c r="AB21" s="1496">
        <f t="shared" si="21"/>
        <v>0.0</v>
      </c>
      <c r="AC21" s="1497" t="str">
        <f t="shared" si="2"/>
        <v/>
      </c>
      <c r="AD21" s="1494" t="str">
        <f t="shared" si="3"/>
        <v/>
      </c>
      <c r="AE21" s="1495" t="str">
        <f t="shared" si="4"/>
        <v/>
      </c>
      <c r="AF21" s="1495" t="str">
        <f t="shared" si="5"/>
        <v/>
      </c>
      <c r="AG21" s="1508"/>
      <c r="AH21" s="1508"/>
      <c r="AI21" s="1496">
        <f t="shared" si="22"/>
        <v>0.0</v>
      </c>
      <c r="AJ21" s="1496">
        <f>IF(OR(W21=0,AF21=0),0,IF(AN21="OLD TAX REGIME",AS21,AY21))</f>
        <v>0.0</v>
      </c>
      <c r="AK21" s="1496">
        <f>IF(OR(W21=0,AF21=0),0,IF(AN21="OLD TAX REGIME",AT21,AZ21))</f>
        <v>0.0</v>
      </c>
      <c r="AL21" s="1496" t="e">
        <f>IF(OR(W21=0,AF21=0),0,IF(AN21="OLD TAX REGIME",AU21,BA21))</f>
        <v>#VALUE!</v>
      </c>
      <c r="AM21" s="1497" t="e">
        <f t="shared" si="23"/>
        <v>#VALUE!</v>
      </c>
      <c r="AN21" s="1499" t="str">
        <f t="shared" si="24"/>
        <v/>
      </c>
      <c r="AO21" s="1500">
        <f t="shared" si="6"/>
        <v>0.0</v>
      </c>
      <c r="AP21" s="1509">
        <f t="shared" si="7"/>
        <v>0.0</v>
      </c>
      <c r="AQ21" s="1502">
        <f t="shared" si="25"/>
        <v>0.0</v>
      </c>
      <c r="AR21" s="1419"/>
      <c r="AS21" s="1501">
        <f>IF($AG$7="INCOME TAX DEDUCT FROM SALARY TILL JAN  2025",0,IF(W21&lt;=12500,0,IF(AI21&gt;W21,0,ROUNDUP((W21-AI21)/3,-3))))</f>
        <v>0.0</v>
      </c>
      <c r="AT21" s="1501">
        <f>IF($AG$7="INCOME TAX DEDUCT FROM SALARY TILL JAN  2025",0,IF(W21&lt;=12500,0,IF(AI21&gt;V21,0,ROUNDUP((W21-AI21)/3,-3))))</f>
        <v>0.0</v>
      </c>
      <c r="AU21" s="1501" t="e">
        <f>IF($AG$7="INCOME TAX DEDUCT FROM SALARY TILL JAN  2025",ROUNDUP((V21-AI21),-3),IF(V21&lt;=12500,0,IF(AI21&gt;V21,0,ROUNDUP((V21-AI21)/3,-3))))</f>
        <v>#VALUE!</v>
      </c>
      <c r="AV21" s="1503" t="e">
        <f t="shared" si="26"/>
        <v>#VALUE!</v>
      </c>
      <c r="AW21" s="1503" t="e">
        <f>AV21+AI21</f>
        <v>#VALUE!</v>
      </c>
      <c r="AX21" s="1501" t="e">
        <f>AW21-W21</f>
        <v>#VALUE!</v>
      </c>
      <c r="AY21" s="1501">
        <f>IF($AG$7="INCOME TAX DEDUCT FROM SALARY TILL JAN  2025",0,IF(AF21&lt;=12500,0,IF(AI21&gt;AF21,0,ROUNDUP((AF21-AI21)/3,-3))))</f>
        <v>0.0</v>
      </c>
      <c r="AZ21" s="1501">
        <f>IF($AG$7="INCOME TAX DEDUCT FROM SALARY TILL JAN  2025",0,IF(AF21&lt;=12500,0,IF(AI21&gt;AF21,0,ROUNDUP((AF21-AI21)/3,-3))))</f>
        <v>0.0</v>
      </c>
      <c r="BA21" s="1501" t="e">
        <f>IF($AG$7="INCOME TAX DEDUCT FROM SALARY TILL JAN  2025",ROUNDUP((AF21-AI21),-3),IF(AF21&lt;=12500,0,IF(AI21&gt;AF21,0,ROUNDUP((AF21-AI21)/3,-3))))</f>
        <v>#VALUE!</v>
      </c>
      <c r="BB21" s="1503" t="e">
        <f t="shared" si="27"/>
        <v>#VALUE!</v>
      </c>
      <c r="BC21" s="1503" t="e">
        <f>BB21+AI21</f>
        <v>#VALUE!</v>
      </c>
      <c r="BD21" s="1501" t="e">
        <f>BC21-AF21</f>
        <v>#VALUE!</v>
      </c>
      <c r="BE21" s="1504"/>
      <c r="BF21" s="1504"/>
      <c r="BG21" s="1504"/>
    </row>
    <row r="22" spans="8:8" ht="15.75">
      <c r="B22" s="1488">
        <f t="shared" si="8"/>
        <v>0.0</v>
      </c>
      <c r="C22" s="1488">
        <f t="shared" si="0"/>
        <v>0.0</v>
      </c>
      <c r="D22" s="1489"/>
      <c r="E22" s="1505">
        <v>13.0</v>
      </c>
      <c r="F22" s="1506"/>
      <c r="G22" s="1506"/>
      <c r="H22" s="1507"/>
      <c r="I22" s="1492"/>
      <c r="J22" s="1507"/>
      <c r="K22" s="1507"/>
      <c r="L22" s="1507"/>
      <c r="M22" s="1507"/>
      <c r="N22" s="1492">
        <v>0.0</v>
      </c>
      <c r="O22" s="1493">
        <f t="shared" si="9"/>
        <v>-50000.0</v>
      </c>
      <c r="P22" s="1493">
        <f t="shared" si="10"/>
        <v>-75000.0</v>
      </c>
      <c r="Q22" s="1494">
        <f t="shared" si="11"/>
        <v>0.0</v>
      </c>
      <c r="R22" s="1494">
        <f t="shared" si="12"/>
        <v>0.0</v>
      </c>
      <c r="S22" s="1494">
        <f t="shared" si="13"/>
        <v>0.0</v>
      </c>
      <c r="T22" s="1493" t="str">
        <f t="shared" si="1"/>
        <v/>
      </c>
      <c r="U22" s="1494" t="str">
        <f t="shared" si="14"/>
        <v/>
      </c>
      <c r="V22" s="1495" t="str">
        <f t="shared" si="15"/>
        <v/>
      </c>
      <c r="W22" s="1495" t="str">
        <f t="shared" si="16"/>
        <v/>
      </c>
      <c r="X22" s="1494">
        <f t="shared" si="17"/>
        <v>0.0</v>
      </c>
      <c r="Y22" s="1494">
        <f t="shared" si="18"/>
        <v>0.0</v>
      </c>
      <c r="Z22" s="1494">
        <f t="shared" si="19"/>
        <v>0.0</v>
      </c>
      <c r="AA22" s="1494">
        <f t="shared" si="20"/>
        <v>0.0</v>
      </c>
      <c r="AB22" s="1496">
        <f t="shared" si="21"/>
        <v>0.0</v>
      </c>
      <c r="AC22" s="1497" t="str">
        <f t="shared" si="2"/>
        <v/>
      </c>
      <c r="AD22" s="1494" t="str">
        <f t="shared" si="3"/>
        <v/>
      </c>
      <c r="AE22" s="1495" t="str">
        <f t="shared" si="4"/>
        <v/>
      </c>
      <c r="AF22" s="1495" t="str">
        <f t="shared" si="5"/>
        <v/>
      </c>
      <c r="AG22" s="1508"/>
      <c r="AH22" s="1508"/>
      <c r="AI22" s="1496">
        <f t="shared" si="22"/>
        <v>0.0</v>
      </c>
      <c r="AJ22" s="1496">
        <f>IF(OR(W22=0,AF22=0),0,IF(AN22="OLD TAX REGIME",AS22,AY22))</f>
        <v>0.0</v>
      </c>
      <c r="AK22" s="1496">
        <f>IF(OR(W22=0,AF22=0),0,IF(AN22="OLD TAX REGIME",AT22,AZ22))</f>
        <v>0.0</v>
      </c>
      <c r="AL22" s="1496" t="e">
        <f>IF(OR(W22=0,AF22=0),0,IF(AN22="OLD TAX REGIME",AU22,BA22))</f>
        <v>#VALUE!</v>
      </c>
      <c r="AM22" s="1497" t="e">
        <f t="shared" si="23"/>
        <v>#VALUE!</v>
      </c>
      <c r="AN22" s="1499" t="str">
        <f t="shared" si="24"/>
        <v/>
      </c>
      <c r="AO22" s="1500">
        <f t="shared" si="6"/>
        <v>0.0</v>
      </c>
      <c r="AP22" s="1509">
        <f t="shared" si="7"/>
        <v>0.0</v>
      </c>
      <c r="AQ22" s="1502">
        <f t="shared" si="25"/>
        <v>0.0</v>
      </c>
      <c r="AR22" s="1419"/>
      <c r="AS22" s="1501">
        <f>IF($AG$7="INCOME TAX DEDUCT FROM SALARY TILL JAN  2025",0,IF(W22&lt;=12500,0,IF(AI22&gt;W22,0,ROUNDUP((W22-AI22)/3,-3))))</f>
        <v>0.0</v>
      </c>
      <c r="AT22" s="1501">
        <f>IF($AG$7="INCOME TAX DEDUCT FROM SALARY TILL JAN  2025",0,IF(W22&lt;=12500,0,IF(AI22&gt;V22,0,ROUNDUP((W22-AI22)/3,-3))))</f>
        <v>0.0</v>
      </c>
      <c r="AU22" s="1501" t="e">
        <f>IF($AG$7="INCOME TAX DEDUCT FROM SALARY TILL JAN  2025",ROUNDUP((V22-AI22),-3),IF(V22&lt;=12500,0,IF(AI22&gt;V22,0,ROUNDUP((V22-AI22)/3,-3))))</f>
        <v>#VALUE!</v>
      </c>
      <c r="AV22" s="1503" t="e">
        <f t="shared" si="26"/>
        <v>#VALUE!</v>
      </c>
      <c r="AW22" s="1503" t="e">
        <f>AV22+AI22</f>
        <v>#VALUE!</v>
      </c>
      <c r="AX22" s="1501" t="e">
        <f>AW22-W22</f>
        <v>#VALUE!</v>
      </c>
      <c r="AY22" s="1501">
        <f>IF($AG$7="INCOME TAX DEDUCT FROM SALARY TILL JAN  2025",0,IF(AF22&lt;=12500,0,IF(AI22&gt;AF22,0,ROUNDUP((AF22-AI22)/3,-3))))</f>
        <v>0.0</v>
      </c>
      <c r="AZ22" s="1501">
        <f>IF($AG$7="INCOME TAX DEDUCT FROM SALARY TILL JAN  2025",0,IF(AF22&lt;=12500,0,IF(AI22&gt;AF22,0,ROUNDUP((AF22-AI22)/3,-3))))</f>
        <v>0.0</v>
      </c>
      <c r="BA22" s="1501" t="e">
        <f>IF($AG$7="INCOME TAX DEDUCT FROM SALARY TILL JAN  2025",ROUNDUP((AF22-AI22),-3),IF(AF22&lt;=12500,0,IF(AI22&gt;AF22,0,ROUNDUP((AF22-AI22)/3,-3))))</f>
        <v>#VALUE!</v>
      </c>
      <c r="BB22" s="1503" t="e">
        <f t="shared" si="27"/>
        <v>#VALUE!</v>
      </c>
      <c r="BC22" s="1503" t="e">
        <f>BB22+AI22</f>
        <v>#VALUE!</v>
      </c>
      <c r="BD22" s="1501" t="e">
        <f>BC22-AF22</f>
        <v>#VALUE!</v>
      </c>
      <c r="BE22" s="1504"/>
      <c r="BF22" s="1504"/>
      <c r="BG22" s="1504"/>
    </row>
    <row r="23" spans="8:8" ht="15.75">
      <c r="B23" s="1488">
        <f t="shared" si="8"/>
        <v>0.0</v>
      </c>
      <c r="C23" s="1488">
        <f t="shared" si="0"/>
        <v>0.0</v>
      </c>
      <c r="D23" s="1489"/>
      <c r="E23" s="1505">
        <v>14.0</v>
      </c>
      <c r="F23" s="1506"/>
      <c r="G23" s="1506"/>
      <c r="H23" s="1507"/>
      <c r="I23" s="1492"/>
      <c r="J23" s="1507"/>
      <c r="K23" s="1507"/>
      <c r="L23" s="1507"/>
      <c r="M23" s="1507"/>
      <c r="N23" s="1492">
        <v>0.0</v>
      </c>
      <c r="O23" s="1493">
        <f t="shared" si="9"/>
        <v>-50000.0</v>
      </c>
      <c r="P23" s="1493">
        <f t="shared" si="10"/>
        <v>-75000.0</v>
      </c>
      <c r="Q23" s="1494">
        <f t="shared" si="11"/>
        <v>0.0</v>
      </c>
      <c r="R23" s="1494">
        <f t="shared" si="12"/>
        <v>0.0</v>
      </c>
      <c r="S23" s="1494">
        <f t="shared" si="13"/>
        <v>0.0</v>
      </c>
      <c r="T23" s="1493" t="str">
        <f t="shared" si="1"/>
        <v/>
      </c>
      <c r="U23" s="1494" t="str">
        <f t="shared" si="14"/>
        <v/>
      </c>
      <c r="V23" s="1495" t="str">
        <f t="shared" si="15"/>
        <v/>
      </c>
      <c r="W23" s="1495" t="str">
        <f t="shared" si="16"/>
        <v/>
      </c>
      <c r="X23" s="1494">
        <f t="shared" si="17"/>
        <v>0.0</v>
      </c>
      <c r="Y23" s="1494">
        <f t="shared" si="18"/>
        <v>0.0</v>
      </c>
      <c r="Z23" s="1494">
        <f t="shared" si="19"/>
        <v>0.0</v>
      </c>
      <c r="AA23" s="1494">
        <f t="shared" si="20"/>
        <v>0.0</v>
      </c>
      <c r="AB23" s="1496">
        <f t="shared" si="21"/>
        <v>0.0</v>
      </c>
      <c r="AC23" s="1497" t="str">
        <f t="shared" si="2"/>
        <v/>
      </c>
      <c r="AD23" s="1494" t="str">
        <f t="shared" si="3"/>
        <v/>
      </c>
      <c r="AE23" s="1495" t="str">
        <f t="shared" si="4"/>
        <v/>
      </c>
      <c r="AF23" s="1495" t="str">
        <f t="shared" si="5"/>
        <v/>
      </c>
      <c r="AG23" s="1508"/>
      <c r="AH23" s="1508"/>
      <c r="AI23" s="1496">
        <f t="shared" si="22"/>
        <v>0.0</v>
      </c>
      <c r="AJ23" s="1496">
        <f>IF(OR(W23=0,AF23=0),0,IF(AN23="OLD TAX REGIME",AS23,AY23))</f>
        <v>0.0</v>
      </c>
      <c r="AK23" s="1496">
        <f>IF(OR(W23=0,AF23=0),0,IF(AN23="OLD TAX REGIME",AT23,AZ23))</f>
        <v>0.0</v>
      </c>
      <c r="AL23" s="1496" t="e">
        <f>IF(OR(W23=0,AF23=0),0,IF(AN23="OLD TAX REGIME",AU23,BA23))</f>
        <v>#VALUE!</v>
      </c>
      <c r="AM23" s="1497" t="e">
        <f t="shared" si="23"/>
        <v>#VALUE!</v>
      </c>
      <c r="AN23" s="1499" t="str">
        <f t="shared" si="24"/>
        <v/>
      </c>
      <c r="AO23" s="1500">
        <f t="shared" si="6"/>
        <v>0.0</v>
      </c>
      <c r="AP23" s="1509">
        <f t="shared" si="7"/>
        <v>0.0</v>
      </c>
      <c r="AQ23" s="1502">
        <f t="shared" si="25"/>
        <v>0.0</v>
      </c>
      <c r="AR23" s="1419"/>
      <c r="AS23" s="1501">
        <f>IF($AG$7="INCOME TAX DEDUCT FROM SALARY TILL JAN  2025",0,IF(W23&lt;=12500,0,IF(AI23&gt;W23,0,ROUNDUP((W23-AI23)/3,-3))))</f>
        <v>0.0</v>
      </c>
      <c r="AT23" s="1501">
        <f>IF($AG$7="INCOME TAX DEDUCT FROM SALARY TILL JAN  2025",0,IF(W23&lt;=12500,0,IF(AI23&gt;V23,0,ROUNDUP((W23-AI23)/3,-3))))</f>
        <v>0.0</v>
      </c>
      <c r="AU23" s="1501" t="e">
        <f>IF($AG$7="INCOME TAX DEDUCT FROM SALARY TILL JAN  2025",ROUNDUP((V23-AI23),-3),IF(V23&lt;=12500,0,IF(AI23&gt;V23,0,ROUNDUP((V23-AI23)/3,-3))))</f>
        <v>#VALUE!</v>
      </c>
      <c r="AV23" s="1503" t="e">
        <f t="shared" si="26"/>
        <v>#VALUE!</v>
      </c>
      <c r="AW23" s="1503" t="e">
        <f>AV23+AI23</f>
        <v>#VALUE!</v>
      </c>
      <c r="AX23" s="1501" t="e">
        <f>AW23-W23</f>
        <v>#VALUE!</v>
      </c>
      <c r="AY23" s="1501">
        <f>IF($AG$7="INCOME TAX DEDUCT FROM SALARY TILL JAN  2025",0,IF(AF23&lt;=12500,0,IF(AI23&gt;AF23,0,ROUNDUP((AF23-AI23)/3,-3))))</f>
        <v>0.0</v>
      </c>
      <c r="AZ23" s="1501">
        <f>IF($AG$7="INCOME TAX DEDUCT FROM SALARY TILL JAN  2025",0,IF(AF23&lt;=12500,0,IF(AI23&gt;AF23,0,ROUNDUP((AF23-AI23)/3,-3))))</f>
        <v>0.0</v>
      </c>
      <c r="BA23" s="1501" t="e">
        <f>IF($AG$7="INCOME TAX DEDUCT FROM SALARY TILL JAN  2025",ROUNDUP((AF23-AI23),-3),IF(AF23&lt;=12500,0,IF(AI23&gt;AF23,0,ROUNDUP((AF23-AI23)/3,-3))))</f>
        <v>#VALUE!</v>
      </c>
      <c r="BB23" s="1503" t="e">
        <f t="shared" si="27"/>
        <v>#VALUE!</v>
      </c>
      <c r="BC23" s="1503" t="e">
        <f>BB23+AI23</f>
        <v>#VALUE!</v>
      </c>
      <c r="BD23" s="1501" t="e">
        <f>BC23-AF23</f>
        <v>#VALUE!</v>
      </c>
      <c r="BE23" s="1504"/>
      <c r="BF23" s="1504"/>
      <c r="BG23" s="1504"/>
    </row>
    <row r="24" spans="8:8" ht="15.75">
      <c r="B24" s="1488">
        <f t="shared" si="8"/>
        <v>0.0</v>
      </c>
      <c r="C24" s="1488">
        <f t="shared" si="0"/>
        <v>0.0</v>
      </c>
      <c r="D24" s="1489"/>
      <c r="E24" s="1505">
        <v>15.0</v>
      </c>
      <c r="F24" s="1506"/>
      <c r="G24" s="1506"/>
      <c r="H24" s="1507"/>
      <c r="I24" s="1492"/>
      <c r="J24" s="1507"/>
      <c r="K24" s="1507"/>
      <c r="L24" s="1507"/>
      <c r="M24" s="1507"/>
      <c r="N24" s="1492">
        <v>0.0</v>
      </c>
      <c r="O24" s="1493">
        <f t="shared" si="9"/>
        <v>-50000.0</v>
      </c>
      <c r="P24" s="1493">
        <f t="shared" si="10"/>
        <v>-75000.0</v>
      </c>
      <c r="Q24" s="1494">
        <f t="shared" si="11"/>
        <v>0.0</v>
      </c>
      <c r="R24" s="1494">
        <f t="shared" si="12"/>
        <v>0.0</v>
      </c>
      <c r="S24" s="1494">
        <f t="shared" si="13"/>
        <v>0.0</v>
      </c>
      <c r="T24" s="1493" t="str">
        <f t="shared" si="1"/>
        <v/>
      </c>
      <c r="U24" s="1494" t="str">
        <f t="shared" si="14"/>
        <v/>
      </c>
      <c r="V24" s="1495" t="str">
        <f t="shared" si="15"/>
        <v/>
      </c>
      <c r="W24" s="1495" t="str">
        <f t="shared" si="16"/>
        <v/>
      </c>
      <c r="X24" s="1494">
        <f t="shared" si="17"/>
        <v>0.0</v>
      </c>
      <c r="Y24" s="1494">
        <f t="shared" si="18"/>
        <v>0.0</v>
      </c>
      <c r="Z24" s="1494">
        <f t="shared" si="19"/>
        <v>0.0</v>
      </c>
      <c r="AA24" s="1494">
        <f t="shared" si="20"/>
        <v>0.0</v>
      </c>
      <c r="AB24" s="1496">
        <f t="shared" si="21"/>
        <v>0.0</v>
      </c>
      <c r="AC24" s="1497" t="str">
        <f t="shared" si="2"/>
        <v/>
      </c>
      <c r="AD24" s="1494" t="str">
        <f t="shared" si="3"/>
        <v/>
      </c>
      <c r="AE24" s="1495" t="str">
        <f t="shared" si="4"/>
        <v/>
      </c>
      <c r="AF24" s="1495" t="str">
        <f t="shared" si="5"/>
        <v/>
      </c>
      <c r="AG24" s="1508"/>
      <c r="AH24" s="1508"/>
      <c r="AI24" s="1496">
        <f t="shared" si="22"/>
        <v>0.0</v>
      </c>
      <c r="AJ24" s="1496">
        <f>IF(OR(W24=0,AF24=0),0,IF(AN24="OLD TAX REGIME",AS24,AY24))</f>
        <v>0.0</v>
      </c>
      <c r="AK24" s="1496">
        <f>IF(OR(W24=0,AF24=0),0,IF(AN24="OLD TAX REGIME",AT24,AZ24))</f>
        <v>0.0</v>
      </c>
      <c r="AL24" s="1496" t="e">
        <f>IF(OR(W24=0,AF24=0),0,IF(AN24="OLD TAX REGIME",AU24,BA24))</f>
        <v>#VALUE!</v>
      </c>
      <c r="AM24" s="1497" t="e">
        <f t="shared" si="23"/>
        <v>#VALUE!</v>
      </c>
      <c r="AN24" s="1499" t="str">
        <f t="shared" si="24"/>
        <v/>
      </c>
      <c r="AO24" s="1500">
        <f t="shared" si="6"/>
        <v>0.0</v>
      </c>
      <c r="AP24" s="1509">
        <f t="shared" si="7"/>
        <v>0.0</v>
      </c>
      <c r="AQ24" s="1502">
        <f t="shared" si="25"/>
        <v>0.0</v>
      </c>
      <c r="AR24" s="1419"/>
      <c r="AS24" s="1501">
        <f>IF($AG$7="INCOME TAX DEDUCT FROM SALARY TILL JAN  2025",0,IF(W24&lt;=12500,0,IF(AI24&gt;W24,0,ROUNDUP((W24-AI24)/3,-3))))</f>
        <v>0.0</v>
      </c>
      <c r="AT24" s="1501">
        <f>IF($AG$7="INCOME TAX DEDUCT FROM SALARY TILL JAN  2025",0,IF(W24&lt;=12500,0,IF(AI24&gt;V24,0,ROUNDUP((W24-AI24)/3,-3))))</f>
        <v>0.0</v>
      </c>
      <c r="AU24" s="1501" t="e">
        <f>IF($AG$7="INCOME TAX DEDUCT FROM SALARY TILL JAN  2025",ROUNDUP((V24-AI24),-3),IF(V24&lt;=12500,0,IF(AI24&gt;V24,0,ROUNDUP((V24-AI24)/3,-3))))</f>
        <v>#VALUE!</v>
      </c>
      <c r="AV24" s="1503" t="e">
        <f t="shared" si="26"/>
        <v>#VALUE!</v>
      </c>
      <c r="AW24" s="1503" t="e">
        <f>AV24+AI24</f>
        <v>#VALUE!</v>
      </c>
      <c r="AX24" s="1501" t="e">
        <f>AW24-W24</f>
        <v>#VALUE!</v>
      </c>
      <c r="AY24" s="1501">
        <f>IF($AG$7="INCOME TAX DEDUCT FROM SALARY TILL JAN  2025",0,IF(AF24&lt;=12500,0,IF(AI24&gt;AF24,0,ROUNDUP((AF24-AI24)/3,-3))))</f>
        <v>0.0</v>
      </c>
      <c r="AZ24" s="1501">
        <f>IF($AG$7="INCOME TAX DEDUCT FROM SALARY TILL JAN  2025",0,IF(AF24&lt;=12500,0,IF(AI24&gt;AF24,0,ROUNDUP((AF24-AI24)/3,-3))))</f>
        <v>0.0</v>
      </c>
      <c r="BA24" s="1501" t="e">
        <f>IF($AG$7="INCOME TAX DEDUCT FROM SALARY TILL JAN  2025",ROUNDUP((AF24-AI24),-3),IF(AF24&lt;=12500,0,IF(AI24&gt;AF24,0,ROUNDUP((AF24-AI24)/3,-3))))</f>
        <v>#VALUE!</v>
      </c>
      <c r="BB24" s="1503" t="e">
        <f t="shared" si="27"/>
        <v>#VALUE!</v>
      </c>
      <c r="BC24" s="1503" t="e">
        <f>BB24+AI24</f>
        <v>#VALUE!</v>
      </c>
      <c r="BD24" s="1501" t="e">
        <f>BC24-AF24</f>
        <v>#VALUE!</v>
      </c>
      <c r="BE24" s="1504"/>
      <c r="BF24" s="1504"/>
      <c r="BG24" s="1504"/>
    </row>
    <row r="25" spans="8:8" ht="15.75">
      <c r="B25" s="1488">
        <f t="shared" si="8"/>
        <v>0.0</v>
      </c>
      <c r="C25" s="1488">
        <f t="shared" si="0"/>
        <v>0.0</v>
      </c>
      <c r="D25" s="1489"/>
      <c r="E25" s="1505">
        <v>16.0</v>
      </c>
      <c r="F25" s="1506"/>
      <c r="G25" s="1506"/>
      <c r="H25" s="1507"/>
      <c r="I25" s="1492"/>
      <c r="J25" s="1507"/>
      <c r="K25" s="1507"/>
      <c r="L25" s="1507"/>
      <c r="M25" s="1507"/>
      <c r="N25" s="1492">
        <v>0.0</v>
      </c>
      <c r="O25" s="1493">
        <f t="shared" si="9"/>
        <v>-50000.0</v>
      </c>
      <c r="P25" s="1493">
        <f t="shared" si="10"/>
        <v>-75000.0</v>
      </c>
      <c r="Q25" s="1494">
        <f t="shared" si="11"/>
        <v>0.0</v>
      </c>
      <c r="R25" s="1494">
        <f t="shared" si="12"/>
        <v>0.0</v>
      </c>
      <c r="S25" s="1494">
        <f t="shared" si="13"/>
        <v>0.0</v>
      </c>
      <c r="T25" s="1493" t="str">
        <f t="shared" si="1"/>
        <v/>
      </c>
      <c r="U25" s="1494" t="str">
        <f t="shared" si="14"/>
        <v/>
      </c>
      <c r="V25" s="1495" t="str">
        <f t="shared" si="15"/>
        <v/>
      </c>
      <c r="W25" s="1495" t="str">
        <f t="shared" si="16"/>
        <v/>
      </c>
      <c r="X25" s="1494">
        <f t="shared" si="17"/>
        <v>0.0</v>
      </c>
      <c r="Y25" s="1494">
        <f t="shared" si="18"/>
        <v>0.0</v>
      </c>
      <c r="Z25" s="1494">
        <f t="shared" si="19"/>
        <v>0.0</v>
      </c>
      <c r="AA25" s="1494">
        <f t="shared" si="20"/>
        <v>0.0</v>
      </c>
      <c r="AB25" s="1496">
        <f t="shared" si="21"/>
        <v>0.0</v>
      </c>
      <c r="AC25" s="1497" t="str">
        <f t="shared" si="2"/>
        <v/>
      </c>
      <c r="AD25" s="1494" t="str">
        <f t="shared" si="3"/>
        <v/>
      </c>
      <c r="AE25" s="1495" t="str">
        <f t="shared" si="4"/>
        <v/>
      </c>
      <c r="AF25" s="1495" t="str">
        <f t="shared" si="5"/>
        <v/>
      </c>
      <c r="AG25" s="1508"/>
      <c r="AH25" s="1508"/>
      <c r="AI25" s="1496">
        <f t="shared" si="22"/>
        <v>0.0</v>
      </c>
      <c r="AJ25" s="1496">
        <f>IF(OR(W25=0,AF25=0),0,IF(AN25="OLD TAX REGIME",AS25,AY25))</f>
        <v>0.0</v>
      </c>
      <c r="AK25" s="1496">
        <f>IF(OR(W25=0,AF25=0),0,IF(AN25="OLD TAX REGIME",AT25,AZ25))</f>
        <v>0.0</v>
      </c>
      <c r="AL25" s="1496" t="e">
        <f>IF(OR(W25=0,AF25=0),0,IF(AN25="OLD TAX REGIME",AU25,BA25))</f>
        <v>#VALUE!</v>
      </c>
      <c r="AM25" s="1497" t="e">
        <f t="shared" si="23"/>
        <v>#VALUE!</v>
      </c>
      <c r="AN25" s="1499" t="str">
        <f t="shared" si="24"/>
        <v/>
      </c>
      <c r="AO25" s="1500">
        <f t="shared" si="6"/>
        <v>0.0</v>
      </c>
      <c r="AP25" s="1509">
        <f t="shared" si="7"/>
        <v>0.0</v>
      </c>
      <c r="AQ25" s="1502">
        <f t="shared" si="25"/>
        <v>0.0</v>
      </c>
      <c r="AR25" s="1419"/>
      <c r="AS25" s="1501">
        <f>IF($AG$7="INCOME TAX DEDUCT FROM SALARY TILL JAN  2025",0,IF(W25&lt;=12500,0,IF(AI25&gt;W25,0,ROUNDUP((W25-AI25)/3,-3))))</f>
        <v>0.0</v>
      </c>
      <c r="AT25" s="1501">
        <f>IF($AG$7="INCOME TAX DEDUCT FROM SALARY TILL JAN  2025",0,IF(W25&lt;=12500,0,IF(AI25&gt;V25,0,ROUNDUP((W25-AI25)/3,-3))))</f>
        <v>0.0</v>
      </c>
      <c r="AU25" s="1501" t="e">
        <f>IF($AG$7="INCOME TAX DEDUCT FROM SALARY TILL JAN  2025",ROUNDUP((V25-AI25),-3),IF(V25&lt;=12500,0,IF(AI25&gt;V25,0,ROUNDUP((V25-AI25)/3,-3))))</f>
        <v>#VALUE!</v>
      </c>
      <c r="AV25" s="1503" t="e">
        <f t="shared" si="26"/>
        <v>#VALUE!</v>
      </c>
      <c r="AW25" s="1503" t="e">
        <f>AV25+AI25</f>
        <v>#VALUE!</v>
      </c>
      <c r="AX25" s="1501" t="e">
        <f>AW25-W25</f>
        <v>#VALUE!</v>
      </c>
      <c r="AY25" s="1501">
        <f>IF($AG$7="INCOME TAX DEDUCT FROM SALARY TILL JAN  2025",0,IF(AF25&lt;=12500,0,IF(AI25&gt;AF25,0,ROUNDUP((AF25-AI25)/3,-3))))</f>
        <v>0.0</v>
      </c>
      <c r="AZ25" s="1501">
        <f>IF($AG$7="INCOME TAX DEDUCT FROM SALARY TILL JAN  2025",0,IF(AF25&lt;=12500,0,IF(AI25&gt;AF25,0,ROUNDUP((AF25-AI25)/3,-3))))</f>
        <v>0.0</v>
      </c>
      <c r="BA25" s="1501" t="e">
        <f>IF($AG$7="INCOME TAX DEDUCT FROM SALARY TILL JAN  2025",ROUNDUP((AF25-AI25),-3),IF(AF25&lt;=12500,0,IF(AI25&gt;AF25,0,ROUNDUP((AF25-AI25)/3,-3))))</f>
        <v>#VALUE!</v>
      </c>
      <c r="BB25" s="1503" t="e">
        <f t="shared" si="27"/>
        <v>#VALUE!</v>
      </c>
      <c r="BC25" s="1503" t="e">
        <f>BB25+AI25</f>
        <v>#VALUE!</v>
      </c>
      <c r="BD25" s="1501" t="e">
        <f>BC25-AF25</f>
        <v>#VALUE!</v>
      </c>
      <c r="BE25" s="1504"/>
      <c r="BF25" s="1504"/>
      <c r="BG25" s="1504"/>
    </row>
    <row r="26" spans="8:8" ht="15.75">
      <c r="B26" s="1488">
        <f t="shared" si="8"/>
        <v>0.0</v>
      </c>
      <c r="C26" s="1488">
        <f t="shared" si="0"/>
        <v>0.0</v>
      </c>
      <c r="D26" s="1489"/>
      <c r="E26" s="1505">
        <v>17.0</v>
      </c>
      <c r="F26" s="1506"/>
      <c r="G26" s="1506"/>
      <c r="H26" s="1507"/>
      <c r="I26" s="1492"/>
      <c r="J26" s="1507"/>
      <c r="K26" s="1507"/>
      <c r="L26" s="1507"/>
      <c r="M26" s="1507"/>
      <c r="N26" s="1492">
        <v>0.0</v>
      </c>
      <c r="O26" s="1493">
        <f t="shared" si="9"/>
        <v>-50000.0</v>
      </c>
      <c r="P26" s="1493">
        <f t="shared" si="10"/>
        <v>-75000.0</v>
      </c>
      <c r="Q26" s="1494">
        <f t="shared" si="11"/>
        <v>0.0</v>
      </c>
      <c r="R26" s="1494">
        <f t="shared" si="12"/>
        <v>0.0</v>
      </c>
      <c r="S26" s="1494">
        <f t="shared" si="13"/>
        <v>0.0</v>
      </c>
      <c r="T26" s="1493" t="str">
        <f t="shared" si="1"/>
        <v/>
      </c>
      <c r="U26" s="1494" t="str">
        <f t="shared" si="14"/>
        <v/>
      </c>
      <c r="V26" s="1495" t="str">
        <f t="shared" si="15"/>
        <v/>
      </c>
      <c r="W26" s="1495" t="str">
        <f t="shared" si="16"/>
        <v/>
      </c>
      <c r="X26" s="1494">
        <f t="shared" si="17"/>
        <v>0.0</v>
      </c>
      <c r="Y26" s="1494">
        <f t="shared" si="18"/>
        <v>0.0</v>
      </c>
      <c r="Z26" s="1494">
        <f t="shared" si="19"/>
        <v>0.0</v>
      </c>
      <c r="AA26" s="1494">
        <f t="shared" si="20"/>
        <v>0.0</v>
      </c>
      <c r="AB26" s="1496">
        <f t="shared" si="21"/>
        <v>0.0</v>
      </c>
      <c r="AC26" s="1497" t="str">
        <f t="shared" si="2"/>
        <v/>
      </c>
      <c r="AD26" s="1494" t="str">
        <f t="shared" si="3"/>
        <v/>
      </c>
      <c r="AE26" s="1495" t="str">
        <f t="shared" si="4"/>
        <v/>
      </c>
      <c r="AF26" s="1495" t="str">
        <f t="shared" si="5"/>
        <v/>
      </c>
      <c r="AG26" s="1508"/>
      <c r="AH26" s="1508"/>
      <c r="AI26" s="1496">
        <f t="shared" si="22"/>
        <v>0.0</v>
      </c>
      <c r="AJ26" s="1496">
        <f>IF(OR(W26=0,AF26=0),0,IF(AN26="OLD TAX REGIME",AS26,AY26))</f>
        <v>0.0</v>
      </c>
      <c r="AK26" s="1496">
        <f>IF(OR(W26=0,AF26=0),0,IF(AN26="OLD TAX REGIME",AT26,AZ26))</f>
        <v>0.0</v>
      </c>
      <c r="AL26" s="1496" t="e">
        <f>IF(OR(W26=0,AF26=0),0,IF(AN26="OLD TAX REGIME",AU26,BA26))</f>
        <v>#VALUE!</v>
      </c>
      <c r="AM26" s="1497" t="e">
        <f t="shared" si="23"/>
        <v>#VALUE!</v>
      </c>
      <c r="AN26" s="1499" t="str">
        <f t="shared" si="24"/>
        <v/>
      </c>
      <c r="AO26" s="1500">
        <f t="shared" si="6"/>
        <v>0.0</v>
      </c>
      <c r="AP26" s="1509">
        <f t="shared" si="7"/>
        <v>0.0</v>
      </c>
      <c r="AQ26" s="1502">
        <f t="shared" si="25"/>
        <v>0.0</v>
      </c>
      <c r="AR26" s="1419"/>
      <c r="AS26" s="1501">
        <f>IF($AG$7="INCOME TAX DEDUCT FROM SALARY TILL JAN  2025",0,IF(W26&lt;=12500,0,IF(AI26&gt;W26,0,ROUNDUP((W26-AI26)/3,-3))))</f>
        <v>0.0</v>
      </c>
      <c r="AT26" s="1501">
        <f>IF($AG$7="INCOME TAX DEDUCT FROM SALARY TILL JAN  2025",0,IF(W26&lt;=12500,0,IF(AI26&gt;V26,0,ROUNDUP((W26-AI26)/3,-3))))</f>
        <v>0.0</v>
      </c>
      <c r="AU26" s="1501" t="e">
        <f>IF($AG$7="INCOME TAX DEDUCT FROM SALARY TILL JAN  2025",ROUNDUP((V26-AI26),-3),IF(V26&lt;=12500,0,IF(AI26&gt;V26,0,ROUNDUP((V26-AI26)/3,-3))))</f>
        <v>#VALUE!</v>
      </c>
      <c r="AV26" s="1503" t="e">
        <f t="shared" si="26"/>
        <v>#VALUE!</v>
      </c>
      <c r="AW26" s="1503" t="e">
        <f>AV26+AI26</f>
        <v>#VALUE!</v>
      </c>
      <c r="AX26" s="1501" t="e">
        <f>AW26-W26</f>
        <v>#VALUE!</v>
      </c>
      <c r="AY26" s="1501">
        <f>IF($AG$7="INCOME TAX DEDUCT FROM SALARY TILL JAN  2025",0,IF(AF26&lt;=12500,0,IF(AI26&gt;AF26,0,ROUNDUP((AF26-AI26)/3,-3))))</f>
        <v>0.0</v>
      </c>
      <c r="AZ26" s="1501">
        <f>IF($AG$7="INCOME TAX DEDUCT FROM SALARY TILL JAN  2025",0,IF(AF26&lt;=12500,0,IF(AI26&gt;AF26,0,ROUNDUP((AF26-AI26)/3,-3))))</f>
        <v>0.0</v>
      </c>
      <c r="BA26" s="1501" t="e">
        <f>IF($AG$7="INCOME TAX DEDUCT FROM SALARY TILL JAN  2025",ROUNDUP((AF26-AI26),-3),IF(AF26&lt;=12500,0,IF(AI26&gt;AF26,0,ROUNDUP((AF26-AI26)/3,-3))))</f>
        <v>#VALUE!</v>
      </c>
      <c r="BB26" s="1503" t="e">
        <f t="shared" si="27"/>
        <v>#VALUE!</v>
      </c>
      <c r="BC26" s="1503" t="e">
        <f>BB26+AI26</f>
        <v>#VALUE!</v>
      </c>
      <c r="BD26" s="1501" t="e">
        <f>BC26-AF26</f>
        <v>#VALUE!</v>
      </c>
      <c r="BE26" s="1504"/>
      <c r="BF26" s="1504"/>
      <c r="BG26" s="1504"/>
    </row>
    <row r="27" spans="8:8" ht="15.75">
      <c r="B27" s="1488">
        <f t="shared" si="8"/>
        <v>0.0</v>
      </c>
      <c r="C27" s="1488">
        <f t="shared" si="0"/>
        <v>0.0</v>
      </c>
      <c r="D27" s="1489"/>
      <c r="E27" s="1505">
        <v>18.0</v>
      </c>
      <c r="F27" s="1506"/>
      <c r="G27" s="1506"/>
      <c r="H27" s="1507"/>
      <c r="I27" s="1492"/>
      <c r="J27" s="1507"/>
      <c r="K27" s="1507"/>
      <c r="L27" s="1507"/>
      <c r="M27" s="1507"/>
      <c r="N27" s="1492">
        <v>0.0</v>
      </c>
      <c r="O27" s="1493">
        <f t="shared" si="9"/>
        <v>-50000.0</v>
      </c>
      <c r="P27" s="1493">
        <f t="shared" si="10"/>
        <v>-75000.0</v>
      </c>
      <c r="Q27" s="1494">
        <f t="shared" si="11"/>
        <v>0.0</v>
      </c>
      <c r="R27" s="1494">
        <f t="shared" si="12"/>
        <v>0.0</v>
      </c>
      <c r="S27" s="1494">
        <f t="shared" si="13"/>
        <v>0.0</v>
      </c>
      <c r="T27" s="1493" t="str">
        <f t="shared" si="1"/>
        <v/>
      </c>
      <c r="U27" s="1494" t="str">
        <f t="shared" si="14"/>
        <v/>
      </c>
      <c r="V27" s="1495" t="str">
        <f t="shared" si="15"/>
        <v/>
      </c>
      <c r="W27" s="1495" t="str">
        <f t="shared" si="16"/>
        <v/>
      </c>
      <c r="X27" s="1494">
        <f t="shared" si="17"/>
        <v>0.0</v>
      </c>
      <c r="Y27" s="1494">
        <f t="shared" si="18"/>
        <v>0.0</v>
      </c>
      <c r="Z27" s="1494">
        <f t="shared" si="19"/>
        <v>0.0</v>
      </c>
      <c r="AA27" s="1494">
        <f t="shared" si="20"/>
        <v>0.0</v>
      </c>
      <c r="AB27" s="1496">
        <f t="shared" si="21"/>
        <v>0.0</v>
      </c>
      <c r="AC27" s="1497" t="str">
        <f t="shared" si="2"/>
        <v/>
      </c>
      <c r="AD27" s="1494" t="str">
        <f t="shared" si="3"/>
        <v/>
      </c>
      <c r="AE27" s="1495" t="str">
        <f t="shared" si="4"/>
        <v/>
      </c>
      <c r="AF27" s="1495" t="str">
        <f t="shared" si="5"/>
        <v/>
      </c>
      <c r="AG27" s="1508"/>
      <c r="AH27" s="1508"/>
      <c r="AI27" s="1496">
        <f t="shared" si="22"/>
        <v>0.0</v>
      </c>
      <c r="AJ27" s="1496">
        <f>IF(OR(W27=0,AF27=0),0,IF(AN27="OLD TAX REGIME",AS27,AY27))</f>
        <v>0.0</v>
      </c>
      <c r="AK27" s="1496">
        <f>IF(OR(W27=0,AF27=0),0,IF(AN27="OLD TAX REGIME",AT27,AZ27))</f>
        <v>0.0</v>
      </c>
      <c r="AL27" s="1496" t="e">
        <f>IF(OR(W27=0,AF27=0),0,IF(AN27="OLD TAX REGIME",AU27,BA27))</f>
        <v>#VALUE!</v>
      </c>
      <c r="AM27" s="1497" t="e">
        <f t="shared" si="23"/>
        <v>#VALUE!</v>
      </c>
      <c r="AN27" s="1499" t="str">
        <f t="shared" si="24"/>
        <v/>
      </c>
      <c r="AO27" s="1500">
        <f t="shared" si="6"/>
        <v>0.0</v>
      </c>
      <c r="AP27" s="1509">
        <f t="shared" si="7"/>
        <v>0.0</v>
      </c>
      <c r="AQ27" s="1502">
        <f t="shared" si="25"/>
        <v>0.0</v>
      </c>
      <c r="AR27" s="1419"/>
      <c r="AS27" s="1501">
        <f>IF($AG$7="INCOME TAX DEDUCT FROM SALARY TILL JAN  2025",0,IF(W27&lt;=12500,0,IF(AI27&gt;W27,0,ROUNDUP((W27-AI27)/3,-3))))</f>
        <v>0.0</v>
      </c>
      <c r="AT27" s="1501">
        <f>IF($AG$7="INCOME TAX DEDUCT FROM SALARY TILL JAN  2025",0,IF(W27&lt;=12500,0,IF(AI27&gt;V27,0,ROUNDUP((W27-AI27)/3,-3))))</f>
        <v>0.0</v>
      </c>
      <c r="AU27" s="1501" t="e">
        <f>IF($AG$7="INCOME TAX DEDUCT FROM SALARY TILL JAN  2025",ROUNDUP((V27-AI27),-3),IF(V27&lt;=12500,0,IF(AI27&gt;V27,0,ROUNDUP((V27-AI27)/3,-3))))</f>
        <v>#VALUE!</v>
      </c>
      <c r="AV27" s="1503" t="e">
        <f t="shared" si="26"/>
        <v>#VALUE!</v>
      </c>
      <c r="AW27" s="1503" t="e">
        <f>AV27+AI27</f>
        <v>#VALUE!</v>
      </c>
      <c r="AX27" s="1501" t="e">
        <f>AW27-W27</f>
        <v>#VALUE!</v>
      </c>
      <c r="AY27" s="1501">
        <f>IF($AG$7="INCOME TAX DEDUCT FROM SALARY TILL JAN  2025",0,IF(AF27&lt;=12500,0,IF(AI27&gt;AF27,0,ROUNDUP((AF27-AI27)/3,-3))))</f>
        <v>0.0</v>
      </c>
      <c r="AZ27" s="1501">
        <f>IF($AG$7="INCOME TAX DEDUCT FROM SALARY TILL JAN  2025",0,IF(AF27&lt;=12500,0,IF(AI27&gt;AF27,0,ROUNDUP((AF27-AI27)/3,-3))))</f>
        <v>0.0</v>
      </c>
      <c r="BA27" s="1501" t="e">
        <f>IF($AG$7="INCOME TAX DEDUCT FROM SALARY TILL JAN  2025",ROUNDUP((AF27-AI27),-3),IF(AF27&lt;=12500,0,IF(AI27&gt;AF27,0,ROUNDUP((AF27-AI27)/3,-3))))</f>
        <v>#VALUE!</v>
      </c>
      <c r="BB27" s="1503" t="e">
        <f t="shared" si="27"/>
        <v>#VALUE!</v>
      </c>
      <c r="BC27" s="1503" t="e">
        <f>BB27+AI27</f>
        <v>#VALUE!</v>
      </c>
      <c r="BD27" s="1501" t="e">
        <f>BC27-AF27</f>
        <v>#VALUE!</v>
      </c>
      <c r="BE27" s="1504"/>
      <c r="BF27" s="1504"/>
      <c r="BG27" s="1504"/>
    </row>
    <row r="28" spans="8:8" ht="15.75">
      <c r="B28" s="1488">
        <f t="shared" si="8"/>
        <v>0.0</v>
      </c>
      <c r="C28" s="1488">
        <f t="shared" si="0"/>
        <v>0.0</v>
      </c>
      <c r="D28" s="1489"/>
      <c r="E28" s="1505">
        <v>19.0</v>
      </c>
      <c r="F28" s="1506"/>
      <c r="G28" s="1506"/>
      <c r="H28" s="1507"/>
      <c r="I28" s="1492"/>
      <c r="J28" s="1507"/>
      <c r="K28" s="1507"/>
      <c r="L28" s="1507"/>
      <c r="M28" s="1507"/>
      <c r="N28" s="1492">
        <v>0.0</v>
      </c>
      <c r="O28" s="1493">
        <f t="shared" si="9"/>
        <v>-50000.0</v>
      </c>
      <c r="P28" s="1493">
        <f t="shared" si="10"/>
        <v>-75000.0</v>
      </c>
      <c r="Q28" s="1494">
        <f t="shared" si="11"/>
        <v>0.0</v>
      </c>
      <c r="R28" s="1494">
        <f t="shared" si="12"/>
        <v>0.0</v>
      </c>
      <c r="S28" s="1494">
        <f t="shared" si="13"/>
        <v>0.0</v>
      </c>
      <c r="T28" s="1493" t="str">
        <f t="shared" si="1"/>
        <v/>
      </c>
      <c r="U28" s="1494" t="str">
        <f t="shared" si="14"/>
        <v/>
      </c>
      <c r="V28" s="1495" t="str">
        <f t="shared" si="15"/>
        <v/>
      </c>
      <c r="W28" s="1495" t="str">
        <f t="shared" si="16"/>
        <v/>
      </c>
      <c r="X28" s="1494">
        <f t="shared" si="17"/>
        <v>0.0</v>
      </c>
      <c r="Y28" s="1494">
        <f t="shared" si="18"/>
        <v>0.0</v>
      </c>
      <c r="Z28" s="1494">
        <f t="shared" si="19"/>
        <v>0.0</v>
      </c>
      <c r="AA28" s="1494">
        <f t="shared" si="20"/>
        <v>0.0</v>
      </c>
      <c r="AB28" s="1496">
        <f t="shared" si="21"/>
        <v>0.0</v>
      </c>
      <c r="AC28" s="1497" t="str">
        <f t="shared" si="2"/>
        <v/>
      </c>
      <c r="AD28" s="1494" t="str">
        <f t="shared" si="3"/>
        <v/>
      </c>
      <c r="AE28" s="1495" t="str">
        <f t="shared" si="4"/>
        <v/>
      </c>
      <c r="AF28" s="1495" t="str">
        <f t="shared" si="5"/>
        <v/>
      </c>
      <c r="AG28" s="1508"/>
      <c r="AH28" s="1508"/>
      <c r="AI28" s="1496">
        <f t="shared" si="22"/>
        <v>0.0</v>
      </c>
      <c r="AJ28" s="1496">
        <f>IF(OR(W28=0,AF28=0),0,IF(AN28="OLD TAX REGIME",AS28,AY28))</f>
        <v>0.0</v>
      </c>
      <c r="AK28" s="1496">
        <f>IF(OR(W28=0,AF28=0),0,IF(AN28="OLD TAX REGIME",AT28,AZ28))</f>
        <v>0.0</v>
      </c>
      <c r="AL28" s="1496" t="e">
        <f>IF(OR(W28=0,AF28=0),0,IF(AN28="OLD TAX REGIME",AU28,BA28))</f>
        <v>#VALUE!</v>
      </c>
      <c r="AM28" s="1497" t="e">
        <f t="shared" si="23"/>
        <v>#VALUE!</v>
      </c>
      <c r="AN28" s="1499" t="str">
        <f t="shared" si="24"/>
        <v/>
      </c>
      <c r="AO28" s="1500">
        <f t="shared" si="6"/>
        <v>0.0</v>
      </c>
      <c r="AP28" s="1509">
        <f t="shared" si="7"/>
        <v>0.0</v>
      </c>
      <c r="AQ28" s="1502">
        <f t="shared" si="25"/>
        <v>0.0</v>
      </c>
      <c r="AR28" s="1419"/>
      <c r="AS28" s="1501">
        <f>IF($AG$7="INCOME TAX DEDUCT FROM SALARY TILL JAN  2025",0,IF(W28&lt;=12500,0,IF(AI28&gt;W28,0,ROUNDUP((W28-AI28)/3,-3))))</f>
        <v>0.0</v>
      </c>
      <c r="AT28" s="1501">
        <f>IF($AG$7="INCOME TAX DEDUCT FROM SALARY TILL JAN  2025",0,IF(W28&lt;=12500,0,IF(AI28&gt;V28,0,ROUNDUP((W28-AI28)/3,-3))))</f>
        <v>0.0</v>
      </c>
      <c r="AU28" s="1501" t="e">
        <f>IF($AG$7="INCOME TAX DEDUCT FROM SALARY TILL JAN  2025",ROUNDUP((V28-AI28),-3),IF(V28&lt;=12500,0,IF(AI28&gt;V28,0,ROUNDUP((V28-AI28)/3,-3))))</f>
        <v>#VALUE!</v>
      </c>
      <c r="AV28" s="1503" t="e">
        <f t="shared" si="26"/>
        <v>#VALUE!</v>
      </c>
      <c r="AW28" s="1503" t="e">
        <f>AV28+AI28</f>
        <v>#VALUE!</v>
      </c>
      <c r="AX28" s="1501" t="e">
        <f>AW28-W28</f>
        <v>#VALUE!</v>
      </c>
      <c r="AY28" s="1501">
        <f>IF($AG$7="INCOME TAX DEDUCT FROM SALARY TILL JAN  2025",0,IF(AF28&lt;=12500,0,IF(AI28&gt;AF28,0,ROUNDUP((AF28-AI28)/3,-3))))</f>
        <v>0.0</v>
      </c>
      <c r="AZ28" s="1501">
        <f>IF($AG$7="INCOME TAX DEDUCT FROM SALARY TILL JAN  2025",0,IF(AF28&lt;=12500,0,IF(AI28&gt;AF28,0,ROUNDUP((AF28-AI28)/3,-3))))</f>
        <v>0.0</v>
      </c>
      <c r="BA28" s="1501" t="e">
        <f>IF($AG$7="INCOME TAX DEDUCT FROM SALARY TILL JAN  2025",ROUNDUP((AF28-AI28),-3),IF(AF28&lt;=12500,0,IF(AI28&gt;AF28,0,ROUNDUP((AF28-AI28)/3,-3))))</f>
        <v>#VALUE!</v>
      </c>
      <c r="BB28" s="1503" t="e">
        <f t="shared" si="27"/>
        <v>#VALUE!</v>
      </c>
      <c r="BC28" s="1503" t="e">
        <f>BB28+AI28</f>
        <v>#VALUE!</v>
      </c>
      <c r="BD28" s="1501" t="e">
        <f>BC28-AF28</f>
        <v>#VALUE!</v>
      </c>
      <c r="BE28" s="1504"/>
      <c r="BF28" s="1504"/>
      <c r="BG28" s="1504"/>
    </row>
    <row r="29" spans="8:8" ht="15.75">
      <c r="B29" s="1488">
        <f t="shared" si="8"/>
        <v>0.0</v>
      </c>
      <c r="C29" s="1488">
        <f t="shared" si="0"/>
        <v>0.0</v>
      </c>
      <c r="D29" s="1489"/>
      <c r="E29" s="1505">
        <v>20.0</v>
      </c>
      <c r="F29" s="1506"/>
      <c r="G29" s="1506"/>
      <c r="H29" s="1507"/>
      <c r="I29" s="1492"/>
      <c r="J29" s="1507"/>
      <c r="K29" s="1507"/>
      <c r="L29" s="1507"/>
      <c r="M29" s="1507"/>
      <c r="N29" s="1492">
        <v>0.0</v>
      </c>
      <c r="O29" s="1493">
        <f t="shared" si="9"/>
        <v>-50000.0</v>
      </c>
      <c r="P29" s="1493">
        <f t="shared" si="10"/>
        <v>-75000.0</v>
      </c>
      <c r="Q29" s="1494">
        <f t="shared" si="11"/>
        <v>0.0</v>
      </c>
      <c r="R29" s="1494">
        <f t="shared" si="12"/>
        <v>0.0</v>
      </c>
      <c r="S29" s="1494">
        <f t="shared" si="13"/>
        <v>0.0</v>
      </c>
      <c r="T29" s="1493" t="str">
        <f t="shared" si="1"/>
        <v/>
      </c>
      <c r="U29" s="1494" t="str">
        <f t="shared" si="14"/>
        <v/>
      </c>
      <c r="V29" s="1495" t="str">
        <f t="shared" si="15"/>
        <v/>
      </c>
      <c r="W29" s="1495" t="str">
        <f t="shared" si="16"/>
        <v/>
      </c>
      <c r="X29" s="1494">
        <f t="shared" si="17"/>
        <v>0.0</v>
      </c>
      <c r="Y29" s="1494">
        <f t="shared" si="18"/>
        <v>0.0</v>
      </c>
      <c r="Z29" s="1494">
        <f t="shared" si="19"/>
        <v>0.0</v>
      </c>
      <c r="AA29" s="1494">
        <f t="shared" si="20"/>
        <v>0.0</v>
      </c>
      <c r="AB29" s="1496">
        <f t="shared" si="21"/>
        <v>0.0</v>
      </c>
      <c r="AC29" s="1497" t="str">
        <f t="shared" si="2"/>
        <v/>
      </c>
      <c r="AD29" s="1494" t="str">
        <f t="shared" si="3"/>
        <v/>
      </c>
      <c r="AE29" s="1495" t="str">
        <f t="shared" si="4"/>
        <v/>
      </c>
      <c r="AF29" s="1495" t="str">
        <f t="shared" si="5"/>
        <v/>
      </c>
      <c r="AG29" s="1508"/>
      <c r="AH29" s="1508"/>
      <c r="AI29" s="1496">
        <f t="shared" si="22"/>
        <v>0.0</v>
      </c>
      <c r="AJ29" s="1496">
        <f>IF(OR(W29=0,AF29=0),0,IF(AN29="OLD TAX REGIME",AS29,AY29))</f>
        <v>0.0</v>
      </c>
      <c r="AK29" s="1496">
        <f>IF(OR(W29=0,AF29=0),0,IF(AN29="OLD TAX REGIME",AT29,AZ29))</f>
        <v>0.0</v>
      </c>
      <c r="AL29" s="1496" t="e">
        <f>IF(OR(W29=0,AF29=0),0,IF(AN29="OLD TAX REGIME",AU29,BA29))</f>
        <v>#VALUE!</v>
      </c>
      <c r="AM29" s="1497" t="e">
        <f t="shared" si="23"/>
        <v>#VALUE!</v>
      </c>
      <c r="AN29" s="1499" t="str">
        <f t="shared" si="24"/>
        <v/>
      </c>
      <c r="AO29" s="1500">
        <f t="shared" si="6"/>
        <v>0.0</v>
      </c>
      <c r="AP29" s="1509">
        <f t="shared" si="7"/>
        <v>0.0</v>
      </c>
      <c r="AQ29" s="1502">
        <f t="shared" si="25"/>
        <v>0.0</v>
      </c>
      <c r="AR29" s="1419"/>
      <c r="AS29" s="1501">
        <f>IF($AG$7="INCOME TAX DEDUCT FROM SALARY TILL JAN  2025",0,IF(W29&lt;=12500,0,IF(AI29&gt;W29,0,ROUNDUP((W29-AI29)/3,-3))))</f>
        <v>0.0</v>
      </c>
      <c r="AT29" s="1501">
        <f>IF($AG$7="INCOME TAX DEDUCT FROM SALARY TILL JAN  2025",0,IF(W29&lt;=12500,0,IF(AI29&gt;V29,0,ROUNDUP((W29-AI29)/3,-3))))</f>
        <v>0.0</v>
      </c>
      <c r="AU29" s="1501" t="e">
        <f>IF($AG$7="INCOME TAX DEDUCT FROM SALARY TILL JAN  2025",ROUNDUP((V29-AI29),-3),IF(V29&lt;=12500,0,IF(AI29&gt;V29,0,ROUNDUP((V29-AI29)/3,-3))))</f>
        <v>#VALUE!</v>
      </c>
      <c r="AV29" s="1503" t="e">
        <f t="shared" si="26"/>
        <v>#VALUE!</v>
      </c>
      <c r="AW29" s="1503" t="e">
        <f>AV29+AI29</f>
        <v>#VALUE!</v>
      </c>
      <c r="AX29" s="1501" t="e">
        <f>AW29-W29</f>
        <v>#VALUE!</v>
      </c>
      <c r="AY29" s="1501">
        <f>IF($AG$7="INCOME TAX DEDUCT FROM SALARY TILL JAN  2025",0,IF(AF29&lt;=12500,0,IF(AI29&gt;AF29,0,ROUNDUP((AF29-AI29)/3,-3))))</f>
        <v>0.0</v>
      </c>
      <c r="AZ29" s="1501">
        <f>IF($AG$7="INCOME TAX DEDUCT FROM SALARY TILL JAN  2025",0,IF(AF29&lt;=12500,0,IF(AI29&gt;AF29,0,ROUNDUP((AF29-AI29)/3,-3))))</f>
        <v>0.0</v>
      </c>
      <c r="BA29" s="1501" t="e">
        <f>IF($AG$7="INCOME TAX DEDUCT FROM SALARY TILL JAN  2025",ROUNDUP((AF29-AI29),-3),IF(AF29&lt;=12500,0,IF(AI29&gt;AF29,0,ROUNDUP((AF29-AI29)/3,-3))))</f>
        <v>#VALUE!</v>
      </c>
      <c r="BB29" s="1503" t="e">
        <f t="shared" si="27"/>
        <v>#VALUE!</v>
      </c>
      <c r="BC29" s="1503" t="e">
        <f>BB29+AI29</f>
        <v>#VALUE!</v>
      </c>
      <c r="BD29" s="1501" t="e">
        <f>BC29-AF29</f>
        <v>#VALUE!</v>
      </c>
      <c r="BE29" s="1504"/>
      <c r="BF29" s="1504"/>
      <c r="BG29" s="1504"/>
    </row>
    <row r="30" spans="8:8" ht="15.0" customHeight="1">
      <c r="B30" s="1488">
        <f t="shared" si="8"/>
        <v>0.0</v>
      </c>
      <c r="C30" s="1488">
        <f t="shared" si="0"/>
        <v>0.0</v>
      </c>
      <c r="D30" s="1489"/>
      <c r="E30" s="1505">
        <v>21.0</v>
      </c>
      <c r="F30" s="1506"/>
      <c r="G30" s="1506"/>
      <c r="H30" s="1507"/>
      <c r="I30" s="1492"/>
      <c r="J30" s="1507"/>
      <c r="K30" s="1507"/>
      <c r="L30" s="1507"/>
      <c r="M30" s="1507"/>
      <c r="N30" s="1492">
        <v>0.0</v>
      </c>
      <c r="O30" s="1493">
        <f t="shared" si="9"/>
        <v>-50000.0</v>
      </c>
      <c r="P30" s="1493">
        <f t="shared" si="10"/>
        <v>-75000.0</v>
      </c>
      <c r="Q30" s="1494">
        <f t="shared" si="11"/>
        <v>0.0</v>
      </c>
      <c r="R30" s="1494">
        <f t="shared" si="12"/>
        <v>0.0</v>
      </c>
      <c r="S30" s="1494">
        <f t="shared" si="13"/>
        <v>0.0</v>
      </c>
      <c r="T30" s="1493" t="str">
        <f t="shared" si="1"/>
        <v/>
      </c>
      <c r="U30" s="1494" t="str">
        <f t="shared" si="14"/>
        <v/>
      </c>
      <c r="V30" s="1495" t="str">
        <f t="shared" si="15"/>
        <v/>
      </c>
      <c r="W30" s="1495" t="str">
        <f t="shared" si="16"/>
        <v/>
      </c>
      <c r="X30" s="1494">
        <f t="shared" si="17"/>
        <v>0.0</v>
      </c>
      <c r="Y30" s="1494">
        <f t="shared" si="18"/>
        <v>0.0</v>
      </c>
      <c r="Z30" s="1494">
        <f t="shared" si="19"/>
        <v>0.0</v>
      </c>
      <c r="AA30" s="1494">
        <f t="shared" si="20"/>
        <v>0.0</v>
      </c>
      <c r="AB30" s="1496">
        <f t="shared" si="21"/>
        <v>0.0</v>
      </c>
      <c r="AC30" s="1497" t="str">
        <f t="shared" si="2"/>
        <v/>
      </c>
      <c r="AD30" s="1494" t="str">
        <f t="shared" si="3"/>
        <v/>
      </c>
      <c r="AE30" s="1495" t="str">
        <f t="shared" si="4"/>
        <v/>
      </c>
      <c r="AF30" s="1495" t="str">
        <f t="shared" si="5"/>
        <v/>
      </c>
      <c r="AG30" s="1508"/>
      <c r="AH30" s="1508"/>
      <c r="AI30" s="1496">
        <f t="shared" si="22"/>
        <v>0.0</v>
      </c>
      <c r="AJ30" s="1496">
        <f>IF(OR(W30=0,AF30=0),0,IF(AN30="OLD TAX REGIME",AS30,AY30))</f>
        <v>0.0</v>
      </c>
      <c r="AK30" s="1496">
        <f>IF(OR(W30=0,AF30=0),0,IF(AN30="OLD TAX REGIME",AT30,AZ30))</f>
        <v>0.0</v>
      </c>
      <c r="AL30" s="1496" t="e">
        <f>IF(OR(W30=0,AF30=0),0,IF(AN30="OLD TAX REGIME",AU30,BA30))</f>
        <v>#VALUE!</v>
      </c>
      <c r="AM30" s="1497" t="e">
        <f t="shared" si="23"/>
        <v>#VALUE!</v>
      </c>
      <c r="AN30" s="1499" t="str">
        <f t="shared" si="24"/>
        <v/>
      </c>
      <c r="AO30" s="1500">
        <f t="shared" si="6"/>
        <v>0.0</v>
      </c>
      <c r="AP30" s="1509">
        <f t="shared" si="7"/>
        <v>0.0</v>
      </c>
      <c r="AQ30" s="1502">
        <f t="shared" si="25"/>
        <v>0.0</v>
      </c>
      <c r="AR30" s="1419"/>
      <c r="AS30" s="1501">
        <f>IF($AG$7="INCOME TAX DEDUCT FROM SALARY TILL JAN  2025",0,IF(W30&lt;=12500,0,IF(AI30&gt;W30,0,ROUNDUP((W30-AI30)/3,-3))))</f>
        <v>0.0</v>
      </c>
      <c r="AT30" s="1501">
        <f>IF($AG$7="INCOME TAX DEDUCT FROM SALARY TILL JAN  2025",0,IF(W30&lt;=12500,0,IF(AI30&gt;V30,0,ROUNDUP((W30-AI30)/3,-3))))</f>
        <v>0.0</v>
      </c>
      <c r="AU30" s="1501" t="e">
        <f>IF($AG$7="INCOME TAX DEDUCT FROM SALARY TILL JAN  2025",ROUNDUP((V30-AI30),-3),IF(V30&lt;=12500,0,IF(AI30&gt;V30,0,ROUNDUP((V30-AI30)/3,-3))))</f>
        <v>#VALUE!</v>
      </c>
      <c r="AV30" s="1503" t="e">
        <f t="shared" si="26"/>
        <v>#VALUE!</v>
      </c>
      <c r="AW30" s="1503" t="e">
        <f>AV30+AI30</f>
        <v>#VALUE!</v>
      </c>
      <c r="AX30" s="1501" t="e">
        <f>AW30-W30</f>
        <v>#VALUE!</v>
      </c>
      <c r="AY30" s="1501">
        <f>IF($AG$7="INCOME TAX DEDUCT FROM SALARY TILL JAN  2025",0,IF(AF30&lt;=12500,0,IF(AI30&gt;AF30,0,ROUNDUP((AF30-AI30)/3,-3))))</f>
        <v>0.0</v>
      </c>
      <c r="AZ30" s="1501">
        <f>IF($AG$7="INCOME TAX DEDUCT FROM SALARY TILL JAN  2025",0,IF(AF30&lt;=12500,0,IF(AI30&gt;AF30,0,ROUNDUP((AF30-AI30)/3,-3))))</f>
        <v>0.0</v>
      </c>
      <c r="BA30" s="1501" t="e">
        <f>IF($AG$7="INCOME TAX DEDUCT FROM SALARY TILL JAN  2025",ROUNDUP((AF30-AI30),-3),IF(AF30&lt;=12500,0,IF(AI30&gt;AF30,0,ROUNDUP((AF30-AI30)/3,-3))))</f>
        <v>#VALUE!</v>
      </c>
      <c r="BB30" s="1503" t="e">
        <f t="shared" si="27"/>
        <v>#VALUE!</v>
      </c>
      <c r="BC30" s="1503" t="e">
        <f>BB30+AI30</f>
        <v>#VALUE!</v>
      </c>
      <c r="BD30" s="1501" t="e">
        <f>BC30-AF30</f>
        <v>#VALUE!</v>
      </c>
      <c r="BE30" s="1504"/>
      <c r="BF30" s="1504"/>
      <c r="BG30" s="1504"/>
    </row>
    <row r="31" spans="8:8" ht="15.0" customHeight="1">
      <c r="B31" s="1488">
        <f t="shared" si="8"/>
        <v>0.0</v>
      </c>
      <c r="C31" s="1488">
        <f t="shared" si="0"/>
        <v>0.0</v>
      </c>
      <c r="D31" s="1489"/>
      <c r="E31" s="1505">
        <v>22.0</v>
      </c>
      <c r="F31" s="1506"/>
      <c r="G31" s="1506"/>
      <c r="H31" s="1507"/>
      <c r="I31" s="1492"/>
      <c r="J31" s="1507"/>
      <c r="K31" s="1507"/>
      <c r="L31" s="1507"/>
      <c r="M31" s="1507"/>
      <c r="N31" s="1492">
        <v>0.0</v>
      </c>
      <c r="O31" s="1493">
        <f t="shared" si="9"/>
        <v>-50000.0</v>
      </c>
      <c r="P31" s="1493">
        <f t="shared" si="10"/>
        <v>-75000.0</v>
      </c>
      <c r="Q31" s="1494">
        <f t="shared" si="11"/>
        <v>0.0</v>
      </c>
      <c r="R31" s="1494">
        <f t="shared" si="12"/>
        <v>0.0</v>
      </c>
      <c r="S31" s="1494">
        <f t="shared" si="13"/>
        <v>0.0</v>
      </c>
      <c r="T31" s="1493" t="str">
        <f t="shared" si="1"/>
        <v/>
      </c>
      <c r="U31" s="1494" t="str">
        <f t="shared" si="14"/>
        <v/>
      </c>
      <c r="V31" s="1495" t="str">
        <f t="shared" si="15"/>
        <v/>
      </c>
      <c r="W31" s="1495" t="str">
        <f t="shared" si="16"/>
        <v/>
      </c>
      <c r="X31" s="1494">
        <f t="shared" si="17"/>
        <v>0.0</v>
      </c>
      <c r="Y31" s="1494">
        <f t="shared" si="18"/>
        <v>0.0</v>
      </c>
      <c r="Z31" s="1494">
        <f t="shared" si="19"/>
        <v>0.0</v>
      </c>
      <c r="AA31" s="1494">
        <f t="shared" si="20"/>
        <v>0.0</v>
      </c>
      <c r="AB31" s="1496">
        <f t="shared" si="21"/>
        <v>0.0</v>
      </c>
      <c r="AC31" s="1497" t="str">
        <f t="shared" si="2"/>
        <v/>
      </c>
      <c r="AD31" s="1494" t="str">
        <f t="shared" si="3"/>
        <v/>
      </c>
      <c r="AE31" s="1495" t="str">
        <f t="shared" si="4"/>
        <v/>
      </c>
      <c r="AF31" s="1495" t="str">
        <f t="shared" si="5"/>
        <v/>
      </c>
      <c r="AG31" s="1508"/>
      <c r="AH31" s="1508"/>
      <c r="AI31" s="1496">
        <f t="shared" si="22"/>
        <v>0.0</v>
      </c>
      <c r="AJ31" s="1496">
        <f>IF(OR(W31=0,AF31=0),0,IF(AN31="OLD TAX REGIME",AS31,AY31))</f>
        <v>0.0</v>
      </c>
      <c r="AK31" s="1496">
        <f>IF(OR(W31=0,AF31=0),0,IF(AN31="OLD TAX REGIME",AT31,AZ31))</f>
        <v>0.0</v>
      </c>
      <c r="AL31" s="1496" t="e">
        <f>IF(OR(W31=0,AF31=0),0,IF(AN31="OLD TAX REGIME",AU31,BA31))</f>
        <v>#VALUE!</v>
      </c>
      <c r="AM31" s="1497" t="e">
        <f t="shared" si="23"/>
        <v>#VALUE!</v>
      </c>
      <c r="AN31" s="1499" t="str">
        <f t="shared" si="24"/>
        <v/>
      </c>
      <c r="AO31" s="1500">
        <f t="shared" si="6"/>
        <v>0.0</v>
      </c>
      <c r="AP31" s="1509">
        <f t="shared" si="7"/>
        <v>0.0</v>
      </c>
      <c r="AQ31" s="1502">
        <f t="shared" si="25"/>
        <v>0.0</v>
      </c>
      <c r="AR31" s="1419"/>
      <c r="AS31" s="1501">
        <f>IF($AG$7="INCOME TAX DEDUCT FROM SALARY TILL JAN  2025",0,IF(W31&lt;=12500,0,IF(AI31&gt;W31,0,ROUNDUP((W31-AI31)/3,-3))))</f>
        <v>0.0</v>
      </c>
      <c r="AT31" s="1501">
        <f>IF($AG$7="INCOME TAX DEDUCT FROM SALARY TILL JAN  2025",0,IF(W31&lt;=12500,0,IF(AI31&gt;V31,0,ROUNDUP((W31-AI31)/3,-3))))</f>
        <v>0.0</v>
      </c>
      <c r="AU31" s="1501" t="e">
        <f>IF($AG$7="INCOME TAX DEDUCT FROM SALARY TILL JAN  2025",ROUNDUP((V31-AI31),-3),IF(V31&lt;=12500,0,IF(AI31&gt;V31,0,ROUNDUP((V31-AI31)/3,-3))))</f>
        <v>#VALUE!</v>
      </c>
      <c r="AV31" s="1503" t="e">
        <f t="shared" si="26"/>
        <v>#VALUE!</v>
      </c>
      <c r="AW31" s="1503" t="e">
        <f>AV31+AI31</f>
        <v>#VALUE!</v>
      </c>
      <c r="AX31" s="1501" t="e">
        <f>AW31-W31</f>
        <v>#VALUE!</v>
      </c>
      <c r="AY31" s="1501">
        <f>IF($AG$7="INCOME TAX DEDUCT FROM SALARY TILL JAN  2025",0,IF(AF31&lt;=12500,0,IF(AI31&gt;AF31,0,ROUNDUP((AF31-AI31)/3,-3))))</f>
        <v>0.0</v>
      </c>
      <c r="AZ31" s="1501">
        <f>IF($AG$7="INCOME TAX DEDUCT FROM SALARY TILL JAN  2025",0,IF(AF31&lt;=12500,0,IF(AI31&gt;AF31,0,ROUNDUP((AF31-AI31)/3,-3))))</f>
        <v>0.0</v>
      </c>
      <c r="BA31" s="1501" t="e">
        <f>IF($AG$7="INCOME TAX DEDUCT FROM SALARY TILL JAN  2025",ROUNDUP((AF31-AI31),-3),IF(AF31&lt;=12500,0,IF(AI31&gt;AF31,0,ROUNDUP((AF31-AI31)/3,-3))))</f>
        <v>#VALUE!</v>
      </c>
      <c r="BB31" s="1503" t="e">
        <f t="shared" si="27"/>
        <v>#VALUE!</v>
      </c>
      <c r="BC31" s="1503" t="e">
        <f>BB31+AI31</f>
        <v>#VALUE!</v>
      </c>
      <c r="BD31" s="1501" t="e">
        <f>BC31-AF31</f>
        <v>#VALUE!</v>
      </c>
      <c r="BE31" s="1504"/>
      <c r="BF31" s="1504"/>
      <c r="BG31" s="1504"/>
    </row>
    <row r="32" spans="8:8" ht="15.0" customHeight="1">
      <c r="B32" s="1488">
        <f t="shared" si="8"/>
        <v>0.0</v>
      </c>
      <c r="C32" s="1488">
        <f t="shared" si="0"/>
        <v>0.0</v>
      </c>
      <c r="D32" s="1489"/>
      <c r="E32" s="1505">
        <v>23.0</v>
      </c>
      <c r="F32" s="1506"/>
      <c r="G32" s="1506"/>
      <c r="H32" s="1507"/>
      <c r="I32" s="1492"/>
      <c r="J32" s="1507"/>
      <c r="K32" s="1507"/>
      <c r="L32" s="1507"/>
      <c r="M32" s="1507"/>
      <c r="N32" s="1492">
        <v>0.0</v>
      </c>
      <c r="O32" s="1493">
        <f t="shared" si="9"/>
        <v>-50000.0</v>
      </c>
      <c r="P32" s="1493">
        <f t="shared" si="10"/>
        <v>-75000.0</v>
      </c>
      <c r="Q32" s="1494">
        <f t="shared" si="11"/>
        <v>0.0</v>
      </c>
      <c r="R32" s="1494">
        <f t="shared" si="12"/>
        <v>0.0</v>
      </c>
      <c r="S32" s="1494">
        <f t="shared" si="13"/>
        <v>0.0</v>
      </c>
      <c r="T32" s="1493" t="str">
        <f t="shared" si="1"/>
        <v/>
      </c>
      <c r="U32" s="1494" t="str">
        <f t="shared" si="14"/>
        <v/>
      </c>
      <c r="V32" s="1495" t="str">
        <f t="shared" si="15"/>
        <v/>
      </c>
      <c r="W32" s="1495" t="str">
        <f t="shared" si="16"/>
        <v/>
      </c>
      <c r="X32" s="1494">
        <f t="shared" si="17"/>
        <v>0.0</v>
      </c>
      <c r="Y32" s="1494">
        <f t="shared" si="18"/>
        <v>0.0</v>
      </c>
      <c r="Z32" s="1494">
        <f t="shared" si="19"/>
        <v>0.0</v>
      </c>
      <c r="AA32" s="1494">
        <f t="shared" si="20"/>
        <v>0.0</v>
      </c>
      <c r="AB32" s="1496">
        <f t="shared" si="21"/>
        <v>0.0</v>
      </c>
      <c r="AC32" s="1497" t="str">
        <f t="shared" si="2"/>
        <v/>
      </c>
      <c r="AD32" s="1494" t="str">
        <f t="shared" si="3"/>
        <v/>
      </c>
      <c r="AE32" s="1495" t="str">
        <f t="shared" si="4"/>
        <v/>
      </c>
      <c r="AF32" s="1495" t="str">
        <f t="shared" si="5"/>
        <v/>
      </c>
      <c r="AG32" s="1508"/>
      <c r="AH32" s="1508"/>
      <c r="AI32" s="1496">
        <f t="shared" si="22"/>
        <v>0.0</v>
      </c>
      <c r="AJ32" s="1496">
        <f>IF(OR(W32=0,AF32=0),0,IF(AN32="OLD TAX REGIME",AS32,AY32))</f>
        <v>0.0</v>
      </c>
      <c r="AK32" s="1496">
        <f>IF(OR(W32=0,AF32=0),0,IF(AN32="OLD TAX REGIME",AT32,AZ32))</f>
        <v>0.0</v>
      </c>
      <c r="AL32" s="1496" t="e">
        <f>IF(OR(W32=0,AF32=0),0,IF(AN32="OLD TAX REGIME",AU32,BA32))</f>
        <v>#VALUE!</v>
      </c>
      <c r="AM32" s="1497" t="e">
        <f t="shared" si="23"/>
        <v>#VALUE!</v>
      </c>
      <c r="AN32" s="1499" t="str">
        <f t="shared" si="24"/>
        <v/>
      </c>
      <c r="AO32" s="1500">
        <f t="shared" si="6"/>
        <v>0.0</v>
      </c>
      <c r="AP32" s="1509">
        <f t="shared" si="7"/>
        <v>0.0</v>
      </c>
      <c r="AQ32" s="1502">
        <f t="shared" si="25"/>
        <v>0.0</v>
      </c>
      <c r="AR32" s="1419"/>
      <c r="AS32" s="1501">
        <f>IF($AG$7="INCOME TAX DEDUCT FROM SALARY TILL JAN  2025",0,IF(W32&lt;=12500,0,IF(AI32&gt;W32,0,ROUNDUP((W32-AI32)/3,-3))))</f>
        <v>0.0</v>
      </c>
      <c r="AT32" s="1501">
        <f>IF($AG$7="INCOME TAX DEDUCT FROM SALARY TILL JAN  2025",0,IF(W32&lt;=12500,0,IF(AI32&gt;V32,0,ROUNDUP((W32-AI32)/3,-3))))</f>
        <v>0.0</v>
      </c>
      <c r="AU32" s="1501" t="e">
        <f>IF($AG$7="INCOME TAX DEDUCT FROM SALARY TILL JAN  2025",ROUNDUP((V32-AI32),-3),IF(V32&lt;=12500,0,IF(AI32&gt;V32,0,ROUNDUP((V32-AI32)/3,-3))))</f>
        <v>#VALUE!</v>
      </c>
      <c r="AV32" s="1503" t="e">
        <f t="shared" si="26"/>
        <v>#VALUE!</v>
      </c>
      <c r="AW32" s="1503" t="e">
        <f>AV32+AI32</f>
        <v>#VALUE!</v>
      </c>
      <c r="AX32" s="1501" t="e">
        <f>AW32-W32</f>
        <v>#VALUE!</v>
      </c>
      <c r="AY32" s="1501">
        <f>IF($AG$7="INCOME TAX DEDUCT FROM SALARY TILL JAN  2025",0,IF(AF32&lt;=12500,0,IF(AI32&gt;AF32,0,ROUNDUP((AF32-AI32)/3,-3))))</f>
        <v>0.0</v>
      </c>
      <c r="AZ32" s="1501">
        <f>IF($AG$7="INCOME TAX DEDUCT FROM SALARY TILL JAN  2025",0,IF(AF32&lt;=12500,0,IF(AI32&gt;AF32,0,ROUNDUP((AF32-AI32)/3,-3))))</f>
        <v>0.0</v>
      </c>
      <c r="BA32" s="1501" t="e">
        <f>IF($AG$7="INCOME TAX DEDUCT FROM SALARY TILL JAN  2025",ROUNDUP((AF32-AI32),-3),IF(AF32&lt;=12500,0,IF(AI32&gt;AF32,0,ROUNDUP((AF32-AI32)/3,-3))))</f>
        <v>#VALUE!</v>
      </c>
      <c r="BB32" s="1503" t="e">
        <f t="shared" si="27"/>
        <v>#VALUE!</v>
      </c>
      <c r="BC32" s="1503" t="e">
        <f>BB32+AI32</f>
        <v>#VALUE!</v>
      </c>
      <c r="BD32" s="1501" t="e">
        <f>BC32-AF32</f>
        <v>#VALUE!</v>
      </c>
      <c r="BE32" s="1504"/>
      <c r="BF32" s="1504"/>
      <c r="BG32" s="1504"/>
    </row>
    <row r="33" spans="8:8" ht="15.0" customHeight="1">
      <c r="B33" s="1488">
        <f t="shared" si="8"/>
        <v>0.0</v>
      </c>
      <c r="C33" s="1488">
        <f t="shared" si="0"/>
        <v>0.0</v>
      </c>
      <c r="D33" s="1489"/>
      <c r="E33" s="1505">
        <v>24.0</v>
      </c>
      <c r="F33" s="1506"/>
      <c r="G33" s="1506"/>
      <c r="H33" s="1507"/>
      <c r="I33" s="1492"/>
      <c r="J33" s="1507"/>
      <c r="K33" s="1507"/>
      <c r="L33" s="1507"/>
      <c r="M33" s="1507"/>
      <c r="N33" s="1492">
        <v>0.0</v>
      </c>
      <c r="O33" s="1493">
        <f t="shared" si="9"/>
        <v>-50000.0</v>
      </c>
      <c r="P33" s="1493">
        <f t="shared" si="10"/>
        <v>-75000.0</v>
      </c>
      <c r="Q33" s="1494">
        <f t="shared" si="11"/>
        <v>0.0</v>
      </c>
      <c r="R33" s="1494">
        <f t="shared" si="12"/>
        <v>0.0</v>
      </c>
      <c r="S33" s="1494">
        <f t="shared" si="13"/>
        <v>0.0</v>
      </c>
      <c r="T33" s="1493" t="str">
        <f t="shared" si="1"/>
        <v/>
      </c>
      <c r="U33" s="1494" t="str">
        <f t="shared" si="14"/>
        <v/>
      </c>
      <c r="V33" s="1495" t="str">
        <f t="shared" si="15"/>
        <v/>
      </c>
      <c r="W33" s="1495" t="str">
        <f t="shared" si="16"/>
        <v/>
      </c>
      <c r="X33" s="1494">
        <f t="shared" si="17"/>
        <v>0.0</v>
      </c>
      <c r="Y33" s="1494">
        <f t="shared" si="18"/>
        <v>0.0</v>
      </c>
      <c r="Z33" s="1494">
        <f t="shared" si="19"/>
        <v>0.0</v>
      </c>
      <c r="AA33" s="1494">
        <f t="shared" si="20"/>
        <v>0.0</v>
      </c>
      <c r="AB33" s="1496">
        <f t="shared" si="21"/>
        <v>0.0</v>
      </c>
      <c r="AC33" s="1497" t="str">
        <f t="shared" si="2"/>
        <v/>
      </c>
      <c r="AD33" s="1494" t="str">
        <f t="shared" si="3"/>
        <v/>
      </c>
      <c r="AE33" s="1495" t="str">
        <f t="shared" si="4"/>
        <v/>
      </c>
      <c r="AF33" s="1495" t="str">
        <f t="shared" si="5"/>
        <v/>
      </c>
      <c r="AG33" s="1508"/>
      <c r="AH33" s="1508"/>
      <c r="AI33" s="1496">
        <f t="shared" si="22"/>
        <v>0.0</v>
      </c>
      <c r="AJ33" s="1496">
        <f>IF(OR(W33=0,AF33=0),0,IF(AN33="OLD TAX REGIME",AS33,AY33))</f>
        <v>0.0</v>
      </c>
      <c r="AK33" s="1496">
        <f>IF(OR(W33=0,AF33=0),0,IF(AN33="OLD TAX REGIME",AT33,AZ33))</f>
        <v>0.0</v>
      </c>
      <c r="AL33" s="1496" t="e">
        <f>IF(OR(W33=0,AF33=0),0,IF(AN33="OLD TAX REGIME",AU33,BA33))</f>
        <v>#VALUE!</v>
      </c>
      <c r="AM33" s="1497" t="e">
        <f t="shared" si="23"/>
        <v>#VALUE!</v>
      </c>
      <c r="AN33" s="1499" t="str">
        <f t="shared" si="24"/>
        <v/>
      </c>
      <c r="AO33" s="1500">
        <f t="shared" si="6"/>
        <v>0.0</v>
      </c>
      <c r="AP33" s="1509">
        <f t="shared" si="7"/>
        <v>0.0</v>
      </c>
      <c r="AQ33" s="1502">
        <f t="shared" si="25"/>
        <v>0.0</v>
      </c>
      <c r="AR33" s="1419"/>
      <c r="AS33" s="1501">
        <f>IF($AG$7="INCOME TAX DEDUCT FROM SALARY TILL JAN  2025",0,IF(W33&lt;=12500,0,IF(AI33&gt;W33,0,ROUNDUP((W33-AI33)/3,-3))))</f>
        <v>0.0</v>
      </c>
      <c r="AT33" s="1501">
        <f>IF($AG$7="INCOME TAX DEDUCT FROM SALARY TILL JAN  2025",0,IF(W33&lt;=12500,0,IF(AI33&gt;V33,0,ROUNDUP((W33-AI33)/3,-3))))</f>
        <v>0.0</v>
      </c>
      <c r="AU33" s="1501" t="e">
        <f>IF($AG$7="INCOME TAX DEDUCT FROM SALARY TILL JAN  2025",ROUNDUP((V33-AI33),-3),IF(V33&lt;=12500,0,IF(AI33&gt;V33,0,ROUNDUP((V33-AI33)/3,-3))))</f>
        <v>#VALUE!</v>
      </c>
      <c r="AV33" s="1503" t="e">
        <f t="shared" si="26"/>
        <v>#VALUE!</v>
      </c>
      <c r="AW33" s="1503" t="e">
        <f>AV33+AI33</f>
        <v>#VALUE!</v>
      </c>
      <c r="AX33" s="1501" t="e">
        <f>AW33-W33</f>
        <v>#VALUE!</v>
      </c>
      <c r="AY33" s="1501">
        <f>IF($AG$7="INCOME TAX DEDUCT FROM SALARY TILL JAN  2025",0,IF(AF33&lt;=12500,0,IF(AI33&gt;AF33,0,ROUNDUP((AF33-AI33)/3,-3))))</f>
        <v>0.0</v>
      </c>
      <c r="AZ33" s="1501">
        <f>IF($AG$7="INCOME TAX DEDUCT FROM SALARY TILL JAN  2025",0,IF(AF33&lt;=12500,0,IF(AI33&gt;AF33,0,ROUNDUP((AF33-AI33)/3,-3))))</f>
        <v>0.0</v>
      </c>
      <c r="BA33" s="1501" t="e">
        <f>IF($AG$7="INCOME TAX DEDUCT FROM SALARY TILL JAN  2025",ROUNDUP((AF33-AI33),-3),IF(AF33&lt;=12500,0,IF(AI33&gt;AF33,0,ROUNDUP((AF33-AI33)/3,-3))))</f>
        <v>#VALUE!</v>
      </c>
      <c r="BB33" s="1503" t="e">
        <f t="shared" si="27"/>
        <v>#VALUE!</v>
      </c>
      <c r="BC33" s="1503" t="e">
        <f>BB33+AI33</f>
        <v>#VALUE!</v>
      </c>
      <c r="BD33" s="1501" t="e">
        <f>BC33-AF33</f>
        <v>#VALUE!</v>
      </c>
      <c r="BE33" s="1504"/>
      <c r="BF33" s="1504"/>
      <c r="BG33" s="1504"/>
    </row>
    <row r="34" spans="8:8" ht="15.0" customHeight="1">
      <c r="B34" s="1488">
        <f t="shared" si="8"/>
        <v>0.0</v>
      </c>
      <c r="C34" s="1488">
        <f t="shared" si="0"/>
        <v>0.0</v>
      </c>
      <c r="D34" s="1489"/>
      <c r="E34" s="1505">
        <v>25.0</v>
      </c>
      <c r="F34" s="1506"/>
      <c r="G34" s="1506"/>
      <c r="H34" s="1507"/>
      <c r="I34" s="1492"/>
      <c r="J34" s="1507"/>
      <c r="K34" s="1507"/>
      <c r="L34" s="1507"/>
      <c r="M34" s="1507"/>
      <c r="N34" s="1492">
        <v>0.0</v>
      </c>
      <c r="O34" s="1493">
        <f t="shared" si="9"/>
        <v>-50000.0</v>
      </c>
      <c r="P34" s="1493">
        <f t="shared" si="10"/>
        <v>-75000.0</v>
      </c>
      <c r="Q34" s="1494">
        <f t="shared" si="11"/>
        <v>0.0</v>
      </c>
      <c r="R34" s="1494">
        <f t="shared" si="12"/>
        <v>0.0</v>
      </c>
      <c r="S34" s="1494">
        <f t="shared" si="13"/>
        <v>0.0</v>
      </c>
      <c r="T34" s="1493" t="str">
        <f t="shared" si="1"/>
        <v/>
      </c>
      <c r="U34" s="1494" t="str">
        <f t="shared" si="14"/>
        <v/>
      </c>
      <c r="V34" s="1495" t="str">
        <f t="shared" si="15"/>
        <v/>
      </c>
      <c r="W34" s="1495" t="str">
        <f t="shared" si="16"/>
        <v/>
      </c>
      <c r="X34" s="1494">
        <f t="shared" si="17"/>
        <v>0.0</v>
      </c>
      <c r="Y34" s="1494">
        <f t="shared" si="18"/>
        <v>0.0</v>
      </c>
      <c r="Z34" s="1494">
        <f t="shared" si="19"/>
        <v>0.0</v>
      </c>
      <c r="AA34" s="1494">
        <f t="shared" si="20"/>
        <v>0.0</v>
      </c>
      <c r="AB34" s="1496">
        <f t="shared" si="21"/>
        <v>0.0</v>
      </c>
      <c r="AC34" s="1497" t="str">
        <f t="shared" si="2"/>
        <v/>
      </c>
      <c r="AD34" s="1494" t="str">
        <f t="shared" si="3"/>
        <v/>
      </c>
      <c r="AE34" s="1495" t="str">
        <f t="shared" si="4"/>
        <v/>
      </c>
      <c r="AF34" s="1495" t="str">
        <f t="shared" si="5"/>
        <v/>
      </c>
      <c r="AG34" s="1508"/>
      <c r="AH34" s="1508"/>
      <c r="AI34" s="1496">
        <f t="shared" si="22"/>
        <v>0.0</v>
      </c>
      <c r="AJ34" s="1496">
        <f>IF(OR(W34=0,AF34=0),0,IF(AN34="OLD TAX REGIME",AS34,AY34))</f>
        <v>0.0</v>
      </c>
      <c r="AK34" s="1496">
        <f>IF(OR(W34=0,AF34=0),0,IF(AN34="OLD TAX REGIME",AT34,AZ34))</f>
        <v>0.0</v>
      </c>
      <c r="AL34" s="1496" t="e">
        <f>IF(OR(W34=0,AF34=0),0,IF(AN34="OLD TAX REGIME",AU34,BA34))</f>
        <v>#VALUE!</v>
      </c>
      <c r="AM34" s="1497" t="e">
        <f t="shared" si="23"/>
        <v>#VALUE!</v>
      </c>
      <c r="AN34" s="1499" t="str">
        <f t="shared" si="24"/>
        <v/>
      </c>
      <c r="AO34" s="1500">
        <f t="shared" si="6"/>
        <v>0.0</v>
      </c>
      <c r="AP34" s="1509">
        <f t="shared" si="7"/>
        <v>0.0</v>
      </c>
      <c r="AQ34" s="1502">
        <f t="shared" si="25"/>
        <v>0.0</v>
      </c>
      <c r="AR34" s="1419"/>
      <c r="AS34" s="1501">
        <f>IF($AG$7="INCOME TAX DEDUCT FROM SALARY TILL JAN  2025",0,IF(W34&lt;=12500,0,IF(AI34&gt;W34,0,ROUNDUP((W34-AI34)/3,-3))))</f>
        <v>0.0</v>
      </c>
      <c r="AT34" s="1501">
        <f>IF($AG$7="INCOME TAX DEDUCT FROM SALARY TILL JAN  2025",0,IF(W34&lt;=12500,0,IF(AI34&gt;V34,0,ROUNDUP((W34-AI34)/3,-3))))</f>
        <v>0.0</v>
      </c>
      <c r="AU34" s="1501" t="e">
        <f>IF($AG$7="INCOME TAX DEDUCT FROM SALARY TILL JAN  2025",ROUNDUP((V34-AI34),-3),IF(V34&lt;=12500,0,IF(AI34&gt;V34,0,ROUNDUP((V34-AI34)/3,-3))))</f>
        <v>#VALUE!</v>
      </c>
      <c r="AV34" s="1503" t="e">
        <f t="shared" si="26"/>
        <v>#VALUE!</v>
      </c>
      <c r="AW34" s="1503" t="e">
        <f>AV34+AI34</f>
        <v>#VALUE!</v>
      </c>
      <c r="AX34" s="1501" t="e">
        <f>AW34-W34</f>
        <v>#VALUE!</v>
      </c>
      <c r="AY34" s="1501">
        <f>IF($AG$7="INCOME TAX DEDUCT FROM SALARY TILL JAN  2025",0,IF(AF34&lt;=12500,0,IF(AI34&gt;AF34,0,ROUNDUP((AF34-AI34)/3,-3))))</f>
        <v>0.0</v>
      </c>
      <c r="AZ34" s="1501">
        <f>IF($AG$7="INCOME TAX DEDUCT FROM SALARY TILL JAN  2025",0,IF(AF34&lt;=12500,0,IF(AI34&gt;AF34,0,ROUNDUP((AF34-AI34)/3,-3))))</f>
        <v>0.0</v>
      </c>
      <c r="BA34" s="1501" t="e">
        <f>IF($AG$7="INCOME TAX DEDUCT FROM SALARY TILL JAN  2025",ROUNDUP((AF34-AI34),-3),IF(AF34&lt;=12500,0,IF(AI34&gt;AF34,0,ROUNDUP((AF34-AI34)/3,-3))))</f>
        <v>#VALUE!</v>
      </c>
      <c r="BB34" s="1503" t="e">
        <f t="shared" si="27"/>
        <v>#VALUE!</v>
      </c>
      <c r="BC34" s="1503" t="e">
        <f>BB34+AI34</f>
        <v>#VALUE!</v>
      </c>
      <c r="BD34" s="1501" t="e">
        <f>BC34-AF34</f>
        <v>#VALUE!</v>
      </c>
      <c r="BE34" s="1504"/>
      <c r="BF34" s="1504"/>
      <c r="BG34" s="1504"/>
    </row>
    <row r="35" spans="8:8" ht="15.0" customHeight="1">
      <c r="B35" s="1488">
        <f t="shared" si="8"/>
        <v>0.0</v>
      </c>
      <c r="C35" s="1488">
        <f t="shared" si="0"/>
        <v>0.0</v>
      </c>
      <c r="D35" s="1489"/>
      <c r="E35" s="1505">
        <v>26.0</v>
      </c>
      <c r="F35" s="1506"/>
      <c r="G35" s="1506"/>
      <c r="H35" s="1507"/>
      <c r="I35" s="1492"/>
      <c r="J35" s="1507"/>
      <c r="K35" s="1507"/>
      <c r="L35" s="1507"/>
      <c r="M35" s="1507"/>
      <c r="N35" s="1492">
        <v>0.0</v>
      </c>
      <c r="O35" s="1493">
        <f t="shared" si="9"/>
        <v>-50000.0</v>
      </c>
      <c r="P35" s="1493">
        <f t="shared" si="10"/>
        <v>-75000.0</v>
      </c>
      <c r="Q35" s="1494">
        <f t="shared" si="11"/>
        <v>0.0</v>
      </c>
      <c r="R35" s="1494">
        <f t="shared" si="12"/>
        <v>0.0</v>
      </c>
      <c r="S35" s="1494">
        <f t="shared" si="13"/>
        <v>0.0</v>
      </c>
      <c r="T35" s="1493" t="str">
        <f t="shared" si="1"/>
        <v/>
      </c>
      <c r="U35" s="1494" t="str">
        <f t="shared" si="14"/>
        <v/>
      </c>
      <c r="V35" s="1495" t="str">
        <f t="shared" si="15"/>
        <v/>
      </c>
      <c r="W35" s="1495" t="str">
        <f t="shared" si="16"/>
        <v/>
      </c>
      <c r="X35" s="1494">
        <f t="shared" si="17"/>
        <v>0.0</v>
      </c>
      <c r="Y35" s="1494">
        <f t="shared" si="18"/>
        <v>0.0</v>
      </c>
      <c r="Z35" s="1494">
        <f t="shared" si="19"/>
        <v>0.0</v>
      </c>
      <c r="AA35" s="1494">
        <f t="shared" si="20"/>
        <v>0.0</v>
      </c>
      <c r="AB35" s="1496">
        <f t="shared" si="21"/>
        <v>0.0</v>
      </c>
      <c r="AC35" s="1497" t="str">
        <f t="shared" si="2"/>
        <v/>
      </c>
      <c r="AD35" s="1494" t="str">
        <f t="shared" si="3"/>
        <v/>
      </c>
      <c r="AE35" s="1495" t="str">
        <f t="shared" si="4"/>
        <v/>
      </c>
      <c r="AF35" s="1495" t="str">
        <f t="shared" si="5"/>
        <v/>
      </c>
      <c r="AG35" s="1508"/>
      <c r="AH35" s="1508"/>
      <c r="AI35" s="1496">
        <f t="shared" si="22"/>
        <v>0.0</v>
      </c>
      <c r="AJ35" s="1496">
        <f>IF(OR(W35=0,AF35=0),0,IF(AN35="OLD TAX REGIME",AS35,AY35))</f>
        <v>0.0</v>
      </c>
      <c r="AK35" s="1496">
        <f>IF(OR(W35=0,AF35=0),0,IF(AN35="OLD TAX REGIME",AT35,AZ35))</f>
        <v>0.0</v>
      </c>
      <c r="AL35" s="1496" t="e">
        <f>IF(OR(W35=0,AF35=0),0,IF(AN35="OLD TAX REGIME",AU35,BA35))</f>
        <v>#VALUE!</v>
      </c>
      <c r="AM35" s="1497" t="e">
        <f t="shared" si="23"/>
        <v>#VALUE!</v>
      </c>
      <c r="AN35" s="1499" t="str">
        <f t="shared" si="24"/>
        <v/>
      </c>
      <c r="AO35" s="1500">
        <f t="shared" si="6"/>
        <v>0.0</v>
      </c>
      <c r="AP35" s="1509">
        <f t="shared" si="7"/>
        <v>0.0</v>
      </c>
      <c r="AQ35" s="1502">
        <f t="shared" si="25"/>
        <v>0.0</v>
      </c>
      <c r="AR35" s="1419"/>
      <c r="AS35" s="1501">
        <f>IF($AG$7="INCOME TAX DEDUCT FROM SALARY TILL JAN  2025",0,IF(W35&lt;=12500,0,IF(AI35&gt;W35,0,ROUNDUP((W35-AI35)/3,-3))))</f>
        <v>0.0</v>
      </c>
      <c r="AT35" s="1501">
        <f>IF($AG$7="INCOME TAX DEDUCT FROM SALARY TILL JAN  2025",0,IF(W35&lt;=12500,0,IF(AI35&gt;V35,0,ROUNDUP((W35-AI35)/3,-3))))</f>
        <v>0.0</v>
      </c>
      <c r="AU35" s="1501" t="e">
        <f>IF($AG$7="INCOME TAX DEDUCT FROM SALARY TILL JAN  2025",ROUNDUP((V35-AI35),-3),IF(V35&lt;=12500,0,IF(AI35&gt;V35,0,ROUNDUP((V35-AI35)/3,-3))))</f>
        <v>#VALUE!</v>
      </c>
      <c r="AV35" s="1503" t="e">
        <f t="shared" si="26"/>
        <v>#VALUE!</v>
      </c>
      <c r="AW35" s="1503" t="e">
        <f>AV35+AI35</f>
        <v>#VALUE!</v>
      </c>
      <c r="AX35" s="1501" t="e">
        <f>AW35-W35</f>
        <v>#VALUE!</v>
      </c>
      <c r="AY35" s="1501">
        <f>IF($AG$7="INCOME TAX DEDUCT FROM SALARY TILL JAN  2025",0,IF(AF35&lt;=12500,0,IF(AI35&gt;AF35,0,ROUNDUP((AF35-AI35)/3,-3))))</f>
        <v>0.0</v>
      </c>
      <c r="AZ35" s="1501">
        <f>IF($AG$7="INCOME TAX DEDUCT FROM SALARY TILL JAN  2025",0,IF(AF35&lt;=12500,0,IF(AI35&gt;AF35,0,ROUNDUP((AF35-AI35)/3,-3))))</f>
        <v>0.0</v>
      </c>
      <c r="BA35" s="1501" t="e">
        <f>IF($AG$7="INCOME TAX DEDUCT FROM SALARY TILL JAN  2025",ROUNDUP((AF35-AI35),-3),IF(AF35&lt;=12500,0,IF(AI35&gt;AF35,0,ROUNDUP((AF35-AI35)/3,-3))))</f>
        <v>#VALUE!</v>
      </c>
      <c r="BB35" s="1503" t="e">
        <f t="shared" si="27"/>
        <v>#VALUE!</v>
      </c>
      <c r="BC35" s="1503" t="e">
        <f>BB35+AI35</f>
        <v>#VALUE!</v>
      </c>
      <c r="BD35" s="1501" t="e">
        <f>BC35-AF35</f>
        <v>#VALUE!</v>
      </c>
      <c r="BE35" s="1504"/>
      <c r="BF35" s="1504"/>
      <c r="BG35" s="1504"/>
    </row>
    <row r="36" spans="8:8" ht="15.0" customHeight="1">
      <c r="B36" s="1488">
        <f t="shared" si="8"/>
        <v>0.0</v>
      </c>
      <c r="C36" s="1488">
        <f t="shared" si="0"/>
        <v>0.0</v>
      </c>
      <c r="D36" s="1489"/>
      <c r="E36" s="1505">
        <v>27.0</v>
      </c>
      <c r="F36" s="1506"/>
      <c r="G36" s="1506"/>
      <c r="H36" s="1507"/>
      <c r="I36" s="1492"/>
      <c r="J36" s="1507"/>
      <c r="K36" s="1507"/>
      <c r="L36" s="1507"/>
      <c r="M36" s="1507"/>
      <c r="N36" s="1492">
        <v>0.0</v>
      </c>
      <c r="O36" s="1493">
        <f t="shared" si="9"/>
        <v>-50000.0</v>
      </c>
      <c r="P36" s="1493">
        <f t="shared" si="10"/>
        <v>-75000.0</v>
      </c>
      <c r="Q36" s="1494">
        <f t="shared" si="11"/>
        <v>0.0</v>
      </c>
      <c r="R36" s="1494">
        <f t="shared" si="12"/>
        <v>0.0</v>
      </c>
      <c r="S36" s="1494">
        <f t="shared" si="13"/>
        <v>0.0</v>
      </c>
      <c r="T36" s="1493" t="str">
        <f t="shared" si="1"/>
        <v/>
      </c>
      <c r="U36" s="1494" t="str">
        <f t="shared" si="14"/>
        <v/>
      </c>
      <c r="V36" s="1495" t="str">
        <f t="shared" si="15"/>
        <v/>
      </c>
      <c r="W36" s="1495" t="str">
        <f t="shared" si="16"/>
        <v/>
      </c>
      <c r="X36" s="1494">
        <f t="shared" si="17"/>
        <v>0.0</v>
      </c>
      <c r="Y36" s="1494">
        <f t="shared" si="18"/>
        <v>0.0</v>
      </c>
      <c r="Z36" s="1494">
        <f t="shared" si="19"/>
        <v>0.0</v>
      </c>
      <c r="AA36" s="1494">
        <f t="shared" si="20"/>
        <v>0.0</v>
      </c>
      <c r="AB36" s="1496">
        <f t="shared" si="21"/>
        <v>0.0</v>
      </c>
      <c r="AC36" s="1497" t="str">
        <f t="shared" si="2"/>
        <v/>
      </c>
      <c r="AD36" s="1494" t="str">
        <f t="shared" si="3"/>
        <v/>
      </c>
      <c r="AE36" s="1495" t="str">
        <f t="shared" si="4"/>
        <v/>
      </c>
      <c r="AF36" s="1495" t="str">
        <f t="shared" si="5"/>
        <v/>
      </c>
      <c r="AG36" s="1508"/>
      <c r="AH36" s="1508"/>
      <c r="AI36" s="1496">
        <f t="shared" si="22"/>
        <v>0.0</v>
      </c>
      <c r="AJ36" s="1496">
        <f>IF(OR(W36=0,AF36=0),0,IF(AN36="OLD TAX REGIME",AS36,AY36))</f>
        <v>0.0</v>
      </c>
      <c r="AK36" s="1496">
        <f>IF(OR(W36=0,AF36=0),0,IF(AN36="OLD TAX REGIME",AT36,AZ36))</f>
        <v>0.0</v>
      </c>
      <c r="AL36" s="1496" t="e">
        <f>IF(OR(W36=0,AF36=0),0,IF(AN36="OLD TAX REGIME",AU36,BA36))</f>
        <v>#VALUE!</v>
      </c>
      <c r="AM36" s="1497" t="e">
        <f t="shared" si="23"/>
        <v>#VALUE!</v>
      </c>
      <c r="AN36" s="1499" t="str">
        <f t="shared" si="24"/>
        <v/>
      </c>
      <c r="AO36" s="1500">
        <f t="shared" si="6"/>
        <v>0.0</v>
      </c>
      <c r="AP36" s="1509">
        <f t="shared" si="7"/>
        <v>0.0</v>
      </c>
      <c r="AQ36" s="1502">
        <f t="shared" si="25"/>
        <v>0.0</v>
      </c>
      <c r="AR36" s="1419"/>
      <c r="AS36" s="1501">
        <f>IF($AG$7="INCOME TAX DEDUCT FROM SALARY TILL JAN  2025",0,IF(W36&lt;=12500,0,IF(AI36&gt;W36,0,ROUNDUP((W36-AI36)/3,-3))))</f>
        <v>0.0</v>
      </c>
      <c r="AT36" s="1501">
        <f>IF($AG$7="INCOME TAX DEDUCT FROM SALARY TILL JAN  2025",0,IF(W36&lt;=12500,0,IF(AI36&gt;V36,0,ROUNDUP((W36-AI36)/3,-3))))</f>
        <v>0.0</v>
      </c>
      <c r="AU36" s="1501" t="e">
        <f>IF($AG$7="INCOME TAX DEDUCT FROM SALARY TILL JAN  2025",ROUNDUP((V36-AI36),-3),IF(V36&lt;=12500,0,IF(AI36&gt;V36,0,ROUNDUP((V36-AI36)/3,-3))))</f>
        <v>#VALUE!</v>
      </c>
      <c r="AV36" s="1503" t="e">
        <f t="shared" si="26"/>
        <v>#VALUE!</v>
      </c>
      <c r="AW36" s="1503" t="e">
        <f>AV36+AI36</f>
        <v>#VALUE!</v>
      </c>
      <c r="AX36" s="1501" t="e">
        <f>AW36-W36</f>
        <v>#VALUE!</v>
      </c>
      <c r="AY36" s="1501">
        <f>IF($AG$7="INCOME TAX DEDUCT FROM SALARY TILL JAN  2025",0,IF(AF36&lt;=12500,0,IF(AI36&gt;AF36,0,ROUNDUP((AF36-AI36)/3,-3))))</f>
        <v>0.0</v>
      </c>
      <c r="AZ36" s="1501">
        <f>IF($AG$7="INCOME TAX DEDUCT FROM SALARY TILL JAN  2025",0,IF(AF36&lt;=12500,0,IF(AI36&gt;AF36,0,ROUNDUP((AF36-AI36)/3,-3))))</f>
        <v>0.0</v>
      </c>
      <c r="BA36" s="1501" t="e">
        <f>IF($AG$7="INCOME TAX DEDUCT FROM SALARY TILL JAN  2025",ROUNDUP((AF36-AI36),-3),IF(AF36&lt;=12500,0,IF(AI36&gt;AF36,0,ROUNDUP((AF36-AI36)/3,-3))))</f>
        <v>#VALUE!</v>
      </c>
      <c r="BB36" s="1503" t="e">
        <f t="shared" si="27"/>
        <v>#VALUE!</v>
      </c>
      <c r="BC36" s="1503" t="e">
        <f>BB36+AI36</f>
        <v>#VALUE!</v>
      </c>
      <c r="BD36" s="1501" t="e">
        <f>BC36-AF36</f>
        <v>#VALUE!</v>
      </c>
      <c r="BE36" s="1504"/>
      <c r="BF36" s="1504"/>
      <c r="BG36" s="1504"/>
    </row>
    <row r="37" spans="8:8" ht="15.0" customHeight="1">
      <c r="B37" s="1488">
        <f t="shared" si="8"/>
        <v>0.0</v>
      </c>
      <c r="C37" s="1488">
        <f t="shared" si="0"/>
        <v>0.0</v>
      </c>
      <c r="D37" s="1489"/>
      <c r="E37" s="1505">
        <v>28.0</v>
      </c>
      <c r="F37" s="1506"/>
      <c r="G37" s="1506"/>
      <c r="H37" s="1507"/>
      <c r="I37" s="1492"/>
      <c r="J37" s="1507"/>
      <c r="K37" s="1507"/>
      <c r="L37" s="1507"/>
      <c r="M37" s="1507"/>
      <c r="N37" s="1492">
        <v>0.0</v>
      </c>
      <c r="O37" s="1493">
        <f t="shared" si="9"/>
        <v>-50000.0</v>
      </c>
      <c r="P37" s="1493">
        <f t="shared" si="10"/>
        <v>-75000.0</v>
      </c>
      <c r="Q37" s="1494">
        <f t="shared" si="11"/>
        <v>0.0</v>
      </c>
      <c r="R37" s="1494">
        <f t="shared" si="12"/>
        <v>0.0</v>
      </c>
      <c r="S37" s="1494">
        <f t="shared" si="13"/>
        <v>0.0</v>
      </c>
      <c r="T37" s="1493" t="str">
        <f t="shared" si="1"/>
        <v/>
      </c>
      <c r="U37" s="1494" t="str">
        <f t="shared" si="14"/>
        <v/>
      </c>
      <c r="V37" s="1495" t="str">
        <f t="shared" si="15"/>
        <v/>
      </c>
      <c r="W37" s="1495" t="str">
        <f t="shared" si="16"/>
        <v/>
      </c>
      <c r="X37" s="1494">
        <f t="shared" si="17"/>
        <v>0.0</v>
      </c>
      <c r="Y37" s="1494">
        <f t="shared" si="18"/>
        <v>0.0</v>
      </c>
      <c r="Z37" s="1494">
        <f t="shared" si="19"/>
        <v>0.0</v>
      </c>
      <c r="AA37" s="1494">
        <f t="shared" si="20"/>
        <v>0.0</v>
      </c>
      <c r="AB37" s="1496">
        <f t="shared" si="21"/>
        <v>0.0</v>
      </c>
      <c r="AC37" s="1497" t="str">
        <f t="shared" si="2"/>
        <v/>
      </c>
      <c r="AD37" s="1494" t="str">
        <f t="shared" si="3"/>
        <v/>
      </c>
      <c r="AE37" s="1495" t="str">
        <f t="shared" si="4"/>
        <v/>
      </c>
      <c r="AF37" s="1495" t="str">
        <f t="shared" si="5"/>
        <v/>
      </c>
      <c r="AG37" s="1508"/>
      <c r="AH37" s="1508"/>
      <c r="AI37" s="1496">
        <f>AG37+AH37</f>
        <v>0.0</v>
      </c>
      <c r="AJ37" s="1496">
        <f>IF(OR(W37=0,AF37=0),0,IF(AN37="OLD TAX REGIME",AS37,AY37))</f>
        <v>0.0</v>
      </c>
      <c r="AK37" s="1496">
        <f>IF(OR(W37=0,AF37=0),0,IF(AN37="OLD TAX REGIME",AT37,AZ37))</f>
        <v>0.0</v>
      </c>
      <c r="AL37" s="1496" t="e">
        <f>IF(OR(W37=0,AF37=0),0,IF(AN37="OLD TAX REGIME",AU37,BA37))</f>
        <v>#VALUE!</v>
      </c>
      <c r="AM37" s="1497" t="e">
        <f t="shared" si="23"/>
        <v>#VALUE!</v>
      </c>
      <c r="AN37" s="1499" t="str">
        <f t="shared" si="24"/>
        <v/>
      </c>
      <c r="AO37" s="1500">
        <f t="shared" si="6"/>
        <v>0.0</v>
      </c>
      <c r="AP37" s="1509">
        <f t="shared" si="7"/>
        <v>0.0</v>
      </c>
      <c r="AQ37" s="1502">
        <f t="shared" si="25"/>
        <v>0.0</v>
      </c>
      <c r="AR37" s="1419"/>
      <c r="AS37" s="1501">
        <f>IF($AG$7="INCOME TAX DEDUCT FROM SALARY TILL JAN  2025",0,IF(W37&lt;=12500,0,IF(AI37&gt;W37,0,ROUNDUP((W37-AI37)/3,-3))))</f>
        <v>0.0</v>
      </c>
      <c r="AT37" s="1501">
        <f>IF($AG$7="INCOME TAX DEDUCT FROM SALARY TILL JAN  2025",0,IF(W37&lt;=12500,0,IF(AI37&gt;V37,0,ROUNDUP((W37-AI37)/3,-3))))</f>
        <v>0.0</v>
      </c>
      <c r="AU37" s="1501" t="e">
        <f>IF($AG$7="INCOME TAX DEDUCT FROM SALARY TILL JAN  2025",ROUNDUP((V37-AI37),-3),IF(V37&lt;=12500,0,IF(AI37&gt;V37,0,ROUNDUP((V37-AI37)/3,-3))))</f>
        <v>#VALUE!</v>
      </c>
      <c r="AV37" s="1503" t="e">
        <f t="shared" si="26"/>
        <v>#VALUE!</v>
      </c>
      <c r="AW37" s="1503" t="e">
        <f>AV37+AI37</f>
        <v>#VALUE!</v>
      </c>
      <c r="AX37" s="1501" t="e">
        <f>AW37-W37</f>
        <v>#VALUE!</v>
      </c>
      <c r="AY37" s="1501">
        <f>IF($AG$7="INCOME TAX DEDUCT FROM SALARY TILL JAN  2025",0,IF(AF37&lt;=12500,0,IF(AI37&gt;AF37,0,ROUNDUP((AF37-AI37)/3,-3))))</f>
        <v>0.0</v>
      </c>
      <c r="AZ37" s="1501">
        <f>IF($AG$7="INCOME TAX DEDUCT FROM SALARY TILL JAN  2025",0,IF(AF37&lt;=12500,0,IF(AI37&gt;AF37,0,ROUNDUP((AF37-AI37)/3,-3))))</f>
        <v>0.0</v>
      </c>
      <c r="BA37" s="1501" t="e">
        <f>IF($AG$7="INCOME TAX DEDUCT FROM SALARY TILL JAN  2025",ROUNDUP((AF37-AI37),-3),IF(AF37&lt;=12500,0,IF(AI37&gt;AF37,0,ROUNDUP((AF37-AI37)/3,-3))))</f>
        <v>#VALUE!</v>
      </c>
      <c r="BB37" s="1503" t="e">
        <f t="shared" si="27"/>
        <v>#VALUE!</v>
      </c>
      <c r="BC37" s="1503" t="e">
        <f>BB37+AI37</f>
        <v>#VALUE!</v>
      </c>
      <c r="BD37" s="1501" t="e">
        <f>BC37-AF37</f>
        <v>#VALUE!</v>
      </c>
      <c r="BE37" s="1504"/>
      <c r="BF37" s="1504"/>
      <c r="BG37" s="1504"/>
    </row>
    <row r="38" spans="8:8" ht="15.0" customHeight="1">
      <c r="B38" s="1488">
        <f t="shared" si="8"/>
        <v>0.0</v>
      </c>
      <c r="C38" s="1488">
        <f t="shared" si="0"/>
        <v>0.0</v>
      </c>
      <c r="D38" s="1489"/>
      <c r="E38" s="1505">
        <v>29.0</v>
      </c>
      <c r="F38" s="1506"/>
      <c r="G38" s="1506"/>
      <c r="H38" s="1507"/>
      <c r="I38" s="1492"/>
      <c r="J38" s="1507"/>
      <c r="K38" s="1507"/>
      <c r="L38" s="1507"/>
      <c r="M38" s="1507"/>
      <c r="N38" s="1492">
        <v>0.0</v>
      </c>
      <c r="O38" s="1493">
        <f t="shared" si="9"/>
        <v>-50000.0</v>
      </c>
      <c r="P38" s="1493">
        <f t="shared" si="10"/>
        <v>-75000.0</v>
      </c>
      <c r="Q38" s="1494">
        <f t="shared" si="11"/>
        <v>0.0</v>
      </c>
      <c r="R38" s="1494">
        <f t="shared" si="12"/>
        <v>0.0</v>
      </c>
      <c r="S38" s="1494">
        <f t="shared" si="13"/>
        <v>0.0</v>
      </c>
      <c r="T38" s="1493" t="str">
        <f t="shared" si="1"/>
        <v/>
      </c>
      <c r="U38" s="1494" t="str">
        <f t="shared" si="14"/>
        <v/>
      </c>
      <c r="V38" s="1495" t="str">
        <f t="shared" si="15"/>
        <v/>
      </c>
      <c r="W38" s="1495" t="str">
        <f t="shared" si="16"/>
        <v/>
      </c>
      <c r="X38" s="1494">
        <f t="shared" si="17"/>
        <v>0.0</v>
      </c>
      <c r="Y38" s="1494">
        <f t="shared" si="18"/>
        <v>0.0</v>
      </c>
      <c r="Z38" s="1494">
        <f t="shared" si="19"/>
        <v>0.0</v>
      </c>
      <c r="AA38" s="1494">
        <f t="shared" si="20"/>
        <v>0.0</v>
      </c>
      <c r="AB38" s="1496">
        <f t="shared" si="21"/>
        <v>0.0</v>
      </c>
      <c r="AC38" s="1497" t="str">
        <f t="shared" si="2"/>
        <v/>
      </c>
      <c r="AD38" s="1494" t="str">
        <f t="shared" si="3"/>
        <v/>
      </c>
      <c r="AE38" s="1495" t="str">
        <f t="shared" si="4"/>
        <v/>
      </c>
      <c r="AF38" s="1495" t="str">
        <f t="shared" si="5"/>
        <v/>
      </c>
      <c r="AG38" s="1508"/>
      <c r="AH38" s="1508"/>
      <c r="AI38" s="1496">
        <f t="shared" si="22"/>
        <v>0.0</v>
      </c>
      <c r="AJ38" s="1496">
        <f>IF(OR(W38=0,AF38=0),0,IF(AN38="OLD TAX REGIME",AS38,AY38))</f>
        <v>0.0</v>
      </c>
      <c r="AK38" s="1496">
        <f>IF(OR(W38=0,AF38=0),0,IF(AN38="OLD TAX REGIME",AT38,AZ38))</f>
        <v>0.0</v>
      </c>
      <c r="AL38" s="1496" t="e">
        <f>IF(OR(W38=0,AF38=0),0,IF(AN38="OLD TAX REGIME",AU38,BA38))</f>
        <v>#VALUE!</v>
      </c>
      <c r="AM38" s="1497" t="e">
        <f t="shared" si="23"/>
        <v>#VALUE!</v>
      </c>
      <c r="AN38" s="1499" t="str">
        <f t="shared" si="24"/>
        <v/>
      </c>
      <c r="AO38" s="1500">
        <f t="shared" si="6"/>
        <v>0.0</v>
      </c>
      <c r="AP38" s="1509">
        <f t="shared" si="7"/>
        <v>0.0</v>
      </c>
      <c r="AQ38" s="1502">
        <f t="shared" si="25"/>
        <v>0.0</v>
      </c>
      <c r="AR38" s="1419"/>
      <c r="AS38" s="1501">
        <f>IF($AG$7="INCOME TAX DEDUCT FROM SALARY TILL JAN  2025",0,IF(W38&lt;=12500,0,IF(AI38&gt;W38,0,ROUNDUP((W38-AI38)/3,-3))))</f>
        <v>0.0</v>
      </c>
      <c r="AT38" s="1501">
        <f>IF($AG$7="INCOME TAX DEDUCT FROM SALARY TILL JAN  2025",0,IF(W38&lt;=12500,0,IF(AI38&gt;V38,0,ROUNDUP((W38-AI38)/3,-3))))</f>
        <v>0.0</v>
      </c>
      <c r="AU38" s="1501" t="e">
        <f>IF($AG$7="INCOME TAX DEDUCT FROM SALARY TILL JAN  2025",ROUNDUP((V38-AI38),-3),IF(V38&lt;=12500,0,IF(AI38&gt;V38,0,ROUNDUP((V38-AI38)/3,-3))))</f>
        <v>#VALUE!</v>
      </c>
      <c r="AV38" s="1503" t="e">
        <f t="shared" si="26"/>
        <v>#VALUE!</v>
      </c>
      <c r="AW38" s="1503" t="e">
        <f>AV38+AI38</f>
        <v>#VALUE!</v>
      </c>
      <c r="AX38" s="1501" t="e">
        <f>AW38-W38</f>
        <v>#VALUE!</v>
      </c>
      <c r="AY38" s="1501">
        <f>IF($AG$7="INCOME TAX DEDUCT FROM SALARY TILL JAN  2025",0,IF(AF38&lt;=12500,0,IF(AI38&gt;AF38,0,ROUNDUP((AF38-AI38)/3,-3))))</f>
        <v>0.0</v>
      </c>
      <c r="AZ38" s="1501">
        <f>IF($AG$7="INCOME TAX DEDUCT FROM SALARY TILL JAN  2025",0,IF(AF38&lt;=12500,0,IF(AI38&gt;AF38,0,ROUNDUP((AF38-AI38)/3,-3))))</f>
        <v>0.0</v>
      </c>
      <c r="BA38" s="1501" t="e">
        <f>IF($AG$7="INCOME TAX DEDUCT FROM SALARY TILL JAN  2025",ROUNDUP((AF38-AI38),-3),IF(AF38&lt;=12500,0,IF(AI38&gt;AF38,0,ROUNDUP((AF38-AI38)/3,-3))))</f>
        <v>#VALUE!</v>
      </c>
      <c r="BB38" s="1503" t="e">
        <f t="shared" si="27"/>
        <v>#VALUE!</v>
      </c>
      <c r="BC38" s="1503" t="e">
        <f>BB38+AI38</f>
        <v>#VALUE!</v>
      </c>
      <c r="BD38" s="1501" t="e">
        <f>BC38-AF38</f>
        <v>#VALUE!</v>
      </c>
      <c r="BE38" s="1504"/>
      <c r="BF38" s="1504"/>
      <c r="BG38" s="1504"/>
    </row>
    <row r="39" spans="8:8" ht="15.0" customHeight="1">
      <c r="B39" s="1488">
        <f t="shared" si="8"/>
        <v>0.0</v>
      </c>
      <c r="C39" s="1488">
        <f t="shared" si="0"/>
        <v>0.0</v>
      </c>
      <c r="D39" s="1489"/>
      <c r="E39" s="1505">
        <v>30.0</v>
      </c>
      <c r="F39" s="1506"/>
      <c r="G39" s="1506"/>
      <c r="H39" s="1507"/>
      <c r="I39" s="1492"/>
      <c r="J39" s="1507"/>
      <c r="K39" s="1507"/>
      <c r="L39" s="1507"/>
      <c r="M39" s="1507"/>
      <c r="N39" s="1492">
        <v>0.0</v>
      </c>
      <c r="O39" s="1493">
        <f t="shared" si="9"/>
        <v>-50000.0</v>
      </c>
      <c r="P39" s="1493">
        <f t="shared" si="10"/>
        <v>-75000.0</v>
      </c>
      <c r="Q39" s="1494">
        <f t="shared" si="11"/>
        <v>0.0</v>
      </c>
      <c r="R39" s="1494">
        <f t="shared" si="12"/>
        <v>0.0</v>
      </c>
      <c r="S39" s="1494">
        <f t="shared" si="13"/>
        <v>0.0</v>
      </c>
      <c r="T39" s="1493" t="str">
        <f t="shared" si="1"/>
        <v/>
      </c>
      <c r="U39" s="1494" t="str">
        <f t="shared" si="14"/>
        <v/>
      </c>
      <c r="V39" s="1495" t="str">
        <f t="shared" si="15"/>
        <v/>
      </c>
      <c r="W39" s="1495" t="str">
        <f t="shared" si="16"/>
        <v/>
      </c>
      <c r="X39" s="1494">
        <f t="shared" si="17"/>
        <v>0.0</v>
      </c>
      <c r="Y39" s="1494">
        <f t="shared" si="18"/>
        <v>0.0</v>
      </c>
      <c r="Z39" s="1494">
        <f t="shared" si="19"/>
        <v>0.0</v>
      </c>
      <c r="AA39" s="1494">
        <f t="shared" si="20"/>
        <v>0.0</v>
      </c>
      <c r="AB39" s="1496">
        <f t="shared" si="21"/>
        <v>0.0</v>
      </c>
      <c r="AC39" s="1497" t="str">
        <f t="shared" si="2"/>
        <v/>
      </c>
      <c r="AD39" s="1494" t="str">
        <f t="shared" si="3"/>
        <v/>
      </c>
      <c r="AE39" s="1495" t="str">
        <f t="shared" si="4"/>
        <v/>
      </c>
      <c r="AF39" s="1495" t="str">
        <f t="shared" si="5"/>
        <v/>
      </c>
      <c r="AG39" s="1508"/>
      <c r="AH39" s="1508"/>
      <c r="AI39" s="1496">
        <f t="shared" si="22"/>
        <v>0.0</v>
      </c>
      <c r="AJ39" s="1496">
        <f>IF(OR(W39=0,AF39=0),0,IF(AN39="OLD TAX REGIME",AS39,AY39))</f>
        <v>0.0</v>
      </c>
      <c r="AK39" s="1496">
        <f>IF(OR(W39=0,AF39=0),0,IF(AN39="OLD TAX REGIME",AT39,AZ39))</f>
        <v>0.0</v>
      </c>
      <c r="AL39" s="1496" t="e">
        <f>IF(OR(W39=0,AF39=0),0,IF(AN39="OLD TAX REGIME",AU39,BA39))</f>
        <v>#VALUE!</v>
      </c>
      <c r="AM39" s="1497" t="e">
        <f t="shared" si="23"/>
        <v>#VALUE!</v>
      </c>
      <c r="AN39" s="1499" t="str">
        <f t="shared" si="24"/>
        <v/>
      </c>
      <c r="AO39" s="1500">
        <f t="shared" si="6"/>
        <v>0.0</v>
      </c>
      <c r="AP39" s="1509">
        <f t="shared" si="7"/>
        <v>0.0</v>
      </c>
      <c r="AQ39" s="1502">
        <f t="shared" si="25"/>
        <v>0.0</v>
      </c>
      <c r="AR39" s="1419"/>
      <c r="AS39" s="1501">
        <f>IF($AG$7="INCOME TAX DEDUCT FROM SALARY TILL JAN  2025",0,IF(W39&lt;=12500,0,IF(AI39&gt;W39,0,ROUNDUP((W39-AI39)/3,-3))))</f>
        <v>0.0</v>
      </c>
      <c r="AT39" s="1501">
        <f>IF($AG$7="INCOME TAX DEDUCT FROM SALARY TILL JAN  2025",0,IF(W39&lt;=12500,0,IF(AI39&gt;V39,0,ROUNDUP((W39-AI39)/3,-3))))</f>
        <v>0.0</v>
      </c>
      <c r="AU39" s="1501" t="e">
        <f>IF($AG$7="INCOME TAX DEDUCT FROM SALARY TILL JAN  2025",ROUNDUP((V39-AI39),-3),IF(V39&lt;=12500,0,IF(AI39&gt;V39,0,ROUNDUP((V39-AI39)/3,-3))))</f>
        <v>#VALUE!</v>
      </c>
      <c r="AV39" s="1503" t="e">
        <f t="shared" si="26"/>
        <v>#VALUE!</v>
      </c>
      <c r="AW39" s="1503" t="e">
        <f>AV39+AI39</f>
        <v>#VALUE!</v>
      </c>
      <c r="AX39" s="1501" t="e">
        <f>AW39-W39</f>
        <v>#VALUE!</v>
      </c>
      <c r="AY39" s="1501">
        <f>IF($AG$7="INCOME TAX DEDUCT FROM SALARY TILL JAN  2025",0,IF(AF39&lt;=12500,0,IF(AI39&gt;AF39,0,ROUNDUP((AF39-AI39)/3,-3))))</f>
        <v>0.0</v>
      </c>
      <c r="AZ39" s="1501">
        <f>IF($AG$7="INCOME TAX DEDUCT FROM SALARY TILL JAN  2025",0,IF(AF39&lt;=12500,0,IF(AI39&gt;AF39,0,ROUNDUP((AF39-AI39)/3,-3))))</f>
        <v>0.0</v>
      </c>
      <c r="BA39" s="1501" t="e">
        <f>IF($AG$7="INCOME TAX DEDUCT FROM SALARY TILL JAN  2025",ROUNDUP((AF39-AI39),-3),IF(AF39&lt;=12500,0,IF(AI39&gt;AF39,0,ROUNDUP((AF39-AI39)/3,-3))))</f>
        <v>#VALUE!</v>
      </c>
      <c r="BB39" s="1503" t="e">
        <f t="shared" si="27"/>
        <v>#VALUE!</v>
      </c>
      <c r="BC39" s="1503" t="e">
        <f>BB39+AI39</f>
        <v>#VALUE!</v>
      </c>
      <c r="BD39" s="1501" t="e">
        <f>BC39-AF39</f>
        <v>#VALUE!</v>
      </c>
      <c r="BE39" s="1504"/>
      <c r="BF39" s="1504"/>
      <c r="BG39" s="1504"/>
    </row>
    <row r="40" spans="8:8" ht="15.0" customHeight="1">
      <c r="B40" s="1488">
        <f t="shared" si="8"/>
        <v>0.0</v>
      </c>
      <c r="C40" s="1488">
        <f t="shared" si="0"/>
        <v>0.0</v>
      </c>
      <c r="D40" s="1489"/>
      <c r="E40" s="1505">
        <v>31.0</v>
      </c>
      <c r="F40" s="1506"/>
      <c r="G40" s="1506"/>
      <c r="H40" s="1507"/>
      <c r="I40" s="1492"/>
      <c r="J40" s="1507"/>
      <c r="K40" s="1507"/>
      <c r="L40" s="1507"/>
      <c r="M40" s="1507"/>
      <c r="N40" s="1492">
        <v>0.0</v>
      </c>
      <c r="O40" s="1493">
        <f t="shared" si="9"/>
        <v>-50000.0</v>
      </c>
      <c r="P40" s="1493">
        <f t="shared" si="10"/>
        <v>-75000.0</v>
      </c>
      <c r="Q40" s="1494">
        <f t="shared" si="11"/>
        <v>0.0</v>
      </c>
      <c r="R40" s="1494">
        <f t="shared" si="12"/>
        <v>0.0</v>
      </c>
      <c r="S40" s="1494">
        <f t="shared" si="13"/>
        <v>0.0</v>
      </c>
      <c r="T40" s="1493" t="str">
        <f t="shared" si="1"/>
        <v/>
      </c>
      <c r="U40" s="1494" t="str">
        <f t="shared" si="14"/>
        <v/>
      </c>
      <c r="V40" s="1495" t="str">
        <f t="shared" si="15"/>
        <v/>
      </c>
      <c r="W40" s="1495" t="str">
        <f t="shared" si="16"/>
        <v/>
      </c>
      <c r="X40" s="1494">
        <f t="shared" si="17"/>
        <v>0.0</v>
      </c>
      <c r="Y40" s="1494">
        <f t="shared" si="18"/>
        <v>0.0</v>
      </c>
      <c r="Z40" s="1494">
        <f t="shared" si="19"/>
        <v>0.0</v>
      </c>
      <c r="AA40" s="1494">
        <f t="shared" si="20"/>
        <v>0.0</v>
      </c>
      <c r="AB40" s="1496">
        <f t="shared" si="21"/>
        <v>0.0</v>
      </c>
      <c r="AC40" s="1497" t="str">
        <f t="shared" si="2"/>
        <v/>
      </c>
      <c r="AD40" s="1494" t="str">
        <f t="shared" si="3"/>
        <v/>
      </c>
      <c r="AE40" s="1495" t="str">
        <f t="shared" si="4"/>
        <v/>
      </c>
      <c r="AF40" s="1495" t="str">
        <f t="shared" si="5"/>
        <v/>
      </c>
      <c r="AG40" s="1508"/>
      <c r="AH40" s="1508"/>
      <c r="AI40" s="1496">
        <f t="shared" si="22"/>
        <v>0.0</v>
      </c>
      <c r="AJ40" s="1496">
        <f>IF(OR(W40=0,AF40=0),0,IF(AN40="OLD TAX REGIME",AS40,AY40))</f>
        <v>0.0</v>
      </c>
      <c r="AK40" s="1496">
        <f>IF(OR(W40=0,AF40=0),0,IF(AN40="OLD TAX REGIME",AT40,AZ40))</f>
        <v>0.0</v>
      </c>
      <c r="AL40" s="1496" t="e">
        <f>IF(OR(W40=0,AF40=0),0,IF(AN40="OLD TAX REGIME",AU40,BA40))</f>
        <v>#VALUE!</v>
      </c>
      <c r="AM40" s="1497" t="e">
        <f t="shared" si="23"/>
        <v>#VALUE!</v>
      </c>
      <c r="AN40" s="1499" t="str">
        <f t="shared" si="24"/>
        <v/>
      </c>
      <c r="AO40" s="1500">
        <f t="shared" si="6"/>
        <v>0.0</v>
      </c>
      <c r="AP40" s="1509">
        <f t="shared" si="7"/>
        <v>0.0</v>
      </c>
      <c r="AQ40" s="1502">
        <f t="shared" si="25"/>
        <v>0.0</v>
      </c>
      <c r="AR40" s="1419"/>
      <c r="AS40" s="1501">
        <f>IF($AG$7="INCOME TAX DEDUCT FROM SALARY TILL JAN  2025",0,IF(W40&lt;=12500,0,IF(AI40&gt;W40,0,ROUNDUP((W40-AI40)/3,-3))))</f>
        <v>0.0</v>
      </c>
      <c r="AT40" s="1501">
        <f>IF($AG$7="INCOME TAX DEDUCT FROM SALARY TILL JAN  2025",0,IF(W40&lt;=12500,0,IF(AI40&gt;V40,0,ROUNDUP((W40-AI40)/3,-3))))</f>
        <v>0.0</v>
      </c>
      <c r="AU40" s="1501" t="e">
        <f>IF($AG$7="INCOME TAX DEDUCT FROM SALARY TILL JAN  2025",ROUNDUP((V40-AI40),-3),IF(V40&lt;=12500,0,IF(AI40&gt;V40,0,ROUNDUP((V40-AI40)/3,-3))))</f>
        <v>#VALUE!</v>
      </c>
      <c r="AV40" s="1503" t="e">
        <f t="shared" si="26"/>
        <v>#VALUE!</v>
      </c>
      <c r="AW40" s="1503" t="e">
        <f>AV40+AI40</f>
        <v>#VALUE!</v>
      </c>
      <c r="AX40" s="1501" t="e">
        <f>AW40-W40</f>
        <v>#VALUE!</v>
      </c>
      <c r="AY40" s="1501">
        <f>IF($AG$7="INCOME TAX DEDUCT FROM SALARY TILL JAN  2025",0,IF(AF40&lt;=12500,0,IF(AI40&gt;AF40,0,ROUNDUP((AF40-AI40)/3,-3))))</f>
        <v>0.0</v>
      </c>
      <c r="AZ40" s="1501">
        <f>IF($AG$7="INCOME TAX DEDUCT FROM SALARY TILL JAN  2025",0,IF(AF40&lt;=12500,0,IF(AI40&gt;AF40,0,ROUNDUP((AF40-AI40)/3,-3))))</f>
        <v>0.0</v>
      </c>
      <c r="BA40" s="1501" t="e">
        <f>IF($AG$7="INCOME TAX DEDUCT FROM SALARY TILL JAN  2025",ROUNDUP((AF40-AI40),-3),IF(AF40&lt;=12500,0,IF(AI40&gt;AF40,0,ROUNDUP((AF40-AI40)/3,-3))))</f>
        <v>#VALUE!</v>
      </c>
      <c r="BB40" s="1503" t="e">
        <f t="shared" si="27"/>
        <v>#VALUE!</v>
      </c>
      <c r="BC40" s="1503" t="e">
        <f>BB40+AI40</f>
        <v>#VALUE!</v>
      </c>
      <c r="BD40" s="1501" t="e">
        <f>BC40-AF40</f>
        <v>#VALUE!</v>
      </c>
      <c r="BE40" s="1504"/>
      <c r="BF40" s="1504"/>
      <c r="BG40" s="1504"/>
    </row>
    <row r="41" spans="8:8" ht="15.75">
      <c r="B41" s="1488">
        <f t="shared" si="8"/>
        <v>0.0</v>
      </c>
      <c r="C41" s="1488">
        <f t="shared" si="0"/>
        <v>0.0</v>
      </c>
      <c r="D41" s="1489"/>
      <c r="E41" s="1505">
        <v>32.0</v>
      </c>
      <c r="F41" s="1506"/>
      <c r="G41" s="1506"/>
      <c r="H41" s="1507"/>
      <c r="I41" s="1492"/>
      <c r="J41" s="1507"/>
      <c r="K41" s="1507"/>
      <c r="L41" s="1507"/>
      <c r="M41" s="1507"/>
      <c r="N41" s="1492">
        <v>0.0</v>
      </c>
      <c r="O41" s="1493">
        <f t="shared" si="9"/>
        <v>-50000.0</v>
      </c>
      <c r="P41" s="1493">
        <f t="shared" si="10"/>
        <v>-75000.0</v>
      </c>
      <c r="Q41" s="1494">
        <f t="shared" si="11"/>
        <v>0.0</v>
      </c>
      <c r="R41" s="1494">
        <f t="shared" si="12"/>
        <v>0.0</v>
      </c>
      <c r="S41" s="1494">
        <f t="shared" si="13"/>
        <v>0.0</v>
      </c>
      <c r="T41" s="1493" t="str">
        <f t="shared" si="1"/>
        <v/>
      </c>
      <c r="U41" s="1494" t="str">
        <f t="shared" si="14"/>
        <v/>
      </c>
      <c r="V41" s="1495" t="str">
        <f t="shared" si="15"/>
        <v/>
      </c>
      <c r="W41" s="1495" t="str">
        <f t="shared" si="16"/>
        <v/>
      </c>
      <c r="X41" s="1494">
        <f t="shared" si="17"/>
        <v>0.0</v>
      </c>
      <c r="Y41" s="1494">
        <f t="shared" si="18"/>
        <v>0.0</v>
      </c>
      <c r="Z41" s="1494">
        <f t="shared" si="19"/>
        <v>0.0</v>
      </c>
      <c r="AA41" s="1494">
        <f t="shared" si="20"/>
        <v>0.0</v>
      </c>
      <c r="AB41" s="1496">
        <f t="shared" si="21"/>
        <v>0.0</v>
      </c>
      <c r="AC41" s="1497" t="str">
        <f t="shared" si="2"/>
        <v/>
      </c>
      <c r="AD41" s="1494" t="str">
        <f t="shared" si="3"/>
        <v/>
      </c>
      <c r="AE41" s="1495" t="str">
        <f t="shared" si="4"/>
        <v/>
      </c>
      <c r="AF41" s="1495" t="str">
        <f t="shared" si="5"/>
        <v/>
      </c>
      <c r="AG41" s="1508"/>
      <c r="AH41" s="1508"/>
      <c r="AI41" s="1496">
        <f t="shared" si="22"/>
        <v>0.0</v>
      </c>
      <c r="AJ41" s="1496">
        <f>IF(OR(W41=0,AF41=0),0,IF(AN41="OLD TAX REGIME",AS41,AY41))</f>
        <v>0.0</v>
      </c>
      <c r="AK41" s="1496">
        <f>IF(OR(W41=0,AF41=0),0,IF(AN41="OLD TAX REGIME",AT41,AZ41))</f>
        <v>0.0</v>
      </c>
      <c r="AL41" s="1496" t="e">
        <f>IF(OR(W41=0,AF41=0),0,IF(AN41="OLD TAX REGIME",AU41,BA41))</f>
        <v>#VALUE!</v>
      </c>
      <c r="AM41" s="1497" t="e">
        <f t="shared" si="23"/>
        <v>#VALUE!</v>
      </c>
      <c r="AN41" s="1499" t="str">
        <f t="shared" si="24"/>
        <v/>
      </c>
      <c r="AO41" s="1500">
        <f t="shared" si="6"/>
        <v>0.0</v>
      </c>
      <c r="AP41" s="1509">
        <f t="shared" si="7"/>
        <v>0.0</v>
      </c>
      <c r="AQ41" s="1502">
        <f t="shared" si="25"/>
        <v>0.0</v>
      </c>
      <c r="AR41" s="1419"/>
      <c r="AS41" s="1501">
        <f>IF($AG$7="INCOME TAX DEDUCT FROM SALARY TILL JAN  2025",0,IF(W41&lt;=12500,0,IF(AI41&gt;W41,0,ROUNDUP((W41-AI41)/3,-3))))</f>
        <v>0.0</v>
      </c>
      <c r="AT41" s="1501">
        <f>IF($AG$7="INCOME TAX DEDUCT FROM SALARY TILL JAN  2025",0,IF(W41&lt;=12500,0,IF(AI41&gt;V41,0,ROUNDUP((W41-AI41)/3,-3))))</f>
        <v>0.0</v>
      </c>
      <c r="AU41" s="1501" t="e">
        <f>IF($AG$7="INCOME TAX DEDUCT FROM SALARY TILL JAN  2025",ROUNDUP((V41-AI41),-3),IF(V41&lt;=12500,0,IF(AI41&gt;V41,0,ROUNDUP((V41-AI41)/3,-3))))</f>
        <v>#VALUE!</v>
      </c>
      <c r="AV41" s="1503" t="e">
        <f t="shared" si="26"/>
        <v>#VALUE!</v>
      </c>
      <c r="AW41" s="1503" t="e">
        <f>AV41+AI41</f>
        <v>#VALUE!</v>
      </c>
      <c r="AX41" s="1501" t="e">
        <f>AW41-W41</f>
        <v>#VALUE!</v>
      </c>
      <c r="AY41" s="1501">
        <f>IF($AG$7="INCOME TAX DEDUCT FROM SALARY TILL JAN  2025",0,IF(AF41&lt;=12500,0,IF(AI41&gt;AF41,0,ROUNDUP((AF41-AI41)/3,-3))))</f>
        <v>0.0</v>
      </c>
      <c r="AZ41" s="1501">
        <f>IF($AG$7="INCOME TAX DEDUCT FROM SALARY TILL JAN  2025",0,IF(AF41&lt;=12500,0,IF(AI41&gt;AF41,0,ROUNDUP((AF41-AI41)/3,-3))))</f>
        <v>0.0</v>
      </c>
      <c r="BA41" s="1501" t="e">
        <f>IF($AG$7="INCOME TAX DEDUCT FROM SALARY TILL JAN  2025",ROUNDUP((AF41-AI41),-3),IF(AF41&lt;=12500,0,IF(AI41&gt;AF41,0,ROUNDUP((AF41-AI41)/3,-3))))</f>
        <v>#VALUE!</v>
      </c>
      <c r="BB41" s="1503" t="e">
        <f t="shared" si="27"/>
        <v>#VALUE!</v>
      </c>
      <c r="BC41" s="1503" t="e">
        <f>BB41+AI41</f>
        <v>#VALUE!</v>
      </c>
      <c r="BD41" s="1501" t="e">
        <f>BC41-AF41</f>
        <v>#VALUE!</v>
      </c>
      <c r="BE41" s="1504"/>
      <c r="BF41" s="1504"/>
      <c r="BG41" s="1504"/>
    </row>
    <row r="42" spans="8:8" ht="15.75">
      <c r="B42" s="1488">
        <f t="shared" si="8"/>
        <v>0.0</v>
      </c>
      <c r="C42" s="1488">
        <f t="shared" si="0"/>
        <v>0.0</v>
      </c>
      <c r="D42" s="1489"/>
      <c r="E42" s="1505">
        <v>33.0</v>
      </c>
      <c r="F42" s="1506"/>
      <c r="G42" s="1506"/>
      <c r="H42" s="1507"/>
      <c r="I42" s="1492"/>
      <c r="J42" s="1507"/>
      <c r="K42" s="1507"/>
      <c r="L42" s="1507"/>
      <c r="M42" s="1507"/>
      <c r="N42" s="1492">
        <v>0.0</v>
      </c>
      <c r="O42" s="1493">
        <f t="shared" si="9"/>
        <v>-50000.0</v>
      </c>
      <c r="P42" s="1493">
        <f t="shared" si="10"/>
        <v>-75000.0</v>
      </c>
      <c r="Q42" s="1494">
        <f t="shared" si="11"/>
        <v>0.0</v>
      </c>
      <c r="R42" s="1494">
        <f t="shared" si="12"/>
        <v>0.0</v>
      </c>
      <c r="S42" s="1494">
        <f t="shared" si="13"/>
        <v>0.0</v>
      </c>
      <c r="T42" s="1493" t="str">
        <f t="shared" si="1"/>
        <v/>
      </c>
      <c r="U42" s="1494" t="str">
        <f t="shared" si="14"/>
        <v/>
      </c>
      <c r="V42" s="1495" t="str">
        <f t="shared" si="15"/>
        <v/>
      </c>
      <c r="W42" s="1495" t="str">
        <f t="shared" si="16"/>
        <v/>
      </c>
      <c r="X42" s="1494">
        <f t="shared" si="17"/>
        <v>0.0</v>
      </c>
      <c r="Y42" s="1494">
        <f t="shared" si="18"/>
        <v>0.0</v>
      </c>
      <c r="Z42" s="1494">
        <f t="shared" si="19"/>
        <v>0.0</v>
      </c>
      <c r="AA42" s="1494">
        <f t="shared" si="20"/>
        <v>0.0</v>
      </c>
      <c r="AB42" s="1496">
        <f t="shared" si="21"/>
        <v>0.0</v>
      </c>
      <c r="AC42" s="1497" t="str">
        <f t="shared" si="2"/>
        <v/>
      </c>
      <c r="AD42" s="1494" t="str">
        <f t="shared" si="3"/>
        <v/>
      </c>
      <c r="AE42" s="1495" t="str">
        <f t="shared" si="4"/>
        <v/>
      </c>
      <c r="AF42" s="1495" t="str">
        <f t="shared" si="5"/>
        <v/>
      </c>
      <c r="AG42" s="1508"/>
      <c r="AH42" s="1508"/>
      <c r="AI42" s="1496">
        <f t="shared" si="22"/>
        <v>0.0</v>
      </c>
      <c r="AJ42" s="1496">
        <f>IF(OR(W42=0,AF42=0),0,IF(AN42="OLD TAX REGIME",AS42,AY42))</f>
        <v>0.0</v>
      </c>
      <c r="AK42" s="1496">
        <f>IF(OR(W42=0,AF42=0),0,IF(AN42="OLD TAX REGIME",AT42,AZ42))</f>
        <v>0.0</v>
      </c>
      <c r="AL42" s="1496" t="e">
        <f>IF(OR(W42=0,AF42=0),0,IF(AN42="OLD TAX REGIME",AU42,BA42))</f>
        <v>#VALUE!</v>
      </c>
      <c r="AM42" s="1497" t="e">
        <f t="shared" si="23"/>
        <v>#VALUE!</v>
      </c>
      <c r="AN42" s="1499" t="str">
        <f t="shared" si="24"/>
        <v/>
      </c>
      <c r="AO42" s="1500">
        <f t="shared" si="6"/>
        <v>0.0</v>
      </c>
      <c r="AP42" s="1509">
        <f t="shared" si="7"/>
        <v>0.0</v>
      </c>
      <c r="AQ42" s="1502">
        <f t="shared" si="25"/>
        <v>0.0</v>
      </c>
      <c r="AR42" s="1419"/>
      <c r="AS42" s="1501">
        <f>IF($AG$7="INCOME TAX DEDUCT FROM SALARY TILL JAN  2025",0,IF(W42&lt;=12500,0,IF(AI42&gt;W42,0,ROUNDUP((W42-AI42)/3,-3))))</f>
        <v>0.0</v>
      </c>
      <c r="AT42" s="1501">
        <f>IF($AG$7="INCOME TAX DEDUCT FROM SALARY TILL JAN  2025",0,IF(W42&lt;=12500,0,IF(AI42&gt;V42,0,ROUNDUP((W42-AI42)/3,-3))))</f>
        <v>0.0</v>
      </c>
      <c r="AU42" s="1501" t="e">
        <f>IF($AG$7="INCOME TAX DEDUCT FROM SALARY TILL JAN  2025",ROUNDUP((V42-AI42),-3),IF(V42&lt;=12500,0,IF(AI42&gt;V42,0,ROUNDUP((V42-AI42)/3,-3))))</f>
        <v>#VALUE!</v>
      </c>
      <c r="AV42" s="1503" t="e">
        <f t="shared" si="26"/>
        <v>#VALUE!</v>
      </c>
      <c r="AW42" s="1503" t="e">
        <f>AV42+AI42</f>
        <v>#VALUE!</v>
      </c>
      <c r="AX42" s="1501" t="e">
        <f>AW42-W42</f>
        <v>#VALUE!</v>
      </c>
      <c r="AY42" s="1501">
        <f>IF($AG$7="INCOME TAX DEDUCT FROM SALARY TILL JAN  2025",0,IF(AF42&lt;=12500,0,IF(AI42&gt;AF42,0,ROUNDUP((AF42-AI42)/3,-3))))</f>
        <v>0.0</v>
      </c>
      <c r="AZ42" s="1501">
        <f>IF($AG$7="INCOME TAX DEDUCT FROM SALARY TILL JAN  2025",0,IF(AF42&lt;=12500,0,IF(AI42&gt;AF42,0,ROUNDUP((AF42-AI42)/3,-3))))</f>
        <v>0.0</v>
      </c>
      <c r="BA42" s="1501" t="e">
        <f>IF($AG$7="INCOME TAX DEDUCT FROM SALARY TILL JAN  2025",ROUNDUP((AF42-AI42),-3),IF(AF42&lt;=12500,0,IF(AI42&gt;AF42,0,ROUNDUP((AF42-AI42)/3,-3))))</f>
        <v>#VALUE!</v>
      </c>
      <c r="BB42" s="1503" t="e">
        <f t="shared" si="27"/>
        <v>#VALUE!</v>
      </c>
      <c r="BC42" s="1503" t="e">
        <f>BB42+AI42</f>
        <v>#VALUE!</v>
      </c>
      <c r="BD42" s="1501" t="e">
        <f>BC42-AF42</f>
        <v>#VALUE!</v>
      </c>
      <c r="BE42" s="1504"/>
      <c r="BF42" s="1504"/>
      <c r="BG42" s="1504"/>
    </row>
    <row r="43" spans="8:8" ht="15.75">
      <c r="B43" s="1488">
        <f t="shared" si="8"/>
        <v>0.0</v>
      </c>
      <c r="C43" s="1488">
        <f t="shared" si="0"/>
        <v>0.0</v>
      </c>
      <c r="D43" s="1489"/>
      <c r="E43" s="1505">
        <v>34.0</v>
      </c>
      <c r="F43" s="1506"/>
      <c r="G43" s="1506"/>
      <c r="H43" s="1507"/>
      <c r="I43" s="1492"/>
      <c r="J43" s="1507"/>
      <c r="K43" s="1507"/>
      <c r="L43" s="1507"/>
      <c r="M43" s="1507"/>
      <c r="N43" s="1492">
        <v>0.0</v>
      </c>
      <c r="O43" s="1493">
        <f t="shared" si="9"/>
        <v>-50000.0</v>
      </c>
      <c r="P43" s="1493">
        <f t="shared" si="10"/>
        <v>-75000.0</v>
      </c>
      <c r="Q43" s="1494">
        <f t="shared" si="11"/>
        <v>0.0</v>
      </c>
      <c r="R43" s="1494">
        <f t="shared" si="12"/>
        <v>0.0</v>
      </c>
      <c r="S43" s="1494">
        <f t="shared" si="13"/>
        <v>0.0</v>
      </c>
      <c r="T43" s="1493" t="str">
        <f t="shared" si="1"/>
        <v/>
      </c>
      <c r="U43" s="1494" t="str">
        <f t="shared" si="14"/>
        <v/>
      </c>
      <c r="V43" s="1495" t="str">
        <f t="shared" si="15"/>
        <v/>
      </c>
      <c r="W43" s="1495" t="str">
        <f t="shared" si="16"/>
        <v/>
      </c>
      <c r="X43" s="1494">
        <f t="shared" si="17"/>
        <v>0.0</v>
      </c>
      <c r="Y43" s="1494">
        <f t="shared" si="18"/>
        <v>0.0</v>
      </c>
      <c r="Z43" s="1494">
        <f t="shared" si="19"/>
        <v>0.0</v>
      </c>
      <c r="AA43" s="1494">
        <f t="shared" si="20"/>
        <v>0.0</v>
      </c>
      <c r="AB43" s="1496">
        <f t="shared" si="21"/>
        <v>0.0</v>
      </c>
      <c r="AC43" s="1497" t="str">
        <f t="shared" si="2"/>
        <v/>
      </c>
      <c r="AD43" s="1494" t="str">
        <f t="shared" si="3"/>
        <v/>
      </c>
      <c r="AE43" s="1495" t="str">
        <f t="shared" si="4"/>
        <v/>
      </c>
      <c r="AF43" s="1495" t="str">
        <f t="shared" si="5"/>
        <v/>
      </c>
      <c r="AG43" s="1508"/>
      <c r="AH43" s="1508"/>
      <c r="AI43" s="1496">
        <f t="shared" si="22"/>
        <v>0.0</v>
      </c>
      <c r="AJ43" s="1496">
        <f>IF(OR(W43=0,AF43=0),0,IF(AN43="OLD TAX REGIME",AS43,AY43))</f>
        <v>0.0</v>
      </c>
      <c r="AK43" s="1496">
        <f>IF(OR(W43=0,AF43=0),0,IF(AN43="OLD TAX REGIME",AT43,AZ43))</f>
        <v>0.0</v>
      </c>
      <c r="AL43" s="1496" t="e">
        <f>IF(OR(W43=0,AF43=0),0,IF(AN43="OLD TAX REGIME",AU43,BA43))</f>
        <v>#VALUE!</v>
      </c>
      <c r="AM43" s="1497" t="e">
        <f t="shared" si="23"/>
        <v>#VALUE!</v>
      </c>
      <c r="AN43" s="1499" t="str">
        <f t="shared" si="24"/>
        <v/>
      </c>
      <c r="AO43" s="1500">
        <f t="shared" si="6"/>
        <v>0.0</v>
      </c>
      <c r="AP43" s="1509">
        <f t="shared" si="7"/>
        <v>0.0</v>
      </c>
      <c r="AQ43" s="1502">
        <f t="shared" si="25"/>
        <v>0.0</v>
      </c>
      <c r="AR43" s="1419"/>
      <c r="AS43" s="1501">
        <f>IF($AG$7="INCOME TAX DEDUCT FROM SALARY TILL JAN  2025",0,IF(W43&lt;=12500,0,IF(AI43&gt;W43,0,ROUNDUP((W43-AI43)/3,-3))))</f>
        <v>0.0</v>
      </c>
      <c r="AT43" s="1501">
        <f>IF($AG$7="INCOME TAX DEDUCT FROM SALARY TILL JAN  2025",0,IF(W43&lt;=12500,0,IF(AI43&gt;V43,0,ROUNDUP((W43-AI43)/3,-3))))</f>
        <v>0.0</v>
      </c>
      <c r="AU43" s="1501" t="e">
        <f>IF($AG$7="INCOME TAX DEDUCT FROM SALARY TILL JAN  2025",ROUNDUP((V43-AI43),-3),IF(V43&lt;=12500,0,IF(AI43&gt;V43,0,ROUNDUP((V43-AI43)/3,-3))))</f>
        <v>#VALUE!</v>
      </c>
      <c r="AV43" s="1503" t="e">
        <f t="shared" si="26"/>
        <v>#VALUE!</v>
      </c>
      <c r="AW43" s="1503" t="e">
        <f>AV43+AI43</f>
        <v>#VALUE!</v>
      </c>
      <c r="AX43" s="1501" t="e">
        <f>AW43-W43</f>
        <v>#VALUE!</v>
      </c>
      <c r="AY43" s="1501">
        <f>IF($AG$7="INCOME TAX DEDUCT FROM SALARY TILL JAN  2025",0,IF(AF43&lt;=12500,0,IF(AI43&gt;AF43,0,ROUNDUP((AF43-AI43)/3,-3))))</f>
        <v>0.0</v>
      </c>
      <c r="AZ43" s="1501">
        <f>IF($AG$7="INCOME TAX DEDUCT FROM SALARY TILL JAN  2025",0,IF(AF43&lt;=12500,0,IF(AI43&gt;AF43,0,ROUNDUP((AF43-AI43)/3,-3))))</f>
        <v>0.0</v>
      </c>
      <c r="BA43" s="1501" t="e">
        <f>IF($AG$7="INCOME TAX DEDUCT FROM SALARY TILL JAN  2025",ROUNDUP((AF43-AI43),-3),IF(AF43&lt;=12500,0,IF(AI43&gt;AF43,0,ROUNDUP((AF43-AI43)/3,-3))))</f>
        <v>#VALUE!</v>
      </c>
      <c r="BB43" s="1503" t="e">
        <f t="shared" si="27"/>
        <v>#VALUE!</v>
      </c>
      <c r="BC43" s="1503" t="e">
        <f>BB43+AI43</f>
        <v>#VALUE!</v>
      </c>
      <c r="BD43" s="1501" t="e">
        <f>BC43-AF43</f>
        <v>#VALUE!</v>
      </c>
      <c r="BE43" s="1504"/>
      <c r="BF43" s="1504"/>
      <c r="BG43" s="1504"/>
    </row>
    <row r="44" spans="8:8" ht="15.0" customHeight="1">
      <c r="B44" s="1488">
        <f t="shared" si="8"/>
        <v>0.0</v>
      </c>
      <c r="C44" s="1488">
        <f t="shared" si="0"/>
        <v>0.0</v>
      </c>
      <c r="D44" s="1489"/>
      <c r="E44" s="1505">
        <v>35.0</v>
      </c>
      <c r="F44" s="1506"/>
      <c r="G44" s="1506"/>
      <c r="H44" s="1507"/>
      <c r="I44" s="1492"/>
      <c r="J44" s="1507"/>
      <c r="K44" s="1507"/>
      <c r="L44" s="1507"/>
      <c r="M44" s="1507"/>
      <c r="N44" s="1492">
        <v>0.0</v>
      </c>
      <c r="O44" s="1493">
        <f t="shared" si="9"/>
        <v>-50000.0</v>
      </c>
      <c r="P44" s="1493">
        <f t="shared" si="10"/>
        <v>-75000.0</v>
      </c>
      <c r="Q44" s="1494">
        <f t="shared" si="11"/>
        <v>0.0</v>
      </c>
      <c r="R44" s="1494">
        <f t="shared" si="12"/>
        <v>0.0</v>
      </c>
      <c r="S44" s="1494">
        <f t="shared" si="13"/>
        <v>0.0</v>
      </c>
      <c r="T44" s="1493" t="str">
        <f t="shared" si="1"/>
        <v/>
      </c>
      <c r="U44" s="1494" t="str">
        <f t="shared" si="14"/>
        <v/>
      </c>
      <c r="V44" s="1495" t="str">
        <f t="shared" si="15"/>
        <v/>
      </c>
      <c r="W44" s="1495" t="str">
        <f t="shared" si="16"/>
        <v/>
      </c>
      <c r="X44" s="1494">
        <f t="shared" si="17"/>
        <v>0.0</v>
      </c>
      <c r="Y44" s="1494">
        <f t="shared" si="18"/>
        <v>0.0</v>
      </c>
      <c r="Z44" s="1494">
        <f t="shared" si="19"/>
        <v>0.0</v>
      </c>
      <c r="AA44" s="1494">
        <f t="shared" si="20"/>
        <v>0.0</v>
      </c>
      <c r="AB44" s="1496">
        <f t="shared" si="21"/>
        <v>0.0</v>
      </c>
      <c r="AC44" s="1497" t="str">
        <f t="shared" si="2"/>
        <v/>
      </c>
      <c r="AD44" s="1494" t="str">
        <f t="shared" si="3"/>
        <v/>
      </c>
      <c r="AE44" s="1495" t="str">
        <f t="shared" si="4"/>
        <v/>
      </c>
      <c r="AF44" s="1495" t="str">
        <f t="shared" si="5"/>
        <v/>
      </c>
      <c r="AG44" s="1508"/>
      <c r="AH44" s="1508"/>
      <c r="AI44" s="1496">
        <f t="shared" si="22"/>
        <v>0.0</v>
      </c>
      <c r="AJ44" s="1496">
        <f>IF(OR(W44=0,AF44=0),0,IF(AN44="OLD TAX REGIME",AS44,AY44))</f>
        <v>0.0</v>
      </c>
      <c r="AK44" s="1496">
        <f>IF(OR(W44=0,AF44=0),0,IF(AN44="OLD TAX REGIME",AT44,AZ44))</f>
        <v>0.0</v>
      </c>
      <c r="AL44" s="1496" t="e">
        <f>IF(OR(W44=0,AF44=0),0,IF(AN44="OLD TAX REGIME",AU44,BA44))</f>
        <v>#VALUE!</v>
      </c>
      <c r="AM44" s="1497" t="e">
        <f t="shared" si="23"/>
        <v>#VALUE!</v>
      </c>
      <c r="AN44" s="1499" t="str">
        <f t="shared" si="24"/>
        <v/>
      </c>
      <c r="AO44" s="1500">
        <f t="shared" si="6"/>
        <v>0.0</v>
      </c>
      <c r="AP44" s="1509">
        <f t="shared" si="7"/>
        <v>0.0</v>
      </c>
      <c r="AQ44" s="1502">
        <f t="shared" si="25"/>
        <v>0.0</v>
      </c>
      <c r="AR44" s="1419"/>
      <c r="AS44" s="1501">
        <f>IF($AG$7="INCOME TAX DEDUCT FROM SALARY TILL JAN  2025",0,IF(W44&lt;=12500,0,IF(AI44&gt;W44,0,ROUNDUP((W44-AI44)/3,-3))))</f>
        <v>0.0</v>
      </c>
      <c r="AT44" s="1501">
        <f>IF($AG$7="INCOME TAX DEDUCT FROM SALARY TILL JAN  2025",0,IF(W44&lt;=12500,0,IF(AI44&gt;V44,0,ROUNDUP((W44-AI44)/3,-3))))</f>
        <v>0.0</v>
      </c>
      <c r="AU44" s="1501" t="e">
        <f>IF($AG$7="INCOME TAX DEDUCT FROM SALARY TILL JAN  2025",ROUNDUP((V44-AI44),-3),IF(V44&lt;=12500,0,IF(AI44&gt;V44,0,ROUNDUP((V44-AI44)/3,-3))))</f>
        <v>#VALUE!</v>
      </c>
      <c r="AV44" s="1503" t="e">
        <f t="shared" si="26"/>
        <v>#VALUE!</v>
      </c>
      <c r="AW44" s="1503" t="e">
        <f>AV44+AI44</f>
        <v>#VALUE!</v>
      </c>
      <c r="AX44" s="1501" t="e">
        <f>AW44-W44</f>
        <v>#VALUE!</v>
      </c>
      <c r="AY44" s="1501">
        <f>IF($AG$7="INCOME TAX DEDUCT FROM SALARY TILL JAN  2025",0,IF(AF44&lt;=12500,0,IF(AI44&gt;AF44,0,ROUNDUP((AF44-AI44)/3,-3))))</f>
        <v>0.0</v>
      </c>
      <c r="AZ44" s="1501">
        <f>IF($AG$7="INCOME TAX DEDUCT FROM SALARY TILL JAN  2025",0,IF(AF44&lt;=12500,0,IF(AI44&gt;AF44,0,ROUNDUP((AF44-AI44)/3,-3))))</f>
        <v>0.0</v>
      </c>
      <c r="BA44" s="1501" t="e">
        <f>IF($AG$7="INCOME TAX DEDUCT FROM SALARY TILL JAN  2025",ROUNDUP((AF44-AI44),-3),IF(AF44&lt;=12500,0,IF(AI44&gt;AF44,0,ROUNDUP((AF44-AI44)/3,-3))))</f>
        <v>#VALUE!</v>
      </c>
      <c r="BB44" s="1503" t="e">
        <f t="shared" si="27"/>
        <v>#VALUE!</v>
      </c>
      <c r="BC44" s="1503" t="e">
        <f>BB44+AI44</f>
        <v>#VALUE!</v>
      </c>
      <c r="BD44" s="1501" t="e">
        <f>BC44-AF44</f>
        <v>#VALUE!</v>
      </c>
      <c r="BE44" s="1504"/>
      <c r="BF44" s="1504"/>
      <c r="BG44" s="1504"/>
    </row>
    <row r="45" spans="8:8" ht="15.0" customHeight="1">
      <c r="B45" s="1488">
        <f t="shared" si="8"/>
        <v>0.0</v>
      </c>
      <c r="C45" s="1488">
        <f t="shared" si="0"/>
        <v>0.0</v>
      </c>
      <c r="D45" s="1489"/>
      <c r="E45" s="1505">
        <v>36.0</v>
      </c>
      <c r="F45" s="1506"/>
      <c r="G45" s="1506"/>
      <c r="H45" s="1507"/>
      <c r="I45" s="1492"/>
      <c r="J45" s="1507"/>
      <c r="K45" s="1507"/>
      <c r="L45" s="1507"/>
      <c r="M45" s="1507"/>
      <c r="N45" s="1492">
        <v>0.0</v>
      </c>
      <c r="O45" s="1493">
        <f t="shared" si="9"/>
        <v>-50000.0</v>
      </c>
      <c r="P45" s="1493">
        <f t="shared" si="10"/>
        <v>-75000.0</v>
      </c>
      <c r="Q45" s="1494">
        <f t="shared" si="11"/>
        <v>0.0</v>
      </c>
      <c r="R45" s="1494">
        <f t="shared" si="12"/>
        <v>0.0</v>
      </c>
      <c r="S45" s="1494">
        <f t="shared" si="13"/>
        <v>0.0</v>
      </c>
      <c r="T45" s="1493" t="str">
        <f t="shared" si="1"/>
        <v/>
      </c>
      <c r="U45" s="1494" t="str">
        <f t="shared" si="14"/>
        <v/>
      </c>
      <c r="V45" s="1495" t="str">
        <f t="shared" si="15"/>
        <v/>
      </c>
      <c r="W45" s="1495" t="str">
        <f t="shared" si="16"/>
        <v/>
      </c>
      <c r="X45" s="1494">
        <f t="shared" si="17"/>
        <v>0.0</v>
      </c>
      <c r="Y45" s="1494">
        <f t="shared" si="18"/>
        <v>0.0</v>
      </c>
      <c r="Z45" s="1494">
        <f t="shared" si="19"/>
        <v>0.0</v>
      </c>
      <c r="AA45" s="1494">
        <f t="shared" si="20"/>
        <v>0.0</v>
      </c>
      <c r="AB45" s="1496">
        <f t="shared" si="21"/>
        <v>0.0</v>
      </c>
      <c r="AC45" s="1497" t="str">
        <f t="shared" si="2"/>
        <v/>
      </c>
      <c r="AD45" s="1494" t="str">
        <f t="shared" si="3"/>
        <v/>
      </c>
      <c r="AE45" s="1495" t="str">
        <f t="shared" si="4"/>
        <v/>
      </c>
      <c r="AF45" s="1495" t="str">
        <f t="shared" si="5"/>
        <v/>
      </c>
      <c r="AG45" s="1508"/>
      <c r="AH45" s="1508"/>
      <c r="AI45" s="1496">
        <f t="shared" si="22"/>
        <v>0.0</v>
      </c>
      <c r="AJ45" s="1496">
        <f>IF(OR(W45=0,AF45=0),0,IF(AN45="OLD TAX REGIME",AS45,AY45))</f>
        <v>0.0</v>
      </c>
      <c r="AK45" s="1496">
        <f>IF(OR(W45=0,AF45=0),0,IF(AN45="OLD TAX REGIME",AT45,AZ45))</f>
        <v>0.0</v>
      </c>
      <c r="AL45" s="1496" t="e">
        <f>IF(OR(W45=0,AF45=0),0,IF(AN45="OLD TAX REGIME",AU45,BA45))</f>
        <v>#VALUE!</v>
      </c>
      <c r="AM45" s="1497" t="e">
        <f t="shared" si="23"/>
        <v>#VALUE!</v>
      </c>
      <c r="AN45" s="1499" t="str">
        <f t="shared" si="24"/>
        <v/>
      </c>
      <c r="AO45" s="1500">
        <f t="shared" si="6"/>
        <v>0.0</v>
      </c>
      <c r="AP45" s="1509">
        <f t="shared" si="7"/>
        <v>0.0</v>
      </c>
      <c r="AQ45" s="1502">
        <f t="shared" si="25"/>
        <v>0.0</v>
      </c>
      <c r="AR45" s="1419"/>
      <c r="AS45" s="1501">
        <f>IF($AG$7="INCOME TAX DEDUCT FROM SALARY TILL JAN  2025",0,IF(W45&lt;=12500,0,IF(AI45&gt;W45,0,ROUNDUP((W45-AI45)/3,-3))))</f>
        <v>0.0</v>
      </c>
      <c r="AT45" s="1501">
        <f>IF($AG$7="INCOME TAX DEDUCT FROM SALARY TILL JAN  2025",0,IF(W45&lt;=12500,0,IF(AI45&gt;V45,0,ROUNDUP((W45-AI45)/3,-3))))</f>
        <v>0.0</v>
      </c>
      <c r="AU45" s="1501" t="e">
        <f>IF($AG$7="INCOME TAX DEDUCT FROM SALARY TILL JAN  2025",ROUNDUP((V45-AI45),-3),IF(V45&lt;=12500,0,IF(AI45&gt;V45,0,ROUNDUP((V45-AI45)/3,-3))))</f>
        <v>#VALUE!</v>
      </c>
      <c r="AV45" s="1503" t="e">
        <f t="shared" si="26"/>
        <v>#VALUE!</v>
      </c>
      <c r="AW45" s="1503" t="e">
        <f>AV45+AI45</f>
        <v>#VALUE!</v>
      </c>
      <c r="AX45" s="1501" t="e">
        <f>AW45-W45</f>
        <v>#VALUE!</v>
      </c>
      <c r="AY45" s="1501">
        <f>IF($AG$7="INCOME TAX DEDUCT FROM SALARY TILL JAN  2025",0,IF(AF45&lt;=12500,0,IF(AI45&gt;AF45,0,ROUNDUP((AF45-AI45)/3,-3))))</f>
        <v>0.0</v>
      </c>
      <c r="AZ45" s="1501">
        <f>IF($AG$7="INCOME TAX DEDUCT FROM SALARY TILL JAN  2025",0,IF(AF45&lt;=12500,0,IF(AI45&gt;AF45,0,ROUNDUP((AF45-AI45)/3,-3))))</f>
        <v>0.0</v>
      </c>
      <c r="BA45" s="1501" t="e">
        <f>IF($AG$7="INCOME TAX DEDUCT FROM SALARY TILL JAN  2025",ROUNDUP((AF45-AI45),-3),IF(AF45&lt;=12500,0,IF(AI45&gt;AF45,0,ROUNDUP((AF45-AI45)/3,-3))))</f>
        <v>#VALUE!</v>
      </c>
      <c r="BB45" s="1503" t="e">
        <f t="shared" si="27"/>
        <v>#VALUE!</v>
      </c>
      <c r="BC45" s="1503" t="e">
        <f>BB45+AI45</f>
        <v>#VALUE!</v>
      </c>
      <c r="BD45" s="1501" t="e">
        <f>BC45-AF45</f>
        <v>#VALUE!</v>
      </c>
      <c r="BE45" s="1504"/>
      <c r="BF45" s="1504"/>
      <c r="BG45" s="1504"/>
    </row>
    <row r="46" spans="8:8" ht="15.0" customHeight="1">
      <c r="B46" s="1488">
        <f t="shared" si="8"/>
        <v>0.0</v>
      </c>
      <c r="C46" s="1488">
        <f t="shared" si="0"/>
        <v>0.0</v>
      </c>
      <c r="D46" s="1489"/>
      <c r="E46" s="1505">
        <v>37.0</v>
      </c>
      <c r="F46" s="1506"/>
      <c r="G46" s="1506"/>
      <c r="H46" s="1507"/>
      <c r="I46" s="1492"/>
      <c r="J46" s="1507"/>
      <c r="K46" s="1507"/>
      <c r="L46" s="1507"/>
      <c r="M46" s="1507"/>
      <c r="N46" s="1492">
        <v>0.0</v>
      </c>
      <c r="O46" s="1493">
        <f t="shared" si="9"/>
        <v>-50000.0</v>
      </c>
      <c r="P46" s="1493">
        <f t="shared" si="10"/>
        <v>-75000.0</v>
      </c>
      <c r="Q46" s="1494">
        <f t="shared" si="11"/>
        <v>0.0</v>
      </c>
      <c r="R46" s="1494">
        <f t="shared" si="12"/>
        <v>0.0</v>
      </c>
      <c r="S46" s="1494">
        <f t="shared" si="13"/>
        <v>0.0</v>
      </c>
      <c r="T46" s="1493" t="str">
        <f t="shared" si="1"/>
        <v/>
      </c>
      <c r="U46" s="1494" t="str">
        <f t="shared" si="14"/>
        <v/>
      </c>
      <c r="V46" s="1495" t="str">
        <f t="shared" si="15"/>
        <v/>
      </c>
      <c r="W46" s="1495" t="str">
        <f t="shared" si="16"/>
        <v/>
      </c>
      <c r="X46" s="1494">
        <f t="shared" si="17"/>
        <v>0.0</v>
      </c>
      <c r="Y46" s="1494">
        <f t="shared" si="18"/>
        <v>0.0</v>
      </c>
      <c r="Z46" s="1494">
        <f t="shared" si="19"/>
        <v>0.0</v>
      </c>
      <c r="AA46" s="1494">
        <f t="shared" si="20"/>
        <v>0.0</v>
      </c>
      <c r="AB46" s="1496">
        <f t="shared" si="21"/>
        <v>0.0</v>
      </c>
      <c r="AC46" s="1497" t="str">
        <f t="shared" si="2"/>
        <v/>
      </c>
      <c r="AD46" s="1494" t="str">
        <f t="shared" si="3"/>
        <v/>
      </c>
      <c r="AE46" s="1495" t="str">
        <f t="shared" si="4"/>
        <v/>
      </c>
      <c r="AF46" s="1495" t="str">
        <f t="shared" si="5"/>
        <v/>
      </c>
      <c r="AG46" s="1508"/>
      <c r="AH46" s="1508"/>
      <c r="AI46" s="1496">
        <f t="shared" si="22"/>
        <v>0.0</v>
      </c>
      <c r="AJ46" s="1496">
        <f>IF(OR(W46=0,AF46=0),0,IF(AN46="OLD TAX REGIME",AS46,AY46))</f>
        <v>0.0</v>
      </c>
      <c r="AK46" s="1496">
        <f>IF(OR(W46=0,AF46=0),0,IF(AN46="OLD TAX REGIME",AT46,AZ46))</f>
        <v>0.0</v>
      </c>
      <c r="AL46" s="1496" t="e">
        <f>IF(OR(W46=0,AF46=0),0,IF(AN46="OLD TAX REGIME",AU46,BA46))</f>
        <v>#VALUE!</v>
      </c>
      <c r="AM46" s="1497" t="e">
        <f t="shared" si="23"/>
        <v>#VALUE!</v>
      </c>
      <c r="AN46" s="1499" t="str">
        <f t="shared" si="24"/>
        <v/>
      </c>
      <c r="AO46" s="1500">
        <f t="shared" si="6"/>
        <v>0.0</v>
      </c>
      <c r="AP46" s="1509">
        <f t="shared" si="7"/>
        <v>0.0</v>
      </c>
      <c r="AQ46" s="1502">
        <f t="shared" si="25"/>
        <v>0.0</v>
      </c>
      <c r="AR46" s="1419"/>
      <c r="AS46" s="1501">
        <f>IF($AG$7="INCOME TAX DEDUCT FROM SALARY TILL JAN  2025",0,IF(W46&lt;=12500,0,IF(AI46&gt;W46,0,ROUNDUP((W46-AI46)/3,-3))))</f>
        <v>0.0</v>
      </c>
      <c r="AT46" s="1501">
        <f>IF($AG$7="INCOME TAX DEDUCT FROM SALARY TILL JAN  2025",0,IF(W46&lt;=12500,0,IF(AI46&gt;V46,0,ROUNDUP((W46-AI46)/3,-3))))</f>
        <v>0.0</v>
      </c>
      <c r="AU46" s="1501" t="e">
        <f>IF($AG$7="INCOME TAX DEDUCT FROM SALARY TILL JAN  2025",ROUNDUP((V46-AI46),-3),IF(V46&lt;=12500,0,IF(AI46&gt;V46,0,ROUNDUP((V46-AI46)/3,-3))))</f>
        <v>#VALUE!</v>
      </c>
      <c r="AV46" s="1503" t="e">
        <f t="shared" si="26"/>
        <v>#VALUE!</v>
      </c>
      <c r="AW46" s="1503" t="e">
        <f>AV46+AI46</f>
        <v>#VALUE!</v>
      </c>
      <c r="AX46" s="1501" t="e">
        <f>AW46-W46</f>
        <v>#VALUE!</v>
      </c>
      <c r="AY46" s="1501">
        <f>IF($AG$7="INCOME TAX DEDUCT FROM SALARY TILL JAN  2025",0,IF(AF46&lt;=12500,0,IF(AI46&gt;AF46,0,ROUNDUP((AF46-AI46)/3,-3))))</f>
        <v>0.0</v>
      </c>
      <c r="AZ46" s="1501">
        <f>IF($AG$7="INCOME TAX DEDUCT FROM SALARY TILL JAN  2025",0,IF(AF46&lt;=12500,0,IF(AI46&gt;AF46,0,ROUNDUP((AF46-AI46)/3,-3))))</f>
        <v>0.0</v>
      </c>
      <c r="BA46" s="1501" t="e">
        <f>IF($AG$7="INCOME TAX DEDUCT FROM SALARY TILL JAN  2025",ROUNDUP((AF46-AI46),-3),IF(AF46&lt;=12500,0,IF(AI46&gt;AF46,0,ROUNDUP((AF46-AI46)/3,-3))))</f>
        <v>#VALUE!</v>
      </c>
      <c r="BB46" s="1503" t="e">
        <f t="shared" si="27"/>
        <v>#VALUE!</v>
      </c>
      <c r="BC46" s="1503" t="e">
        <f>BB46+AI46</f>
        <v>#VALUE!</v>
      </c>
      <c r="BD46" s="1501" t="e">
        <f>BC46-AF46</f>
        <v>#VALUE!</v>
      </c>
      <c r="BE46" s="1504"/>
      <c r="BF46" s="1504"/>
      <c r="BG46" s="1504"/>
    </row>
    <row r="47" spans="8:8" ht="15.0" customHeight="1">
      <c r="B47" s="1488">
        <f t="shared" si="8"/>
        <v>0.0</v>
      </c>
      <c r="C47" s="1488">
        <f t="shared" si="0"/>
        <v>0.0</v>
      </c>
      <c r="D47" s="1489"/>
      <c r="E47" s="1505">
        <v>38.0</v>
      </c>
      <c r="F47" s="1506"/>
      <c r="G47" s="1506"/>
      <c r="H47" s="1507"/>
      <c r="I47" s="1492"/>
      <c r="J47" s="1507"/>
      <c r="K47" s="1507"/>
      <c r="L47" s="1507"/>
      <c r="M47" s="1507"/>
      <c r="N47" s="1492">
        <v>0.0</v>
      </c>
      <c r="O47" s="1493">
        <f t="shared" si="9"/>
        <v>-50000.0</v>
      </c>
      <c r="P47" s="1493">
        <f t="shared" si="10"/>
        <v>-75000.0</v>
      </c>
      <c r="Q47" s="1494">
        <f t="shared" si="11"/>
        <v>0.0</v>
      </c>
      <c r="R47" s="1494">
        <f t="shared" si="12"/>
        <v>0.0</v>
      </c>
      <c r="S47" s="1494">
        <f t="shared" si="13"/>
        <v>0.0</v>
      </c>
      <c r="T47" s="1493" t="str">
        <f t="shared" si="1"/>
        <v/>
      </c>
      <c r="U47" s="1494" t="str">
        <f t="shared" si="14"/>
        <v/>
      </c>
      <c r="V47" s="1495" t="str">
        <f t="shared" si="15"/>
        <v/>
      </c>
      <c r="W47" s="1495" t="str">
        <f t="shared" si="16"/>
        <v/>
      </c>
      <c r="X47" s="1494">
        <f t="shared" si="17"/>
        <v>0.0</v>
      </c>
      <c r="Y47" s="1494">
        <f t="shared" si="18"/>
        <v>0.0</v>
      </c>
      <c r="Z47" s="1494">
        <f t="shared" si="19"/>
        <v>0.0</v>
      </c>
      <c r="AA47" s="1494">
        <f t="shared" si="20"/>
        <v>0.0</v>
      </c>
      <c r="AB47" s="1496">
        <f t="shared" si="21"/>
        <v>0.0</v>
      </c>
      <c r="AC47" s="1497" t="str">
        <f t="shared" si="2"/>
        <v/>
      </c>
      <c r="AD47" s="1494" t="str">
        <f t="shared" si="3"/>
        <v/>
      </c>
      <c r="AE47" s="1495" t="str">
        <f t="shared" si="4"/>
        <v/>
      </c>
      <c r="AF47" s="1495" t="str">
        <f t="shared" si="5"/>
        <v/>
      </c>
      <c r="AG47" s="1508"/>
      <c r="AH47" s="1508"/>
      <c r="AI47" s="1496">
        <f t="shared" si="22"/>
        <v>0.0</v>
      </c>
      <c r="AJ47" s="1496">
        <f>IF(OR(W47=0,AF47=0),0,IF(AN47="OLD TAX REGIME",AS47,AY47))</f>
        <v>0.0</v>
      </c>
      <c r="AK47" s="1496">
        <f>IF(OR(W47=0,AF47=0),0,IF(AN47="OLD TAX REGIME",AT47,AZ47))</f>
        <v>0.0</v>
      </c>
      <c r="AL47" s="1496" t="e">
        <f>IF(OR(W47=0,AF47=0),0,IF(AN47="OLD TAX REGIME",AU47,BA47))</f>
        <v>#VALUE!</v>
      </c>
      <c r="AM47" s="1497" t="e">
        <f t="shared" si="23"/>
        <v>#VALUE!</v>
      </c>
      <c r="AN47" s="1499" t="str">
        <f t="shared" si="24"/>
        <v/>
      </c>
      <c r="AO47" s="1500">
        <f t="shared" si="6"/>
        <v>0.0</v>
      </c>
      <c r="AP47" s="1509">
        <f t="shared" si="7"/>
        <v>0.0</v>
      </c>
      <c r="AQ47" s="1502">
        <f t="shared" si="25"/>
        <v>0.0</v>
      </c>
      <c r="AR47" s="1419"/>
      <c r="AS47" s="1501">
        <f>IF($AG$7="INCOME TAX DEDUCT FROM SALARY TILL JAN  2025",0,IF(W47&lt;=12500,0,IF(AI47&gt;W47,0,ROUNDUP((W47-AI47)/3,-3))))</f>
        <v>0.0</v>
      </c>
      <c r="AT47" s="1501">
        <f>IF($AG$7="INCOME TAX DEDUCT FROM SALARY TILL JAN  2025",0,IF(W47&lt;=12500,0,IF(AI47&gt;V47,0,ROUNDUP((W47-AI47)/3,-3))))</f>
        <v>0.0</v>
      </c>
      <c r="AU47" s="1501" t="e">
        <f>IF($AG$7="INCOME TAX DEDUCT FROM SALARY TILL JAN  2025",ROUNDUP((V47-AI47),-3),IF(V47&lt;=12500,0,IF(AI47&gt;V47,0,ROUNDUP((V47-AI47)/3,-3))))</f>
        <v>#VALUE!</v>
      </c>
      <c r="AV47" s="1503" t="e">
        <f t="shared" si="26"/>
        <v>#VALUE!</v>
      </c>
      <c r="AW47" s="1503" t="e">
        <f>AV47+AI47</f>
        <v>#VALUE!</v>
      </c>
      <c r="AX47" s="1501" t="e">
        <f>AW47-W47</f>
        <v>#VALUE!</v>
      </c>
      <c r="AY47" s="1501">
        <f>IF($AG$7="INCOME TAX DEDUCT FROM SALARY TILL JAN  2025",0,IF(AF47&lt;=12500,0,IF(AI47&gt;AF47,0,ROUNDUP((AF47-AI47)/3,-3))))</f>
        <v>0.0</v>
      </c>
      <c r="AZ47" s="1501">
        <f>IF($AG$7="INCOME TAX DEDUCT FROM SALARY TILL JAN  2025",0,IF(AF47&lt;=12500,0,IF(AI47&gt;AF47,0,ROUNDUP((AF47-AI47)/3,-3))))</f>
        <v>0.0</v>
      </c>
      <c r="BA47" s="1501" t="e">
        <f>IF($AG$7="INCOME TAX DEDUCT FROM SALARY TILL JAN  2025",ROUNDUP((AF47-AI47),-3),IF(AF47&lt;=12500,0,IF(AI47&gt;AF47,0,ROUNDUP((AF47-AI47)/3,-3))))</f>
        <v>#VALUE!</v>
      </c>
      <c r="BB47" s="1503" t="e">
        <f t="shared" si="27"/>
        <v>#VALUE!</v>
      </c>
      <c r="BC47" s="1503" t="e">
        <f>BB47+AI47</f>
        <v>#VALUE!</v>
      </c>
      <c r="BD47" s="1501" t="e">
        <f>BC47-AF47</f>
        <v>#VALUE!</v>
      </c>
      <c r="BE47" s="1504"/>
      <c r="BF47" s="1504"/>
      <c r="BG47" s="1504"/>
    </row>
    <row r="48" spans="8:8" ht="15.0" customHeight="1">
      <c r="B48" s="1488">
        <f t="shared" si="8"/>
        <v>0.0</v>
      </c>
      <c r="C48" s="1488">
        <f t="shared" si="0"/>
        <v>0.0</v>
      </c>
      <c r="D48" s="1489"/>
      <c r="E48" s="1505">
        <v>39.0</v>
      </c>
      <c r="F48" s="1506"/>
      <c r="G48" s="1506"/>
      <c r="H48" s="1507"/>
      <c r="I48" s="1492"/>
      <c r="J48" s="1507"/>
      <c r="K48" s="1507"/>
      <c r="L48" s="1507"/>
      <c r="M48" s="1507"/>
      <c r="N48" s="1492">
        <v>0.0</v>
      </c>
      <c r="O48" s="1493">
        <f t="shared" si="9"/>
        <v>-50000.0</v>
      </c>
      <c r="P48" s="1493">
        <f t="shared" si="10"/>
        <v>-75000.0</v>
      </c>
      <c r="Q48" s="1494">
        <f t="shared" si="11"/>
        <v>0.0</v>
      </c>
      <c r="R48" s="1494">
        <f t="shared" si="12"/>
        <v>0.0</v>
      </c>
      <c r="S48" s="1494">
        <f t="shared" si="13"/>
        <v>0.0</v>
      </c>
      <c r="T48" s="1493" t="str">
        <f t="shared" si="1"/>
        <v/>
      </c>
      <c r="U48" s="1494" t="str">
        <f t="shared" si="14"/>
        <v/>
      </c>
      <c r="V48" s="1495" t="str">
        <f t="shared" si="15"/>
        <v/>
      </c>
      <c r="W48" s="1495" t="str">
        <f t="shared" si="16"/>
        <v/>
      </c>
      <c r="X48" s="1494">
        <f t="shared" si="17"/>
        <v>0.0</v>
      </c>
      <c r="Y48" s="1494">
        <f t="shared" si="18"/>
        <v>0.0</v>
      </c>
      <c r="Z48" s="1494">
        <f t="shared" si="19"/>
        <v>0.0</v>
      </c>
      <c r="AA48" s="1494">
        <f t="shared" si="20"/>
        <v>0.0</v>
      </c>
      <c r="AB48" s="1496">
        <f t="shared" si="21"/>
        <v>0.0</v>
      </c>
      <c r="AC48" s="1497" t="str">
        <f t="shared" si="2"/>
        <v/>
      </c>
      <c r="AD48" s="1494" t="str">
        <f t="shared" si="3"/>
        <v/>
      </c>
      <c r="AE48" s="1495" t="str">
        <f t="shared" si="4"/>
        <v/>
      </c>
      <c r="AF48" s="1495" t="str">
        <f t="shared" si="5"/>
        <v/>
      </c>
      <c r="AG48" s="1508"/>
      <c r="AH48" s="1508"/>
      <c r="AI48" s="1496">
        <f t="shared" si="22"/>
        <v>0.0</v>
      </c>
      <c r="AJ48" s="1496">
        <f>IF(OR(W48=0,AF48=0),0,IF(AN48="OLD TAX REGIME",AS48,AY48))</f>
        <v>0.0</v>
      </c>
      <c r="AK48" s="1496">
        <f>IF(OR(W48=0,AF48=0),0,IF(AN48="OLD TAX REGIME",AT48,AZ48))</f>
        <v>0.0</v>
      </c>
      <c r="AL48" s="1496" t="e">
        <f>IF(OR(W48=0,AF48=0),0,IF(AN48="OLD TAX REGIME",AU48,BA48))</f>
        <v>#VALUE!</v>
      </c>
      <c r="AM48" s="1497" t="e">
        <f t="shared" si="23"/>
        <v>#VALUE!</v>
      </c>
      <c r="AN48" s="1499" t="str">
        <f t="shared" si="24"/>
        <v/>
      </c>
      <c r="AO48" s="1500">
        <f t="shared" si="6"/>
        <v>0.0</v>
      </c>
      <c r="AP48" s="1509">
        <f t="shared" si="7"/>
        <v>0.0</v>
      </c>
      <c r="AQ48" s="1502">
        <f t="shared" si="25"/>
        <v>0.0</v>
      </c>
      <c r="AR48" s="1419"/>
      <c r="AS48" s="1501">
        <f>IF($AG$7="INCOME TAX DEDUCT FROM SALARY TILL JAN  2025",0,IF(W48&lt;=12500,0,IF(AI48&gt;W48,0,ROUNDUP((W48-AI48)/3,-3))))</f>
        <v>0.0</v>
      </c>
      <c r="AT48" s="1501">
        <f>IF($AG$7="INCOME TAX DEDUCT FROM SALARY TILL JAN  2025",0,IF(W48&lt;=12500,0,IF(AI48&gt;V48,0,ROUNDUP((W48-AI48)/3,-3))))</f>
        <v>0.0</v>
      </c>
      <c r="AU48" s="1501" t="e">
        <f>IF($AG$7="INCOME TAX DEDUCT FROM SALARY TILL JAN  2025",ROUNDUP((V48-AI48),-3),IF(V48&lt;=12500,0,IF(AI48&gt;V48,0,ROUNDUP((V48-AI48)/3,-3))))</f>
        <v>#VALUE!</v>
      </c>
      <c r="AV48" s="1503" t="e">
        <f t="shared" si="26"/>
        <v>#VALUE!</v>
      </c>
      <c r="AW48" s="1503" t="e">
        <f>AV48+AI48</f>
        <v>#VALUE!</v>
      </c>
      <c r="AX48" s="1501" t="e">
        <f>AW48-W48</f>
        <v>#VALUE!</v>
      </c>
      <c r="AY48" s="1501">
        <f>IF($AG$7="INCOME TAX DEDUCT FROM SALARY TILL JAN  2025",0,IF(AF48&lt;=12500,0,IF(AI48&gt;AF48,0,ROUNDUP((AF48-AI48)/3,-3))))</f>
        <v>0.0</v>
      </c>
      <c r="AZ48" s="1501">
        <f>IF($AG$7="INCOME TAX DEDUCT FROM SALARY TILL JAN  2025",0,IF(AF48&lt;=12500,0,IF(AI48&gt;AF48,0,ROUNDUP((AF48-AI48)/3,-3))))</f>
        <v>0.0</v>
      </c>
      <c r="BA48" s="1501" t="e">
        <f>IF($AG$7="INCOME TAX DEDUCT FROM SALARY TILL JAN  2025",ROUNDUP((AF48-AI48),-3),IF(AF48&lt;=12500,0,IF(AI48&gt;AF48,0,ROUNDUP((AF48-AI48)/3,-3))))</f>
        <v>#VALUE!</v>
      </c>
      <c r="BB48" s="1503" t="e">
        <f t="shared" si="27"/>
        <v>#VALUE!</v>
      </c>
      <c r="BC48" s="1503" t="e">
        <f>BB48+AI48</f>
        <v>#VALUE!</v>
      </c>
      <c r="BD48" s="1501" t="e">
        <f>BC48-AF48</f>
        <v>#VALUE!</v>
      </c>
      <c r="BE48" s="1504"/>
      <c r="BF48" s="1504"/>
      <c r="BG48" s="1504"/>
    </row>
    <row r="49" spans="8:8" ht="15.0" customHeight="1">
      <c r="B49" s="1488">
        <f t="shared" si="8"/>
        <v>0.0</v>
      </c>
      <c r="C49" s="1488">
        <f t="shared" si="0"/>
        <v>0.0</v>
      </c>
      <c r="D49" s="1489"/>
      <c r="E49" s="1505"/>
      <c r="F49" s="1506"/>
      <c r="G49" s="1506"/>
      <c r="H49" s="1507"/>
      <c r="I49" s="1492"/>
      <c r="J49" s="1507"/>
      <c r="K49" s="1507"/>
      <c r="L49" s="1507"/>
      <c r="M49" s="1507"/>
      <c r="N49" s="1492">
        <v>0.0</v>
      </c>
      <c r="O49" s="1493">
        <f t="shared" si="9"/>
        <v>-50000.0</v>
      </c>
      <c r="P49" s="1493">
        <f t="shared" si="10"/>
        <v>-75000.0</v>
      </c>
      <c r="Q49" s="1494">
        <f t="shared" si="11"/>
        <v>0.0</v>
      </c>
      <c r="R49" s="1494">
        <f t="shared" si="12"/>
        <v>0.0</v>
      </c>
      <c r="S49" s="1494">
        <f t="shared" si="13"/>
        <v>0.0</v>
      </c>
      <c r="T49" s="1493" t="str">
        <f t="shared" si="1"/>
        <v/>
      </c>
      <c r="U49" s="1494" t="str">
        <f t="shared" si="14"/>
        <v/>
      </c>
      <c r="V49" s="1495" t="str">
        <f t="shared" si="15"/>
        <v/>
      </c>
      <c r="W49" s="1495" t="str">
        <f t="shared" si="16"/>
        <v/>
      </c>
      <c r="X49" s="1494">
        <f t="shared" si="17"/>
        <v>0.0</v>
      </c>
      <c r="Y49" s="1494">
        <f t="shared" si="18"/>
        <v>0.0</v>
      </c>
      <c r="Z49" s="1494">
        <f t="shared" si="19"/>
        <v>0.0</v>
      </c>
      <c r="AA49" s="1494">
        <f t="shared" si="20"/>
        <v>0.0</v>
      </c>
      <c r="AB49" s="1496">
        <f t="shared" si="21"/>
        <v>0.0</v>
      </c>
      <c r="AC49" s="1497" t="str">
        <f t="shared" si="2"/>
        <v/>
      </c>
      <c r="AD49" s="1494" t="str">
        <f t="shared" si="3"/>
        <v/>
      </c>
      <c r="AE49" s="1495" t="str">
        <f t="shared" si="4"/>
        <v/>
      </c>
      <c r="AF49" s="1495" t="str">
        <f t="shared" si="5"/>
        <v/>
      </c>
      <c r="AG49" s="1508"/>
      <c r="AH49" s="1508"/>
      <c r="AI49" s="1496">
        <f t="shared" si="22"/>
        <v>0.0</v>
      </c>
      <c r="AJ49" s="1496">
        <f>IF(OR(W49=0,AF49=0),0,IF(AN49="OLD TAX REGIME",AS49,AY49))</f>
        <v>0.0</v>
      </c>
      <c r="AK49" s="1496">
        <f>IF(OR(W49=0,AF49=0),0,IF(AN49="OLD TAX REGIME",AT49,AZ49))</f>
        <v>0.0</v>
      </c>
      <c r="AL49" s="1496" t="e">
        <f>IF(OR(W49=0,AF49=0),0,IF(AN49="OLD TAX REGIME",AU49,BA49))</f>
        <v>#VALUE!</v>
      </c>
      <c r="AM49" s="1497" t="e">
        <f t="shared" si="23"/>
        <v>#VALUE!</v>
      </c>
      <c r="AN49" s="1499" t="str">
        <f t="shared" si="24"/>
        <v/>
      </c>
      <c r="AO49" s="1500">
        <f t="shared" si="6"/>
        <v>0.0</v>
      </c>
      <c r="AP49" s="1509">
        <f t="shared" si="7"/>
        <v>0.0</v>
      </c>
      <c r="AQ49" s="1502">
        <f t="shared" si="25"/>
        <v>0.0</v>
      </c>
      <c r="AR49" s="1419"/>
      <c r="AS49" s="1501">
        <f>IF($AG$7="INCOME TAX DEDUCT FROM SALARY TILL JAN  2025",0,IF(W49&lt;=12500,0,IF(AI49&gt;W49,0,ROUNDUP((W49-AI49)/3,-3))))</f>
        <v>0.0</v>
      </c>
      <c r="AT49" s="1501">
        <f>IF($AG$7="INCOME TAX DEDUCT FROM SALARY TILL JAN  2025",0,IF(W49&lt;=12500,0,IF(AI49&gt;V49,0,ROUNDUP((W49-AI49)/3,-3))))</f>
        <v>0.0</v>
      </c>
      <c r="AU49" s="1501" t="e">
        <f>IF($AG$7="INCOME TAX DEDUCT FROM SALARY TILL JAN  2025",ROUNDUP((V49-AI49),-3),IF(V49&lt;=12500,0,IF(AI49&gt;V49,0,ROUNDUP((V49-AI49)/3,-3))))</f>
        <v>#VALUE!</v>
      </c>
      <c r="AV49" s="1503" t="e">
        <f t="shared" si="26"/>
        <v>#VALUE!</v>
      </c>
      <c r="AW49" s="1503" t="e">
        <f>AV49+AI49</f>
        <v>#VALUE!</v>
      </c>
      <c r="AX49" s="1501" t="e">
        <f>AW49-W49</f>
        <v>#VALUE!</v>
      </c>
      <c r="AY49" s="1501">
        <f>IF($AG$7="INCOME TAX DEDUCT FROM SALARY TILL JAN  2025",0,IF(AF49&lt;=12500,0,IF(AI49&gt;AF49,0,ROUNDUP((AF49-AI49)/3,-3))))</f>
        <v>0.0</v>
      </c>
      <c r="AZ49" s="1501">
        <f>IF($AG$7="INCOME TAX DEDUCT FROM SALARY TILL JAN  2025",0,IF(AF49&lt;=12500,0,IF(AI49&gt;AF49,0,ROUNDUP((AF49-AI49)/3,-3))))</f>
        <v>0.0</v>
      </c>
      <c r="BA49" s="1501" t="e">
        <f>IF($AG$7="INCOME TAX DEDUCT FROM SALARY TILL JAN  2025",ROUNDUP((AF49-AI49),-3),IF(AF49&lt;=12500,0,IF(AI49&gt;AF49,0,ROUNDUP((AF49-AI49)/3,-3))))</f>
        <v>#VALUE!</v>
      </c>
      <c r="BB49" s="1503" t="e">
        <f t="shared" si="27"/>
        <v>#VALUE!</v>
      </c>
      <c r="BC49" s="1503" t="e">
        <f>BB49+AI49</f>
        <v>#VALUE!</v>
      </c>
      <c r="BD49" s="1501" t="e">
        <f>BC49-AF49</f>
        <v>#VALUE!</v>
      </c>
      <c r="BE49" s="1504"/>
      <c r="BF49" s="1504"/>
      <c r="BG49" s="1504"/>
    </row>
    <row r="50" spans="8:8" ht="15.0" customHeight="1">
      <c r="B50" s="1488">
        <f t="shared" si="8"/>
        <v>0.0</v>
      </c>
      <c r="C50" s="1488">
        <f t="shared" si="0"/>
        <v>0.0</v>
      </c>
      <c r="D50" s="1489"/>
      <c r="E50" s="1505"/>
      <c r="F50" s="1506"/>
      <c r="G50" s="1506"/>
      <c r="H50" s="1507"/>
      <c r="I50" s="1492"/>
      <c r="J50" s="1507"/>
      <c r="K50" s="1507"/>
      <c r="L50" s="1507"/>
      <c r="M50" s="1507"/>
      <c r="N50" s="1492">
        <v>0.0</v>
      </c>
      <c r="O50" s="1493">
        <f t="shared" si="9"/>
        <v>-50000.0</v>
      </c>
      <c r="P50" s="1493">
        <f t="shared" si="10"/>
        <v>-75000.0</v>
      </c>
      <c r="Q50" s="1494">
        <f t="shared" si="11"/>
        <v>0.0</v>
      </c>
      <c r="R50" s="1494">
        <f t="shared" si="12"/>
        <v>0.0</v>
      </c>
      <c r="S50" s="1494">
        <f t="shared" si="13"/>
        <v>0.0</v>
      </c>
      <c r="T50" s="1493" t="str">
        <f t="shared" si="1"/>
        <v/>
      </c>
      <c r="U50" s="1494" t="str">
        <f t="shared" si="14"/>
        <v/>
      </c>
      <c r="V50" s="1495" t="str">
        <f t="shared" si="15"/>
        <v/>
      </c>
      <c r="W50" s="1495" t="str">
        <f t="shared" si="16"/>
        <v/>
      </c>
      <c r="X50" s="1494">
        <f t="shared" si="17"/>
        <v>0.0</v>
      </c>
      <c r="Y50" s="1494">
        <f t="shared" si="18"/>
        <v>0.0</v>
      </c>
      <c r="Z50" s="1494">
        <f t="shared" si="19"/>
        <v>0.0</v>
      </c>
      <c r="AA50" s="1494">
        <f t="shared" si="20"/>
        <v>0.0</v>
      </c>
      <c r="AB50" s="1496">
        <f t="shared" si="21"/>
        <v>0.0</v>
      </c>
      <c r="AC50" s="1497" t="str">
        <f t="shared" si="2"/>
        <v/>
      </c>
      <c r="AD50" s="1494" t="str">
        <f t="shared" si="3"/>
        <v/>
      </c>
      <c r="AE50" s="1495" t="str">
        <f t="shared" si="4"/>
        <v/>
      </c>
      <c r="AF50" s="1495" t="str">
        <f t="shared" si="5"/>
        <v/>
      </c>
      <c r="AG50" s="1508"/>
      <c r="AH50" s="1508"/>
      <c r="AI50" s="1496">
        <f t="shared" si="22"/>
        <v>0.0</v>
      </c>
      <c r="AJ50" s="1496">
        <f>IF(OR(W50=0,AF50=0),0,IF(AN50="OLD TAX REGIME",AS50,AY50))</f>
        <v>0.0</v>
      </c>
      <c r="AK50" s="1496">
        <f>IF(OR(W50=0,AF50=0),0,IF(AN50="OLD TAX REGIME",AT50,AZ50))</f>
        <v>0.0</v>
      </c>
      <c r="AL50" s="1496" t="e">
        <f>IF(OR(W50=0,AF50=0),0,IF(AN50="OLD TAX REGIME",AU50,BA50))</f>
        <v>#VALUE!</v>
      </c>
      <c r="AM50" s="1497" t="e">
        <f t="shared" si="23"/>
        <v>#VALUE!</v>
      </c>
      <c r="AN50" s="1499" t="str">
        <f t="shared" si="24"/>
        <v/>
      </c>
      <c r="AO50" s="1500">
        <f t="shared" si="6"/>
        <v>0.0</v>
      </c>
      <c r="AP50" s="1509">
        <f t="shared" si="7"/>
        <v>0.0</v>
      </c>
      <c r="AQ50" s="1502">
        <f t="shared" si="25"/>
        <v>0.0</v>
      </c>
      <c r="AR50" s="1419"/>
      <c r="AS50" s="1501">
        <f>IF($AG$7="INCOME TAX DEDUCT FROM SALARY TILL JAN  2025",0,IF(W50&lt;=12500,0,IF(AI50&gt;W50,0,ROUNDUP((W50-AI50)/3,-3))))</f>
        <v>0.0</v>
      </c>
      <c r="AT50" s="1501">
        <f>IF($AG$7="INCOME TAX DEDUCT FROM SALARY TILL JAN  2025",0,IF(W50&lt;=12500,0,IF(AI50&gt;V50,0,ROUNDUP((W50-AI50)/3,-3))))</f>
        <v>0.0</v>
      </c>
      <c r="AU50" s="1501" t="e">
        <f>IF($AG$7="INCOME TAX DEDUCT FROM SALARY TILL JAN  2025",ROUNDUP((V50-AI50),-3),IF(V50&lt;=12500,0,IF(AI50&gt;V50,0,ROUNDUP((V50-AI50)/3,-3))))</f>
        <v>#VALUE!</v>
      </c>
      <c r="AV50" s="1503" t="e">
        <f t="shared" si="26"/>
        <v>#VALUE!</v>
      </c>
      <c r="AW50" s="1503" t="e">
        <f>AV50+AI50</f>
        <v>#VALUE!</v>
      </c>
      <c r="AX50" s="1501" t="e">
        <f>AW50-W50</f>
        <v>#VALUE!</v>
      </c>
      <c r="AY50" s="1501">
        <f>IF($AG$7="INCOME TAX DEDUCT FROM SALARY TILL JAN  2025",0,IF(AF50&lt;=12500,0,IF(AI50&gt;AF50,0,ROUNDUP((AF50-AI50)/3,-3))))</f>
        <v>0.0</v>
      </c>
      <c r="AZ50" s="1501">
        <f>IF($AG$7="INCOME TAX DEDUCT FROM SALARY TILL JAN  2025",0,IF(AF50&lt;=12500,0,IF(AI50&gt;AF50,0,ROUNDUP((AF50-AI50)/3,-3))))</f>
        <v>0.0</v>
      </c>
      <c r="BA50" s="1501" t="e">
        <f>IF($AG$7="INCOME TAX DEDUCT FROM SALARY TILL JAN  2025",ROUNDUP((AF50-AI50),-3),IF(AF50&lt;=12500,0,IF(AI50&gt;AF50,0,ROUNDUP((AF50-AI50)/3,-3))))</f>
        <v>#VALUE!</v>
      </c>
      <c r="BB50" s="1503" t="e">
        <f t="shared" si="27"/>
        <v>#VALUE!</v>
      </c>
      <c r="BC50" s="1503" t="e">
        <f>BB50+AI50</f>
        <v>#VALUE!</v>
      </c>
      <c r="BD50" s="1501" t="e">
        <f>BC50-AF50</f>
        <v>#VALUE!</v>
      </c>
      <c r="BE50" s="1504"/>
      <c r="BF50" s="1504"/>
      <c r="BG50" s="1504"/>
    </row>
    <row r="51" spans="8:8" ht="15.75">
      <c r="B51" s="1488">
        <f t="shared" si="8"/>
        <v>0.0</v>
      </c>
      <c r="C51" s="1488">
        <f t="shared" si="0"/>
        <v>0.0</v>
      </c>
      <c r="D51" s="1489"/>
      <c r="E51" s="1505"/>
      <c r="F51" s="1506"/>
      <c r="G51" s="1506"/>
      <c r="H51" s="1507"/>
      <c r="I51" s="1492"/>
      <c r="J51" s="1507"/>
      <c r="K51" s="1507"/>
      <c r="L51" s="1507"/>
      <c r="M51" s="1507"/>
      <c r="N51" s="1492">
        <v>0.0</v>
      </c>
      <c r="O51" s="1493">
        <f t="shared" si="9"/>
        <v>-50000.0</v>
      </c>
      <c r="P51" s="1493">
        <f t="shared" si="10"/>
        <v>-75000.0</v>
      </c>
      <c r="Q51" s="1494">
        <f t="shared" si="11"/>
        <v>0.0</v>
      </c>
      <c r="R51" s="1494">
        <f t="shared" si="12"/>
        <v>0.0</v>
      </c>
      <c r="S51" s="1494">
        <f t="shared" si="13"/>
        <v>0.0</v>
      </c>
      <c r="T51" s="1493" t="str">
        <f t="shared" si="1"/>
        <v/>
      </c>
      <c r="U51" s="1494" t="str">
        <f t="shared" si="14"/>
        <v/>
      </c>
      <c r="V51" s="1495" t="str">
        <f t="shared" si="15"/>
        <v/>
      </c>
      <c r="W51" s="1495" t="str">
        <f t="shared" si="16"/>
        <v/>
      </c>
      <c r="X51" s="1494">
        <f t="shared" si="17"/>
        <v>0.0</v>
      </c>
      <c r="Y51" s="1494">
        <f t="shared" si="18"/>
        <v>0.0</v>
      </c>
      <c r="Z51" s="1494">
        <f t="shared" si="19"/>
        <v>0.0</v>
      </c>
      <c r="AA51" s="1494">
        <f t="shared" si="20"/>
        <v>0.0</v>
      </c>
      <c r="AB51" s="1496">
        <f t="shared" si="21"/>
        <v>0.0</v>
      </c>
      <c r="AC51" s="1497" t="str">
        <f t="shared" si="2"/>
        <v/>
      </c>
      <c r="AD51" s="1494" t="str">
        <f t="shared" si="3"/>
        <v/>
      </c>
      <c r="AE51" s="1495" t="str">
        <f t="shared" si="4"/>
        <v/>
      </c>
      <c r="AF51" s="1495" t="str">
        <f t="shared" si="5"/>
        <v/>
      </c>
      <c r="AG51" s="1508"/>
      <c r="AH51" s="1508"/>
      <c r="AI51" s="1496">
        <f t="shared" si="22"/>
        <v>0.0</v>
      </c>
      <c r="AJ51" s="1496">
        <f>IF(OR(W51=0,AF51=0),0,IF(AN51="OLD TAX REGIME",AS51,AY51))</f>
        <v>0.0</v>
      </c>
      <c r="AK51" s="1496">
        <f>IF(OR(W51=0,AF51=0),0,IF(AN51="OLD TAX REGIME",AT51,AZ51))</f>
        <v>0.0</v>
      </c>
      <c r="AL51" s="1496" t="e">
        <f>IF(OR(W51=0,AF51=0),0,IF(AN51="OLD TAX REGIME",AU51,BA51))</f>
        <v>#VALUE!</v>
      </c>
      <c r="AM51" s="1497" t="e">
        <f t="shared" si="23"/>
        <v>#VALUE!</v>
      </c>
      <c r="AN51" s="1499" t="str">
        <f t="shared" si="24"/>
        <v/>
      </c>
      <c r="AO51" s="1500">
        <f t="shared" si="6"/>
        <v>0.0</v>
      </c>
      <c r="AP51" s="1509">
        <f t="shared" si="7"/>
        <v>0.0</v>
      </c>
      <c r="AQ51" s="1502">
        <f t="shared" si="25"/>
        <v>0.0</v>
      </c>
      <c r="AR51" s="1419"/>
      <c r="AS51" s="1501">
        <f>IF($AG$7="INCOME TAX DEDUCT FROM SALARY TILL JAN  2025",0,IF(W51&lt;=12500,0,IF(AI51&gt;W51,0,ROUNDUP((W51-AI51)/3,-3))))</f>
        <v>0.0</v>
      </c>
      <c r="AT51" s="1501">
        <f>IF($AG$7="INCOME TAX DEDUCT FROM SALARY TILL JAN  2025",0,IF(W51&lt;=12500,0,IF(AI51&gt;V51,0,ROUNDUP((W51-AI51)/3,-3))))</f>
        <v>0.0</v>
      </c>
      <c r="AU51" s="1501" t="e">
        <f>IF($AG$7="INCOME TAX DEDUCT FROM SALARY TILL JAN  2025",ROUNDUP((V51-AI51),-3),IF(V51&lt;=12500,0,IF(AI51&gt;V51,0,ROUNDUP((V51-AI51)/3,-3))))</f>
        <v>#VALUE!</v>
      </c>
      <c r="AV51" s="1503" t="e">
        <f t="shared" si="26"/>
        <v>#VALUE!</v>
      </c>
      <c r="AW51" s="1503" t="e">
        <f>AV51+AI51</f>
        <v>#VALUE!</v>
      </c>
      <c r="AX51" s="1501" t="e">
        <f>AW51-W51</f>
        <v>#VALUE!</v>
      </c>
      <c r="AY51" s="1501">
        <f>IF($AG$7="INCOME TAX DEDUCT FROM SALARY TILL JAN  2025",0,IF(AF51&lt;=12500,0,IF(AI51&gt;AF51,0,ROUNDUP((AF51-AI51)/3,-3))))</f>
        <v>0.0</v>
      </c>
      <c r="AZ51" s="1501">
        <f>IF($AG$7="INCOME TAX DEDUCT FROM SALARY TILL JAN  2025",0,IF(AF51&lt;=12500,0,IF(AI51&gt;AF51,0,ROUNDUP((AF51-AI51)/3,-3))))</f>
        <v>0.0</v>
      </c>
      <c r="BA51" s="1501" t="e">
        <f>IF($AG$7="INCOME TAX DEDUCT FROM SALARY TILL JAN  2025",ROUNDUP((AF51-AI51),-3),IF(AF51&lt;=12500,0,IF(AI51&gt;AF51,0,ROUNDUP((AF51-AI51)/3,-3))))</f>
        <v>#VALUE!</v>
      </c>
      <c r="BB51" s="1503" t="e">
        <f t="shared" si="27"/>
        <v>#VALUE!</v>
      </c>
      <c r="BC51" s="1503" t="e">
        <f>BB51+AI51</f>
        <v>#VALUE!</v>
      </c>
      <c r="BD51" s="1501" t="e">
        <f>BC51-AF51</f>
        <v>#VALUE!</v>
      </c>
      <c r="BE51" s="1504"/>
      <c r="BF51" s="1504"/>
      <c r="BG51" s="1504"/>
    </row>
    <row r="52" spans="8:8" ht="15.75">
      <c r="B52" s="1488">
        <f t="shared" si="8"/>
        <v>0.0</v>
      </c>
      <c r="C52" s="1488">
        <f t="shared" si="0"/>
        <v>0.0</v>
      </c>
      <c r="D52" s="1489"/>
      <c r="E52" s="1505"/>
      <c r="F52" s="1506"/>
      <c r="G52" s="1506"/>
      <c r="H52" s="1507"/>
      <c r="I52" s="1492"/>
      <c r="J52" s="1507"/>
      <c r="K52" s="1507"/>
      <c r="L52" s="1507"/>
      <c r="M52" s="1507"/>
      <c r="N52" s="1492">
        <v>0.0</v>
      </c>
      <c r="O52" s="1493">
        <f t="shared" si="9"/>
        <v>-50000.0</v>
      </c>
      <c r="P52" s="1493">
        <f t="shared" si="10"/>
        <v>-75000.0</v>
      </c>
      <c r="Q52" s="1494">
        <f t="shared" si="11"/>
        <v>0.0</v>
      </c>
      <c r="R52" s="1494">
        <f t="shared" si="12"/>
        <v>0.0</v>
      </c>
      <c r="S52" s="1494">
        <f t="shared" si="13"/>
        <v>0.0</v>
      </c>
      <c r="T52" s="1493" t="str">
        <f t="shared" si="1"/>
        <v/>
      </c>
      <c r="U52" s="1494" t="str">
        <f t="shared" si="14"/>
        <v/>
      </c>
      <c r="V52" s="1495" t="str">
        <f t="shared" si="15"/>
        <v/>
      </c>
      <c r="W52" s="1495" t="str">
        <f t="shared" si="16"/>
        <v/>
      </c>
      <c r="X52" s="1494">
        <f t="shared" si="17"/>
        <v>0.0</v>
      </c>
      <c r="Y52" s="1494">
        <f t="shared" si="18"/>
        <v>0.0</v>
      </c>
      <c r="Z52" s="1494">
        <f t="shared" si="19"/>
        <v>0.0</v>
      </c>
      <c r="AA52" s="1494">
        <f t="shared" si="20"/>
        <v>0.0</v>
      </c>
      <c r="AB52" s="1496">
        <f t="shared" si="21"/>
        <v>0.0</v>
      </c>
      <c r="AC52" s="1497" t="str">
        <f t="shared" si="2"/>
        <v/>
      </c>
      <c r="AD52" s="1494" t="str">
        <f t="shared" si="3"/>
        <v/>
      </c>
      <c r="AE52" s="1495" t="str">
        <f t="shared" si="4"/>
        <v/>
      </c>
      <c r="AF52" s="1495" t="str">
        <f t="shared" si="5"/>
        <v/>
      </c>
      <c r="AG52" s="1508"/>
      <c r="AH52" s="1508"/>
      <c r="AI52" s="1496">
        <f t="shared" si="22"/>
        <v>0.0</v>
      </c>
      <c r="AJ52" s="1496">
        <f>IF(OR(W52=0,AF52=0),0,IF(AN52="OLD TAX REGIME",AS52,AY52))</f>
        <v>0.0</v>
      </c>
      <c r="AK52" s="1496">
        <f>IF(OR(W52=0,AF52=0),0,IF(AN52="OLD TAX REGIME",AT52,AZ52))</f>
        <v>0.0</v>
      </c>
      <c r="AL52" s="1496" t="e">
        <f>IF(OR(W52=0,AF52=0),0,IF(AN52="OLD TAX REGIME",AU52,BA52))</f>
        <v>#VALUE!</v>
      </c>
      <c r="AM52" s="1497" t="e">
        <f t="shared" si="23"/>
        <v>#VALUE!</v>
      </c>
      <c r="AN52" s="1499" t="str">
        <f t="shared" si="24"/>
        <v/>
      </c>
      <c r="AO52" s="1500">
        <f t="shared" si="6"/>
        <v>0.0</v>
      </c>
      <c r="AP52" s="1509">
        <f t="shared" si="7"/>
        <v>0.0</v>
      </c>
      <c r="AQ52" s="1502">
        <f t="shared" si="25"/>
        <v>0.0</v>
      </c>
      <c r="AR52" s="1419"/>
      <c r="AS52" s="1501">
        <f>IF($AG$7="INCOME TAX DEDUCT FROM SALARY TILL JAN  2025",0,IF(W52&lt;=12500,0,IF(AI52&gt;W52,0,ROUNDUP((W52-AI52)/3,-3))))</f>
        <v>0.0</v>
      </c>
      <c r="AT52" s="1501">
        <f>IF($AG$7="INCOME TAX DEDUCT FROM SALARY TILL JAN  2025",0,IF(W52&lt;=12500,0,IF(AI52&gt;V52,0,ROUNDUP((W52-AI52)/3,-3))))</f>
        <v>0.0</v>
      </c>
      <c r="AU52" s="1501" t="e">
        <f>IF($AG$7="INCOME TAX DEDUCT FROM SALARY TILL JAN  2025",ROUNDUP((V52-AI52),-3),IF(V52&lt;=12500,0,IF(AI52&gt;V52,0,ROUNDUP((V52-AI52)/3,-3))))</f>
        <v>#VALUE!</v>
      </c>
      <c r="AV52" s="1503" t="e">
        <f t="shared" si="26"/>
        <v>#VALUE!</v>
      </c>
      <c r="AW52" s="1503" t="e">
        <f>AV52+AI52</f>
        <v>#VALUE!</v>
      </c>
      <c r="AX52" s="1501" t="e">
        <f>AW52-W52</f>
        <v>#VALUE!</v>
      </c>
      <c r="AY52" s="1501">
        <f>IF($AG$7="INCOME TAX DEDUCT FROM SALARY TILL JAN  2025",0,IF(AF52&lt;=12500,0,IF(AI52&gt;AF52,0,ROUNDUP((AF52-AI52)/3,-3))))</f>
        <v>0.0</v>
      </c>
      <c r="AZ52" s="1501">
        <f>IF($AG$7="INCOME TAX DEDUCT FROM SALARY TILL JAN  2025",0,IF(AF52&lt;=12500,0,IF(AI52&gt;AF52,0,ROUNDUP((AF52-AI52)/3,-3))))</f>
        <v>0.0</v>
      </c>
      <c r="BA52" s="1501" t="e">
        <f>IF($AG$7="INCOME TAX DEDUCT FROM SALARY TILL JAN  2025",ROUNDUP((AF52-AI52),-3),IF(AF52&lt;=12500,0,IF(AI52&gt;AF52,0,ROUNDUP((AF52-AI52)/3,-3))))</f>
        <v>#VALUE!</v>
      </c>
      <c r="BB52" s="1503" t="e">
        <f t="shared" si="27"/>
        <v>#VALUE!</v>
      </c>
      <c r="BC52" s="1503" t="e">
        <f>BB52+AI52</f>
        <v>#VALUE!</v>
      </c>
      <c r="BD52" s="1501" t="e">
        <f>BC52-AF52</f>
        <v>#VALUE!</v>
      </c>
      <c r="BE52" s="1504"/>
      <c r="BF52" s="1504"/>
      <c r="BG52" s="1504"/>
    </row>
    <row r="53" spans="8:8" ht="15.75">
      <c r="B53" s="1488">
        <f t="shared" si="8"/>
        <v>0.0</v>
      </c>
      <c r="C53" s="1488">
        <f t="shared" si="0"/>
        <v>0.0</v>
      </c>
      <c r="D53" s="1489"/>
      <c r="E53" s="1505"/>
      <c r="F53" s="1506"/>
      <c r="G53" s="1506"/>
      <c r="H53" s="1507"/>
      <c r="I53" s="1492"/>
      <c r="J53" s="1507"/>
      <c r="K53" s="1507"/>
      <c r="L53" s="1507"/>
      <c r="M53" s="1507"/>
      <c r="N53" s="1492">
        <v>0.0</v>
      </c>
      <c r="O53" s="1493">
        <f t="shared" si="9"/>
        <v>-50000.0</v>
      </c>
      <c r="P53" s="1493">
        <f t="shared" si="10"/>
        <v>-75000.0</v>
      </c>
      <c r="Q53" s="1494">
        <f t="shared" si="11"/>
        <v>0.0</v>
      </c>
      <c r="R53" s="1494">
        <f t="shared" si="12"/>
        <v>0.0</v>
      </c>
      <c r="S53" s="1494">
        <f t="shared" si="13"/>
        <v>0.0</v>
      </c>
      <c r="T53" s="1493" t="str">
        <f t="shared" si="1"/>
        <v/>
      </c>
      <c r="U53" s="1494" t="str">
        <f t="shared" si="14"/>
        <v/>
      </c>
      <c r="V53" s="1495" t="str">
        <f t="shared" si="15"/>
        <v/>
      </c>
      <c r="W53" s="1495" t="str">
        <f t="shared" si="16"/>
        <v/>
      </c>
      <c r="X53" s="1494">
        <f t="shared" si="17"/>
        <v>0.0</v>
      </c>
      <c r="Y53" s="1494">
        <f t="shared" si="18"/>
        <v>0.0</v>
      </c>
      <c r="Z53" s="1494">
        <f t="shared" si="19"/>
        <v>0.0</v>
      </c>
      <c r="AA53" s="1494">
        <f t="shared" si="20"/>
        <v>0.0</v>
      </c>
      <c r="AB53" s="1496">
        <f t="shared" si="21"/>
        <v>0.0</v>
      </c>
      <c r="AC53" s="1497" t="str">
        <f t="shared" si="2"/>
        <v/>
      </c>
      <c r="AD53" s="1494" t="str">
        <f t="shared" si="3"/>
        <v/>
      </c>
      <c r="AE53" s="1495" t="str">
        <f t="shared" si="4"/>
        <v/>
      </c>
      <c r="AF53" s="1495" t="str">
        <f t="shared" si="5"/>
        <v/>
      </c>
      <c r="AG53" s="1508"/>
      <c r="AH53" s="1508"/>
      <c r="AI53" s="1496">
        <f t="shared" si="22"/>
        <v>0.0</v>
      </c>
      <c r="AJ53" s="1496">
        <f>IF(OR(W53=0,AF53=0),0,IF(AN53="OLD TAX REGIME",AS53,AY53))</f>
        <v>0.0</v>
      </c>
      <c r="AK53" s="1496">
        <f>IF(OR(W53=0,AF53=0),0,IF(AN53="OLD TAX REGIME",AT53,AZ53))</f>
        <v>0.0</v>
      </c>
      <c r="AL53" s="1496" t="e">
        <f>IF(OR(W53=0,AF53=0),0,IF(AN53="OLD TAX REGIME",AU53,BA53))</f>
        <v>#VALUE!</v>
      </c>
      <c r="AM53" s="1497" t="e">
        <f t="shared" si="23"/>
        <v>#VALUE!</v>
      </c>
      <c r="AN53" s="1499" t="str">
        <f t="shared" si="24"/>
        <v/>
      </c>
      <c r="AO53" s="1500">
        <f t="shared" si="6"/>
        <v>0.0</v>
      </c>
      <c r="AP53" s="1509">
        <f t="shared" si="7"/>
        <v>0.0</v>
      </c>
      <c r="AQ53" s="1502">
        <f t="shared" si="25"/>
        <v>0.0</v>
      </c>
      <c r="AR53" s="1419"/>
      <c r="AS53" s="1501">
        <f>IF($AG$7="INCOME TAX DEDUCT FROM SALARY TILL JAN  2025",0,IF(W53&lt;=12500,0,IF(AI53&gt;W53,0,ROUNDUP((W53-AI53)/3,-3))))</f>
        <v>0.0</v>
      </c>
      <c r="AT53" s="1501">
        <f>IF($AG$7="INCOME TAX DEDUCT FROM SALARY TILL JAN  2025",0,IF(W53&lt;=12500,0,IF(AI53&gt;V53,0,ROUNDUP((W53-AI53)/3,-3))))</f>
        <v>0.0</v>
      </c>
      <c r="AU53" s="1501" t="e">
        <f>IF($AG$7="INCOME TAX DEDUCT FROM SALARY TILL JAN  2025",ROUNDUP((V53-AI53),-3),IF(V53&lt;=12500,0,IF(AI53&gt;V53,0,ROUNDUP((V53-AI53)/3,-3))))</f>
        <v>#VALUE!</v>
      </c>
      <c r="AV53" s="1503" t="e">
        <f t="shared" si="26"/>
        <v>#VALUE!</v>
      </c>
      <c r="AW53" s="1503" t="e">
        <f>AV53+AI53</f>
        <v>#VALUE!</v>
      </c>
      <c r="AX53" s="1501" t="e">
        <f>AW53-W53</f>
        <v>#VALUE!</v>
      </c>
      <c r="AY53" s="1501">
        <f>IF($AG$7="INCOME TAX DEDUCT FROM SALARY TILL JAN  2025",0,IF(AF53&lt;=12500,0,IF(AI53&gt;AF53,0,ROUNDUP((AF53-AI53)/3,-3))))</f>
        <v>0.0</v>
      </c>
      <c r="AZ53" s="1501">
        <f>IF($AG$7="INCOME TAX DEDUCT FROM SALARY TILL JAN  2025",0,IF(AF53&lt;=12500,0,IF(AI53&gt;AF53,0,ROUNDUP((AF53-AI53)/3,-3))))</f>
        <v>0.0</v>
      </c>
      <c r="BA53" s="1501" t="e">
        <f>IF($AG$7="INCOME TAX DEDUCT FROM SALARY TILL JAN  2025",ROUNDUP((AF53-AI53),-3),IF(AF53&lt;=12500,0,IF(AI53&gt;AF53,0,ROUNDUP((AF53-AI53)/3,-3))))</f>
        <v>#VALUE!</v>
      </c>
      <c r="BB53" s="1503" t="e">
        <f t="shared" si="27"/>
        <v>#VALUE!</v>
      </c>
      <c r="BC53" s="1503" t="e">
        <f>BB53+AI53</f>
        <v>#VALUE!</v>
      </c>
      <c r="BD53" s="1501" t="e">
        <f>BC53-AF53</f>
        <v>#VALUE!</v>
      </c>
      <c r="BE53" s="1504"/>
      <c r="BF53" s="1504"/>
      <c r="BG53" s="1504"/>
    </row>
    <row r="54" spans="8:8" ht="15.75">
      <c r="B54" s="1488">
        <f t="shared" si="8"/>
        <v>0.0</v>
      </c>
      <c r="C54" s="1488">
        <f t="shared" si="0"/>
        <v>0.0</v>
      </c>
      <c r="D54" s="1489"/>
      <c r="E54" s="1505"/>
      <c r="F54" s="1506"/>
      <c r="G54" s="1506"/>
      <c r="H54" s="1507"/>
      <c r="I54" s="1492"/>
      <c r="J54" s="1507"/>
      <c r="K54" s="1507"/>
      <c r="L54" s="1507"/>
      <c r="M54" s="1507"/>
      <c r="N54" s="1492">
        <v>0.0</v>
      </c>
      <c r="O54" s="1493">
        <f t="shared" si="9"/>
        <v>-50000.0</v>
      </c>
      <c r="P54" s="1493">
        <f t="shared" si="10"/>
        <v>-75000.0</v>
      </c>
      <c r="Q54" s="1494">
        <f t="shared" si="11"/>
        <v>0.0</v>
      </c>
      <c r="R54" s="1494">
        <f t="shared" si="12"/>
        <v>0.0</v>
      </c>
      <c r="S54" s="1494">
        <f t="shared" si="13"/>
        <v>0.0</v>
      </c>
      <c r="T54" s="1493" t="str">
        <f t="shared" si="1"/>
        <v/>
      </c>
      <c r="U54" s="1494" t="str">
        <f t="shared" si="14"/>
        <v/>
      </c>
      <c r="V54" s="1495" t="str">
        <f t="shared" si="15"/>
        <v/>
      </c>
      <c r="W54" s="1495" t="str">
        <f t="shared" si="16"/>
        <v/>
      </c>
      <c r="X54" s="1494">
        <f t="shared" si="17"/>
        <v>0.0</v>
      </c>
      <c r="Y54" s="1494">
        <f t="shared" si="18"/>
        <v>0.0</v>
      </c>
      <c r="Z54" s="1494">
        <f t="shared" si="19"/>
        <v>0.0</v>
      </c>
      <c r="AA54" s="1494">
        <f t="shared" si="20"/>
        <v>0.0</v>
      </c>
      <c r="AB54" s="1496">
        <f t="shared" si="21"/>
        <v>0.0</v>
      </c>
      <c r="AC54" s="1497" t="str">
        <f t="shared" si="2"/>
        <v/>
      </c>
      <c r="AD54" s="1494" t="str">
        <f t="shared" si="3"/>
        <v/>
      </c>
      <c r="AE54" s="1495" t="str">
        <f t="shared" si="4"/>
        <v/>
      </c>
      <c r="AF54" s="1495" t="str">
        <f t="shared" si="5"/>
        <v/>
      </c>
      <c r="AG54" s="1508"/>
      <c r="AH54" s="1508"/>
      <c r="AI54" s="1496">
        <f t="shared" si="22"/>
        <v>0.0</v>
      </c>
      <c r="AJ54" s="1496">
        <f>IF(OR(W54=0,AF54=0),0,IF(AN54="OLD TAX REGIME",AS54,AY54))</f>
        <v>0.0</v>
      </c>
      <c r="AK54" s="1496">
        <f>IF(OR(W54=0,AF54=0),0,IF(AN54="OLD TAX REGIME",AT54,AZ54))</f>
        <v>0.0</v>
      </c>
      <c r="AL54" s="1496" t="e">
        <f>IF(OR(W54=0,AF54=0),0,IF(AN54="OLD TAX REGIME",AU54,BA54))</f>
        <v>#VALUE!</v>
      </c>
      <c r="AM54" s="1497" t="e">
        <f t="shared" si="23"/>
        <v>#VALUE!</v>
      </c>
      <c r="AN54" s="1499" t="str">
        <f t="shared" si="24"/>
        <v/>
      </c>
      <c r="AO54" s="1500">
        <f t="shared" si="6"/>
        <v>0.0</v>
      </c>
      <c r="AP54" s="1509">
        <f t="shared" si="7"/>
        <v>0.0</v>
      </c>
      <c r="AQ54" s="1502">
        <f t="shared" si="25"/>
        <v>0.0</v>
      </c>
      <c r="AR54" s="1419"/>
      <c r="AS54" s="1501">
        <f>IF($AG$7="INCOME TAX DEDUCT FROM SALARY TILL JAN  2025",0,IF(W54&lt;=12500,0,IF(AI54&gt;W54,0,ROUNDUP((W54-AI54)/3,-3))))</f>
        <v>0.0</v>
      </c>
      <c r="AT54" s="1501">
        <f>IF($AG$7="INCOME TAX DEDUCT FROM SALARY TILL JAN  2025",0,IF(W54&lt;=12500,0,IF(AI54&gt;V54,0,ROUNDUP((W54-AI54)/3,-3))))</f>
        <v>0.0</v>
      </c>
      <c r="AU54" s="1501" t="e">
        <f>IF($AG$7="INCOME TAX DEDUCT FROM SALARY TILL JAN  2025",ROUNDUP((V54-AI54),-3),IF(V54&lt;=12500,0,IF(AI54&gt;V54,0,ROUNDUP((V54-AI54)/3,-3))))</f>
        <v>#VALUE!</v>
      </c>
      <c r="AV54" s="1503" t="e">
        <f t="shared" si="26"/>
        <v>#VALUE!</v>
      </c>
      <c r="AW54" s="1503" t="e">
        <f>AV54+AI54</f>
        <v>#VALUE!</v>
      </c>
      <c r="AX54" s="1501" t="e">
        <f>AW54-W54</f>
        <v>#VALUE!</v>
      </c>
      <c r="AY54" s="1501">
        <f>IF($AG$7="INCOME TAX DEDUCT FROM SALARY TILL JAN  2025",0,IF(AF54&lt;=12500,0,IF(AI54&gt;AF54,0,ROUNDUP((AF54-AI54)/3,-3))))</f>
        <v>0.0</v>
      </c>
      <c r="AZ54" s="1501">
        <f>IF($AG$7="INCOME TAX DEDUCT FROM SALARY TILL JAN  2025",0,IF(AF54&lt;=12500,0,IF(AI54&gt;AF54,0,ROUNDUP((AF54-AI54)/3,-3))))</f>
        <v>0.0</v>
      </c>
      <c r="BA54" s="1501" t="e">
        <f>IF($AG$7="INCOME TAX DEDUCT FROM SALARY TILL JAN  2025",ROUNDUP((AF54-AI54),-3),IF(AF54&lt;=12500,0,IF(AI54&gt;AF54,0,ROUNDUP((AF54-AI54)/3,-3))))</f>
        <v>#VALUE!</v>
      </c>
      <c r="BB54" s="1503" t="e">
        <f t="shared" si="27"/>
        <v>#VALUE!</v>
      </c>
      <c r="BC54" s="1503" t="e">
        <f>BB54+AI54</f>
        <v>#VALUE!</v>
      </c>
      <c r="BD54" s="1501" t="e">
        <f>BC54-AF54</f>
        <v>#VALUE!</v>
      </c>
      <c r="BE54" s="1504"/>
      <c r="BF54" s="1504"/>
      <c r="BG54" s="1504"/>
    </row>
    <row r="55" spans="8:8" ht="15.75">
      <c r="B55" s="1488">
        <f t="shared" si="8"/>
        <v>0.0</v>
      </c>
      <c r="C55" s="1488">
        <f t="shared" si="0"/>
        <v>0.0</v>
      </c>
      <c r="D55" s="1489"/>
      <c r="E55" s="1505"/>
      <c r="F55" s="1506"/>
      <c r="G55" s="1506"/>
      <c r="H55" s="1507"/>
      <c r="I55" s="1492"/>
      <c r="J55" s="1507"/>
      <c r="K55" s="1507"/>
      <c r="L55" s="1507"/>
      <c r="M55" s="1507"/>
      <c r="N55" s="1492">
        <v>0.0</v>
      </c>
      <c r="O55" s="1493">
        <f t="shared" si="9"/>
        <v>-50000.0</v>
      </c>
      <c r="P55" s="1493">
        <f t="shared" si="10"/>
        <v>-75000.0</v>
      </c>
      <c r="Q55" s="1494">
        <f t="shared" si="11"/>
        <v>0.0</v>
      </c>
      <c r="R55" s="1494">
        <f t="shared" si="12"/>
        <v>0.0</v>
      </c>
      <c r="S55" s="1494">
        <f t="shared" si="13"/>
        <v>0.0</v>
      </c>
      <c r="T55" s="1493" t="str">
        <f t="shared" si="1"/>
        <v/>
      </c>
      <c r="U55" s="1494" t="str">
        <f t="shared" si="14"/>
        <v/>
      </c>
      <c r="V55" s="1495" t="str">
        <f t="shared" si="15"/>
        <v/>
      </c>
      <c r="W55" s="1495" t="str">
        <f t="shared" si="16"/>
        <v/>
      </c>
      <c r="X55" s="1494">
        <f t="shared" si="17"/>
        <v>0.0</v>
      </c>
      <c r="Y55" s="1494">
        <f t="shared" si="18"/>
        <v>0.0</v>
      </c>
      <c r="Z55" s="1494">
        <f t="shared" si="19"/>
        <v>0.0</v>
      </c>
      <c r="AA55" s="1494">
        <f t="shared" si="20"/>
        <v>0.0</v>
      </c>
      <c r="AB55" s="1496">
        <f t="shared" si="21"/>
        <v>0.0</v>
      </c>
      <c r="AC55" s="1497" t="str">
        <f t="shared" si="2"/>
        <v/>
      </c>
      <c r="AD55" s="1494" t="str">
        <f t="shared" si="3"/>
        <v/>
      </c>
      <c r="AE55" s="1495" t="str">
        <f t="shared" si="4"/>
        <v/>
      </c>
      <c r="AF55" s="1495" t="str">
        <f t="shared" si="5"/>
        <v/>
      </c>
      <c r="AG55" s="1508"/>
      <c r="AH55" s="1508"/>
      <c r="AI55" s="1496">
        <f t="shared" si="22"/>
        <v>0.0</v>
      </c>
      <c r="AJ55" s="1496">
        <f>IF(OR(W55=0,AF55=0),0,IF(AN55="OLD TAX REGIME",AS55,AY55))</f>
        <v>0.0</v>
      </c>
      <c r="AK55" s="1496">
        <f>IF(OR(W55=0,AF55=0),0,IF(AN55="OLD TAX REGIME",AT55,AZ55))</f>
        <v>0.0</v>
      </c>
      <c r="AL55" s="1496" t="e">
        <f>IF(OR(W55=0,AF55=0),0,IF(AN55="OLD TAX REGIME",AU55,BA55))</f>
        <v>#VALUE!</v>
      </c>
      <c r="AM55" s="1497" t="e">
        <f t="shared" si="23"/>
        <v>#VALUE!</v>
      </c>
      <c r="AN55" s="1499" t="str">
        <f t="shared" si="24"/>
        <v/>
      </c>
      <c r="AO55" s="1500">
        <f t="shared" si="6"/>
        <v>0.0</v>
      </c>
      <c r="AP55" s="1509">
        <f t="shared" si="7"/>
        <v>0.0</v>
      </c>
      <c r="AQ55" s="1502">
        <f t="shared" si="25"/>
        <v>0.0</v>
      </c>
      <c r="AR55" s="1419"/>
      <c r="AS55" s="1501">
        <f>IF($AG$7="INCOME TAX DEDUCT FROM SALARY TILL JAN  2025",0,IF(W55&lt;=12500,0,IF(AI55&gt;W55,0,ROUNDUP((W55-AI55)/3,-3))))</f>
        <v>0.0</v>
      </c>
      <c r="AT55" s="1501">
        <f>IF($AG$7="INCOME TAX DEDUCT FROM SALARY TILL JAN  2025",0,IF(W55&lt;=12500,0,IF(AI55&gt;V55,0,ROUNDUP((W55-AI55)/3,-3))))</f>
        <v>0.0</v>
      </c>
      <c r="AU55" s="1501" t="e">
        <f>IF($AG$7="INCOME TAX DEDUCT FROM SALARY TILL JAN  2025",ROUNDUP((V55-AI55),-3),IF(V55&lt;=12500,0,IF(AI55&gt;V55,0,ROUNDUP((V55-AI55)/3,-3))))</f>
        <v>#VALUE!</v>
      </c>
      <c r="AV55" s="1503" t="e">
        <f t="shared" si="26"/>
        <v>#VALUE!</v>
      </c>
      <c r="AW55" s="1503" t="e">
        <f>AV55+AI55</f>
        <v>#VALUE!</v>
      </c>
      <c r="AX55" s="1501" t="e">
        <f>AW55-W55</f>
        <v>#VALUE!</v>
      </c>
      <c r="AY55" s="1501">
        <f>IF($AG$7="INCOME TAX DEDUCT FROM SALARY TILL JAN  2025",0,IF(AF55&lt;=12500,0,IF(AI55&gt;AF55,0,ROUNDUP((AF55-AI55)/3,-3))))</f>
        <v>0.0</v>
      </c>
      <c r="AZ55" s="1501">
        <f>IF($AG$7="INCOME TAX DEDUCT FROM SALARY TILL JAN  2025",0,IF(AF55&lt;=12500,0,IF(AI55&gt;AF55,0,ROUNDUP((AF55-AI55)/3,-3))))</f>
        <v>0.0</v>
      </c>
      <c r="BA55" s="1501" t="e">
        <f>IF($AG$7="INCOME TAX DEDUCT FROM SALARY TILL JAN  2025",ROUNDUP((AF55-AI55),-3),IF(AF55&lt;=12500,0,IF(AI55&gt;AF55,0,ROUNDUP((AF55-AI55)/3,-3))))</f>
        <v>#VALUE!</v>
      </c>
      <c r="BB55" s="1503" t="e">
        <f t="shared" si="27"/>
        <v>#VALUE!</v>
      </c>
      <c r="BC55" s="1503" t="e">
        <f>BB55+AI55</f>
        <v>#VALUE!</v>
      </c>
      <c r="BD55" s="1501" t="e">
        <f>BC55-AF55</f>
        <v>#VALUE!</v>
      </c>
      <c r="BE55" s="1504"/>
      <c r="BF55" s="1504"/>
      <c r="BG55" s="1504"/>
    </row>
    <row r="56" spans="8:8" ht="15.75">
      <c r="B56" s="1488">
        <f t="shared" si="8"/>
        <v>0.0</v>
      </c>
      <c r="C56" s="1488">
        <f t="shared" si="0"/>
        <v>0.0</v>
      </c>
      <c r="D56" s="1489"/>
      <c r="E56" s="1505"/>
      <c r="F56" s="1506"/>
      <c r="G56" s="1506"/>
      <c r="H56" s="1507"/>
      <c r="I56" s="1492"/>
      <c r="J56" s="1507"/>
      <c r="K56" s="1507"/>
      <c r="L56" s="1507"/>
      <c r="M56" s="1507"/>
      <c r="N56" s="1492">
        <v>0.0</v>
      </c>
      <c r="O56" s="1493">
        <f t="shared" si="9"/>
        <v>-50000.0</v>
      </c>
      <c r="P56" s="1493">
        <f t="shared" si="10"/>
        <v>-75000.0</v>
      </c>
      <c r="Q56" s="1494">
        <f t="shared" si="11"/>
        <v>0.0</v>
      </c>
      <c r="R56" s="1494">
        <f t="shared" si="12"/>
        <v>0.0</v>
      </c>
      <c r="S56" s="1494">
        <f t="shared" si="13"/>
        <v>0.0</v>
      </c>
      <c r="T56" s="1493" t="str">
        <f t="shared" si="1"/>
        <v/>
      </c>
      <c r="U56" s="1494" t="str">
        <f t="shared" si="14"/>
        <v/>
      </c>
      <c r="V56" s="1495" t="str">
        <f t="shared" si="15"/>
        <v/>
      </c>
      <c r="W56" s="1495" t="str">
        <f t="shared" si="16"/>
        <v/>
      </c>
      <c r="X56" s="1494">
        <f t="shared" si="17"/>
        <v>0.0</v>
      </c>
      <c r="Y56" s="1494">
        <f t="shared" si="18"/>
        <v>0.0</v>
      </c>
      <c r="Z56" s="1494">
        <f t="shared" si="19"/>
        <v>0.0</v>
      </c>
      <c r="AA56" s="1494">
        <f t="shared" si="20"/>
        <v>0.0</v>
      </c>
      <c r="AB56" s="1496">
        <f t="shared" si="21"/>
        <v>0.0</v>
      </c>
      <c r="AC56" s="1497" t="str">
        <f t="shared" si="2"/>
        <v/>
      </c>
      <c r="AD56" s="1494" t="str">
        <f t="shared" si="3"/>
        <v/>
      </c>
      <c r="AE56" s="1495" t="str">
        <f t="shared" si="4"/>
        <v/>
      </c>
      <c r="AF56" s="1495" t="str">
        <f t="shared" si="5"/>
        <v/>
      </c>
      <c r="AG56" s="1508"/>
      <c r="AH56" s="1508"/>
      <c r="AI56" s="1496">
        <f t="shared" si="22"/>
        <v>0.0</v>
      </c>
      <c r="AJ56" s="1496">
        <f>IF(OR(W56=0,AF56=0),0,IF(AN56="OLD TAX REGIME",AS56,AY56))</f>
        <v>0.0</v>
      </c>
      <c r="AK56" s="1496">
        <f>IF(OR(W56=0,AF56=0),0,IF(AN56="OLD TAX REGIME",AT56,AZ56))</f>
        <v>0.0</v>
      </c>
      <c r="AL56" s="1496" t="e">
        <f>IF(OR(W56=0,AF56=0),0,IF(AN56="OLD TAX REGIME",AU56,BA56))</f>
        <v>#VALUE!</v>
      </c>
      <c r="AM56" s="1497" t="e">
        <f t="shared" si="23"/>
        <v>#VALUE!</v>
      </c>
      <c r="AN56" s="1499" t="str">
        <f t="shared" si="24"/>
        <v/>
      </c>
      <c r="AO56" s="1500">
        <f t="shared" si="6"/>
        <v>0.0</v>
      </c>
      <c r="AP56" s="1509">
        <f t="shared" si="7"/>
        <v>0.0</v>
      </c>
      <c r="AQ56" s="1502">
        <f t="shared" si="25"/>
        <v>0.0</v>
      </c>
      <c r="AR56" s="1419"/>
      <c r="AS56" s="1501">
        <f>IF($AG$7="INCOME TAX DEDUCT FROM SALARY TILL JAN  2025",0,IF(W56&lt;=12500,0,IF(AI56&gt;W56,0,ROUNDUP((W56-AI56)/3,-3))))</f>
        <v>0.0</v>
      </c>
      <c r="AT56" s="1501">
        <f>IF($AG$7="INCOME TAX DEDUCT FROM SALARY TILL JAN  2025",0,IF(W56&lt;=12500,0,IF(AI56&gt;V56,0,ROUNDUP((W56-AI56)/3,-3))))</f>
        <v>0.0</v>
      </c>
      <c r="AU56" s="1501" t="e">
        <f>IF($AG$7="INCOME TAX DEDUCT FROM SALARY TILL JAN  2025",ROUNDUP((V56-AI56),-3),IF(V56&lt;=12500,0,IF(AI56&gt;V56,0,ROUNDUP((V56-AI56)/3,-3))))</f>
        <v>#VALUE!</v>
      </c>
      <c r="AV56" s="1503" t="e">
        <f t="shared" si="26"/>
        <v>#VALUE!</v>
      </c>
      <c r="AW56" s="1503" t="e">
        <f>AV56+AI56</f>
        <v>#VALUE!</v>
      </c>
      <c r="AX56" s="1501" t="e">
        <f>AW56-W56</f>
        <v>#VALUE!</v>
      </c>
      <c r="AY56" s="1501">
        <f>IF($AG$7="INCOME TAX DEDUCT FROM SALARY TILL JAN  2025",0,IF(AF56&lt;=12500,0,IF(AI56&gt;AF56,0,ROUNDUP((AF56-AI56)/3,-3))))</f>
        <v>0.0</v>
      </c>
      <c r="AZ56" s="1501">
        <f>IF($AG$7="INCOME TAX DEDUCT FROM SALARY TILL JAN  2025",0,IF(AF56&lt;=12500,0,IF(AI56&gt;AF56,0,ROUNDUP((AF56-AI56)/3,-3))))</f>
        <v>0.0</v>
      </c>
      <c r="BA56" s="1501" t="e">
        <f>IF($AG$7="INCOME TAX DEDUCT FROM SALARY TILL JAN  2025",ROUNDUP((AF56-AI56),-3),IF(AF56&lt;=12500,0,IF(AI56&gt;AF56,0,ROUNDUP((AF56-AI56)/3,-3))))</f>
        <v>#VALUE!</v>
      </c>
      <c r="BB56" s="1503" t="e">
        <f t="shared" si="27"/>
        <v>#VALUE!</v>
      </c>
      <c r="BC56" s="1503" t="e">
        <f>BB56+AI56</f>
        <v>#VALUE!</v>
      </c>
      <c r="BD56" s="1501" t="e">
        <f>BC56-AF56</f>
        <v>#VALUE!</v>
      </c>
      <c r="BE56" s="1504"/>
      <c r="BF56" s="1504"/>
      <c r="BG56" s="1504"/>
    </row>
    <row r="57" spans="8:8" ht="15.75">
      <c r="B57" s="1488">
        <f t="shared" si="8"/>
        <v>0.0</v>
      </c>
      <c r="C57" s="1488">
        <f t="shared" si="0"/>
        <v>0.0</v>
      </c>
      <c r="D57" s="1489"/>
      <c r="E57" s="1505"/>
      <c r="F57" s="1506"/>
      <c r="G57" s="1506"/>
      <c r="H57" s="1507"/>
      <c r="I57" s="1492"/>
      <c r="J57" s="1507"/>
      <c r="K57" s="1507"/>
      <c r="L57" s="1507"/>
      <c r="M57" s="1507"/>
      <c r="N57" s="1492">
        <v>0.0</v>
      </c>
      <c r="O57" s="1493">
        <f t="shared" si="9"/>
        <v>-50000.0</v>
      </c>
      <c r="P57" s="1493">
        <f t="shared" si="10"/>
        <v>-75000.0</v>
      </c>
      <c r="Q57" s="1494">
        <f t="shared" si="11"/>
        <v>0.0</v>
      </c>
      <c r="R57" s="1494">
        <f t="shared" si="12"/>
        <v>0.0</v>
      </c>
      <c r="S57" s="1494">
        <f t="shared" si="13"/>
        <v>0.0</v>
      </c>
      <c r="T57" s="1493" t="str">
        <f t="shared" si="1"/>
        <v/>
      </c>
      <c r="U57" s="1494" t="str">
        <f t="shared" si="14"/>
        <v/>
      </c>
      <c r="V57" s="1495" t="str">
        <f t="shared" si="15"/>
        <v/>
      </c>
      <c r="W57" s="1495" t="str">
        <f t="shared" si="16"/>
        <v/>
      </c>
      <c r="X57" s="1494">
        <f t="shared" si="17"/>
        <v>0.0</v>
      </c>
      <c r="Y57" s="1494">
        <f t="shared" si="18"/>
        <v>0.0</v>
      </c>
      <c r="Z57" s="1494">
        <f t="shared" si="19"/>
        <v>0.0</v>
      </c>
      <c r="AA57" s="1494">
        <f t="shared" si="20"/>
        <v>0.0</v>
      </c>
      <c r="AB57" s="1496">
        <f t="shared" si="21"/>
        <v>0.0</v>
      </c>
      <c r="AC57" s="1497" t="str">
        <f t="shared" si="2"/>
        <v/>
      </c>
      <c r="AD57" s="1494" t="str">
        <f t="shared" si="3"/>
        <v/>
      </c>
      <c r="AE57" s="1495" t="str">
        <f t="shared" si="4"/>
        <v/>
      </c>
      <c r="AF57" s="1495" t="str">
        <f t="shared" si="5"/>
        <v/>
      </c>
      <c r="AG57" s="1508"/>
      <c r="AH57" s="1508"/>
      <c r="AI57" s="1496">
        <f t="shared" si="22"/>
        <v>0.0</v>
      </c>
      <c r="AJ57" s="1496">
        <f>IF(OR(W57=0,AF57=0),0,IF(AN57="OLD TAX REGIME",AS57,AY57))</f>
        <v>0.0</v>
      </c>
      <c r="AK57" s="1496">
        <f>IF(OR(W57=0,AF57=0),0,IF(AN57="OLD TAX REGIME",AT57,AZ57))</f>
        <v>0.0</v>
      </c>
      <c r="AL57" s="1496" t="e">
        <f>IF(OR(W57=0,AF57=0),0,IF(AN57="OLD TAX REGIME",AU57,BA57))</f>
        <v>#VALUE!</v>
      </c>
      <c r="AM57" s="1497" t="e">
        <f t="shared" si="23"/>
        <v>#VALUE!</v>
      </c>
      <c r="AN57" s="1499" t="str">
        <f t="shared" si="24"/>
        <v/>
      </c>
      <c r="AO57" s="1500">
        <f t="shared" si="6"/>
        <v>0.0</v>
      </c>
      <c r="AP57" s="1509">
        <f t="shared" si="7"/>
        <v>0.0</v>
      </c>
      <c r="AQ57" s="1502">
        <f t="shared" si="25"/>
        <v>0.0</v>
      </c>
      <c r="AR57" s="1419"/>
      <c r="AS57" s="1501">
        <f>IF($AG$7="INCOME TAX DEDUCT FROM SALARY TILL JAN  2025",0,IF(W57&lt;=12500,0,IF(AI57&gt;W57,0,ROUNDUP((W57-AI57)/3,-3))))</f>
        <v>0.0</v>
      </c>
      <c r="AT57" s="1501">
        <f>IF($AG$7="INCOME TAX DEDUCT FROM SALARY TILL JAN  2025",0,IF(W57&lt;=12500,0,IF(AI57&gt;V57,0,ROUNDUP((W57-AI57)/3,-3))))</f>
        <v>0.0</v>
      </c>
      <c r="AU57" s="1501" t="e">
        <f>IF($AG$7="INCOME TAX DEDUCT FROM SALARY TILL JAN  2025",ROUNDUP((V57-AI57),-3),IF(V57&lt;=12500,0,IF(AI57&gt;V57,0,ROUNDUP((V57-AI57)/3,-3))))</f>
        <v>#VALUE!</v>
      </c>
      <c r="AV57" s="1503" t="e">
        <f t="shared" si="26"/>
        <v>#VALUE!</v>
      </c>
      <c r="AW57" s="1503" t="e">
        <f>AV57+AI57</f>
        <v>#VALUE!</v>
      </c>
      <c r="AX57" s="1501" t="e">
        <f>AW57-W57</f>
        <v>#VALUE!</v>
      </c>
      <c r="AY57" s="1501">
        <f>IF($AG$7="INCOME TAX DEDUCT FROM SALARY TILL JAN  2025",0,IF(AF57&lt;=12500,0,IF(AI57&gt;AF57,0,ROUNDUP((AF57-AI57)/3,-3))))</f>
        <v>0.0</v>
      </c>
      <c r="AZ57" s="1501">
        <f>IF($AG$7="INCOME TAX DEDUCT FROM SALARY TILL JAN  2025",0,IF(AF57&lt;=12500,0,IF(AI57&gt;AF57,0,ROUNDUP((AF57-AI57)/3,-3))))</f>
        <v>0.0</v>
      </c>
      <c r="BA57" s="1501" t="e">
        <f>IF($AG$7="INCOME TAX DEDUCT FROM SALARY TILL JAN  2025",ROUNDUP((AF57-AI57),-3),IF(AF57&lt;=12500,0,IF(AI57&gt;AF57,0,ROUNDUP((AF57-AI57)/3,-3))))</f>
        <v>#VALUE!</v>
      </c>
      <c r="BB57" s="1503" t="e">
        <f t="shared" si="27"/>
        <v>#VALUE!</v>
      </c>
      <c r="BC57" s="1503" t="e">
        <f>BB57+AI57</f>
        <v>#VALUE!</v>
      </c>
      <c r="BD57" s="1501" t="e">
        <f>BC57-AF57</f>
        <v>#VALUE!</v>
      </c>
      <c r="BE57" s="1504"/>
      <c r="BF57" s="1504"/>
      <c r="BG57" s="1504"/>
    </row>
    <row r="58" spans="8:8" ht="15.75">
      <c r="B58" s="1488">
        <f t="shared" si="8"/>
        <v>0.0</v>
      </c>
      <c r="C58" s="1488">
        <f t="shared" si="0"/>
        <v>0.0</v>
      </c>
      <c r="D58" s="1489"/>
      <c r="E58" s="1505"/>
      <c r="F58" s="1506"/>
      <c r="G58" s="1506"/>
      <c r="H58" s="1507"/>
      <c r="I58" s="1492"/>
      <c r="J58" s="1507"/>
      <c r="K58" s="1507"/>
      <c r="L58" s="1507"/>
      <c r="M58" s="1507"/>
      <c r="N58" s="1492">
        <v>0.0</v>
      </c>
      <c r="O58" s="1493">
        <f t="shared" si="9"/>
        <v>-50000.0</v>
      </c>
      <c r="P58" s="1493">
        <f t="shared" si="10"/>
        <v>-75000.0</v>
      </c>
      <c r="Q58" s="1494">
        <f t="shared" si="11"/>
        <v>0.0</v>
      </c>
      <c r="R58" s="1494">
        <f t="shared" si="12"/>
        <v>0.0</v>
      </c>
      <c r="S58" s="1494">
        <f t="shared" si="13"/>
        <v>0.0</v>
      </c>
      <c r="T58" s="1493" t="str">
        <f t="shared" si="1"/>
        <v/>
      </c>
      <c r="U58" s="1494" t="str">
        <f t="shared" si="14"/>
        <v/>
      </c>
      <c r="V58" s="1495" t="str">
        <f t="shared" si="15"/>
        <v/>
      </c>
      <c r="W58" s="1495" t="str">
        <f t="shared" si="16"/>
        <v/>
      </c>
      <c r="X58" s="1494">
        <f t="shared" si="17"/>
        <v>0.0</v>
      </c>
      <c r="Y58" s="1494">
        <f t="shared" si="18"/>
        <v>0.0</v>
      </c>
      <c r="Z58" s="1494">
        <f t="shared" si="19"/>
        <v>0.0</v>
      </c>
      <c r="AA58" s="1494">
        <f t="shared" si="20"/>
        <v>0.0</v>
      </c>
      <c r="AB58" s="1496">
        <f t="shared" si="21"/>
        <v>0.0</v>
      </c>
      <c r="AC58" s="1497" t="str">
        <f t="shared" si="2"/>
        <v/>
      </c>
      <c r="AD58" s="1494" t="str">
        <f t="shared" si="3"/>
        <v/>
      </c>
      <c r="AE58" s="1495" t="str">
        <f t="shared" si="4"/>
        <v/>
      </c>
      <c r="AF58" s="1495" t="str">
        <f t="shared" si="5"/>
        <v/>
      </c>
      <c r="AG58" s="1508"/>
      <c r="AH58" s="1508"/>
      <c r="AI58" s="1496">
        <f t="shared" si="22"/>
        <v>0.0</v>
      </c>
      <c r="AJ58" s="1496">
        <f>IF(OR(W58=0,AF58=0),0,IF(AN58="OLD TAX REGIME",AS58,AY58))</f>
        <v>0.0</v>
      </c>
      <c r="AK58" s="1496">
        <f>IF(OR(W58=0,AF58=0),0,IF(AN58="OLD TAX REGIME",AT58,AZ58))</f>
        <v>0.0</v>
      </c>
      <c r="AL58" s="1496" t="e">
        <f>IF(OR(W58=0,AF58=0),0,IF(AN58="OLD TAX REGIME",AU58,BA58))</f>
        <v>#VALUE!</v>
      </c>
      <c r="AM58" s="1497" t="e">
        <f t="shared" si="23"/>
        <v>#VALUE!</v>
      </c>
      <c r="AN58" s="1499" t="str">
        <f t="shared" si="24"/>
        <v/>
      </c>
      <c r="AO58" s="1500">
        <f t="shared" si="6"/>
        <v>0.0</v>
      </c>
      <c r="AP58" s="1509">
        <f t="shared" si="7"/>
        <v>0.0</v>
      </c>
      <c r="AQ58" s="1502">
        <f t="shared" si="25"/>
        <v>0.0</v>
      </c>
      <c r="AR58" s="1419"/>
      <c r="AS58" s="1501">
        <f>IF($AG$7="INCOME TAX DEDUCT FROM SALARY TILL JAN  2025",0,IF(W58&lt;=12500,0,IF(AI58&gt;W58,0,ROUNDUP((W58-AI58)/3,-3))))</f>
        <v>0.0</v>
      </c>
      <c r="AT58" s="1501">
        <f>IF($AG$7="INCOME TAX DEDUCT FROM SALARY TILL JAN  2025",0,IF(W58&lt;=12500,0,IF(AI58&gt;V58,0,ROUNDUP((W58-AI58)/3,-3))))</f>
        <v>0.0</v>
      </c>
      <c r="AU58" s="1501" t="e">
        <f>IF($AG$7="INCOME TAX DEDUCT FROM SALARY TILL JAN  2025",ROUNDUP((V58-AI58),-3),IF(V58&lt;=12500,0,IF(AI58&gt;V58,0,ROUNDUP((V58-AI58)/3,-3))))</f>
        <v>#VALUE!</v>
      </c>
      <c r="AV58" s="1503" t="e">
        <f t="shared" si="26"/>
        <v>#VALUE!</v>
      </c>
      <c r="AW58" s="1503" t="e">
        <f>AV58+AI58</f>
        <v>#VALUE!</v>
      </c>
      <c r="AX58" s="1501" t="e">
        <f>AW58-W58</f>
        <v>#VALUE!</v>
      </c>
      <c r="AY58" s="1501">
        <f>IF($AG$7="INCOME TAX DEDUCT FROM SALARY TILL JAN  2025",0,IF(AF58&lt;=12500,0,IF(AI58&gt;AF58,0,ROUNDUP((AF58-AI58)/3,-3))))</f>
        <v>0.0</v>
      </c>
      <c r="AZ58" s="1501">
        <f>IF($AG$7="INCOME TAX DEDUCT FROM SALARY TILL JAN  2025",0,IF(AF58&lt;=12500,0,IF(AI58&gt;AF58,0,ROUNDUP((AF58-AI58)/3,-3))))</f>
        <v>0.0</v>
      </c>
      <c r="BA58" s="1501" t="e">
        <f>IF($AG$7="INCOME TAX DEDUCT FROM SALARY TILL JAN  2025",ROUNDUP((AF58-AI58),-3),IF(AF58&lt;=12500,0,IF(AI58&gt;AF58,0,ROUNDUP((AF58-AI58)/3,-3))))</f>
        <v>#VALUE!</v>
      </c>
      <c r="BB58" s="1503" t="e">
        <f t="shared" si="27"/>
        <v>#VALUE!</v>
      </c>
      <c r="BC58" s="1503" t="e">
        <f>BB58+AI58</f>
        <v>#VALUE!</v>
      </c>
      <c r="BD58" s="1501" t="e">
        <f>BC58-AF58</f>
        <v>#VALUE!</v>
      </c>
      <c r="BE58" s="1504"/>
      <c r="BF58" s="1504"/>
      <c r="BG58" s="1504"/>
    </row>
    <row r="59" spans="8:8" ht="15.75">
      <c r="B59" s="1488">
        <f t="shared" si="8"/>
        <v>0.0</v>
      </c>
      <c r="C59" s="1488">
        <f t="shared" si="0"/>
        <v>0.0</v>
      </c>
      <c r="D59" s="1489"/>
      <c r="E59" s="1505"/>
      <c r="F59" s="1506"/>
      <c r="G59" s="1506"/>
      <c r="H59" s="1507"/>
      <c r="I59" s="1492"/>
      <c r="J59" s="1507"/>
      <c r="K59" s="1507"/>
      <c r="L59" s="1507"/>
      <c r="M59" s="1507"/>
      <c r="N59" s="1492">
        <v>0.0</v>
      </c>
      <c r="O59" s="1493">
        <f t="shared" si="9"/>
        <v>-50000.0</v>
      </c>
      <c r="P59" s="1493">
        <f t="shared" si="10"/>
        <v>-75000.0</v>
      </c>
      <c r="Q59" s="1494">
        <f t="shared" si="11"/>
        <v>0.0</v>
      </c>
      <c r="R59" s="1494">
        <f t="shared" si="12"/>
        <v>0.0</v>
      </c>
      <c r="S59" s="1494">
        <f t="shared" si="13"/>
        <v>0.0</v>
      </c>
      <c r="T59" s="1493" t="str">
        <f t="shared" si="1"/>
        <v/>
      </c>
      <c r="U59" s="1494" t="str">
        <f t="shared" si="14"/>
        <v/>
      </c>
      <c r="V59" s="1495" t="str">
        <f t="shared" si="15"/>
        <v/>
      </c>
      <c r="W59" s="1495" t="str">
        <f t="shared" si="16"/>
        <v/>
      </c>
      <c r="X59" s="1494">
        <f t="shared" si="17"/>
        <v>0.0</v>
      </c>
      <c r="Y59" s="1494">
        <f t="shared" si="18"/>
        <v>0.0</v>
      </c>
      <c r="Z59" s="1494">
        <f t="shared" si="19"/>
        <v>0.0</v>
      </c>
      <c r="AA59" s="1494">
        <f t="shared" si="20"/>
        <v>0.0</v>
      </c>
      <c r="AB59" s="1496">
        <f t="shared" si="21"/>
        <v>0.0</v>
      </c>
      <c r="AC59" s="1497" t="str">
        <f t="shared" si="2"/>
        <v/>
      </c>
      <c r="AD59" s="1494" t="str">
        <f t="shared" si="3"/>
        <v/>
      </c>
      <c r="AE59" s="1495" t="str">
        <f t="shared" si="4"/>
        <v/>
      </c>
      <c r="AF59" s="1495" t="str">
        <f t="shared" si="5"/>
        <v/>
      </c>
      <c r="AG59" s="1508"/>
      <c r="AH59" s="1508"/>
      <c r="AI59" s="1496">
        <f t="shared" si="22"/>
        <v>0.0</v>
      </c>
      <c r="AJ59" s="1496">
        <f>IF(OR(W59=0,AF59=0),0,IF(AN59="OLD TAX REGIME",AS59,AY59))</f>
        <v>0.0</v>
      </c>
      <c r="AK59" s="1496">
        <f>IF(OR(W59=0,AF59=0),0,IF(AN59="OLD TAX REGIME",AT59,AZ59))</f>
        <v>0.0</v>
      </c>
      <c r="AL59" s="1496" t="e">
        <f>IF(OR(W59=0,AF59=0),0,IF(AN59="OLD TAX REGIME",AU59,BA59))</f>
        <v>#VALUE!</v>
      </c>
      <c r="AM59" s="1497" t="e">
        <f t="shared" si="23"/>
        <v>#VALUE!</v>
      </c>
      <c r="AN59" s="1499" t="str">
        <f t="shared" si="24"/>
        <v/>
      </c>
      <c r="AO59" s="1500">
        <f t="shared" si="6"/>
        <v>0.0</v>
      </c>
      <c r="AP59" s="1509">
        <f t="shared" si="7"/>
        <v>0.0</v>
      </c>
      <c r="AQ59" s="1502">
        <f t="shared" si="25"/>
        <v>0.0</v>
      </c>
      <c r="AR59" s="1419"/>
      <c r="AS59" s="1501">
        <f>IF($AG$7="INCOME TAX DEDUCT FROM SALARY TILL JAN  2025",0,IF(W59&lt;=12500,0,IF(AI59&gt;W59,0,ROUNDUP((W59-AI59)/3,-3))))</f>
        <v>0.0</v>
      </c>
      <c r="AT59" s="1501">
        <f>IF($AG$7="INCOME TAX DEDUCT FROM SALARY TILL JAN  2025",0,IF(W59&lt;=12500,0,IF(AI59&gt;V59,0,ROUNDUP((W59-AI59)/3,-3))))</f>
        <v>0.0</v>
      </c>
      <c r="AU59" s="1501" t="e">
        <f>IF($AG$7="INCOME TAX DEDUCT FROM SALARY TILL JAN  2025",ROUNDUP((V59-AI59),-3),IF(V59&lt;=12500,0,IF(AI59&gt;V59,0,ROUNDUP((V59-AI59)/3,-3))))</f>
        <v>#VALUE!</v>
      </c>
      <c r="AV59" s="1503" t="e">
        <f t="shared" si="26"/>
        <v>#VALUE!</v>
      </c>
      <c r="AW59" s="1503" t="e">
        <f>AV59+AI59</f>
        <v>#VALUE!</v>
      </c>
      <c r="AX59" s="1501" t="e">
        <f>AW59-W59</f>
        <v>#VALUE!</v>
      </c>
      <c r="AY59" s="1501">
        <f>IF($AG$7="INCOME TAX DEDUCT FROM SALARY TILL JAN  2025",0,IF(AF59&lt;=12500,0,IF(AI59&gt;AF59,0,ROUNDUP((AF59-AI59)/3,-3))))</f>
        <v>0.0</v>
      </c>
      <c r="AZ59" s="1501">
        <f>IF($AG$7="INCOME TAX DEDUCT FROM SALARY TILL JAN  2025",0,IF(AF59&lt;=12500,0,IF(AI59&gt;AF59,0,ROUNDUP((AF59-AI59)/3,-3))))</f>
        <v>0.0</v>
      </c>
      <c r="BA59" s="1501" t="e">
        <f>IF($AG$7="INCOME TAX DEDUCT FROM SALARY TILL JAN  2025",ROUNDUP((AF59-AI59),-3),IF(AF59&lt;=12500,0,IF(AI59&gt;AF59,0,ROUNDUP((AF59-AI59)/3,-3))))</f>
        <v>#VALUE!</v>
      </c>
      <c r="BB59" s="1503" t="e">
        <f t="shared" si="27"/>
        <v>#VALUE!</v>
      </c>
      <c r="BC59" s="1503" t="e">
        <f>BB59+AI59</f>
        <v>#VALUE!</v>
      </c>
      <c r="BD59" s="1501" t="e">
        <f>BC59-AF59</f>
        <v>#VALUE!</v>
      </c>
      <c r="BE59" s="1504"/>
      <c r="BF59" s="1504"/>
      <c r="BG59" s="1504"/>
    </row>
    <row r="60" spans="8:8" ht="15.75">
      <c r="B60" s="1488">
        <f t="shared" si="8"/>
        <v>0.0</v>
      </c>
      <c r="C60" s="1488">
        <f t="shared" si="0"/>
        <v>0.0</v>
      </c>
      <c r="D60" s="1489"/>
      <c r="E60" s="1505"/>
      <c r="F60" s="1506"/>
      <c r="G60" s="1506"/>
      <c r="H60" s="1507"/>
      <c r="I60" s="1492"/>
      <c r="J60" s="1507"/>
      <c r="K60" s="1507"/>
      <c r="L60" s="1507"/>
      <c r="M60" s="1507"/>
      <c r="N60" s="1492">
        <v>0.0</v>
      </c>
      <c r="O60" s="1493">
        <f t="shared" si="9"/>
        <v>-50000.0</v>
      </c>
      <c r="P60" s="1493">
        <f t="shared" si="10"/>
        <v>-75000.0</v>
      </c>
      <c r="Q60" s="1494">
        <f t="shared" si="11"/>
        <v>0.0</v>
      </c>
      <c r="R60" s="1494">
        <f t="shared" si="12"/>
        <v>0.0</v>
      </c>
      <c r="S60" s="1494">
        <f t="shared" si="13"/>
        <v>0.0</v>
      </c>
      <c r="T60" s="1493" t="str">
        <f t="shared" si="1"/>
        <v/>
      </c>
      <c r="U60" s="1494" t="str">
        <f t="shared" si="14"/>
        <v/>
      </c>
      <c r="V60" s="1495" t="str">
        <f t="shared" si="15"/>
        <v/>
      </c>
      <c r="W60" s="1495" t="str">
        <f t="shared" si="16"/>
        <v/>
      </c>
      <c r="X60" s="1494">
        <f t="shared" si="17"/>
        <v>0.0</v>
      </c>
      <c r="Y60" s="1494">
        <f t="shared" si="18"/>
        <v>0.0</v>
      </c>
      <c r="Z60" s="1494">
        <f t="shared" si="19"/>
        <v>0.0</v>
      </c>
      <c r="AA60" s="1494">
        <f t="shared" si="20"/>
        <v>0.0</v>
      </c>
      <c r="AB60" s="1496">
        <f t="shared" si="21"/>
        <v>0.0</v>
      </c>
      <c r="AC60" s="1497" t="str">
        <f t="shared" si="2"/>
        <v/>
      </c>
      <c r="AD60" s="1494" t="str">
        <f t="shared" si="3"/>
        <v/>
      </c>
      <c r="AE60" s="1495" t="str">
        <f t="shared" si="4"/>
        <v/>
      </c>
      <c r="AF60" s="1495" t="str">
        <f t="shared" si="5"/>
        <v/>
      </c>
      <c r="AG60" s="1508"/>
      <c r="AH60" s="1508"/>
      <c r="AI60" s="1496">
        <f t="shared" si="22"/>
        <v>0.0</v>
      </c>
      <c r="AJ60" s="1496">
        <f>IF(OR(W60=0,AF60=0),0,IF(AN60="OLD TAX REGIME",AS60,AY60))</f>
        <v>0.0</v>
      </c>
      <c r="AK60" s="1496">
        <f>IF(OR(W60=0,AF60=0),0,IF(AN60="OLD TAX REGIME",AT60,AZ60))</f>
        <v>0.0</v>
      </c>
      <c r="AL60" s="1496" t="e">
        <f>IF(OR(W60=0,AF60=0),0,IF(AN60="OLD TAX REGIME",AU60,BA60))</f>
        <v>#VALUE!</v>
      </c>
      <c r="AM60" s="1497" t="e">
        <f t="shared" si="23"/>
        <v>#VALUE!</v>
      </c>
      <c r="AN60" s="1499" t="str">
        <f t="shared" si="24"/>
        <v/>
      </c>
      <c r="AO60" s="1500">
        <f t="shared" si="6"/>
        <v>0.0</v>
      </c>
      <c r="AP60" s="1509">
        <f t="shared" si="7"/>
        <v>0.0</v>
      </c>
      <c r="AQ60" s="1502">
        <f t="shared" si="25"/>
        <v>0.0</v>
      </c>
      <c r="AR60" s="1419"/>
      <c r="AS60" s="1501">
        <f>IF($AG$7="INCOME TAX DEDUCT FROM SALARY TILL JAN  2025",0,IF(W60&lt;=12500,0,IF(AI60&gt;W60,0,ROUNDUP((W60-AI60)/3,-3))))</f>
        <v>0.0</v>
      </c>
      <c r="AT60" s="1501">
        <f>IF($AG$7="INCOME TAX DEDUCT FROM SALARY TILL JAN  2025",0,IF(W60&lt;=12500,0,IF(AI60&gt;V60,0,ROUNDUP((W60-AI60)/3,-3))))</f>
        <v>0.0</v>
      </c>
      <c r="AU60" s="1501" t="e">
        <f>IF($AG$7="INCOME TAX DEDUCT FROM SALARY TILL JAN  2025",ROUNDUP((V60-AI60),-3),IF(V60&lt;=12500,0,IF(AI60&gt;V60,0,ROUNDUP((V60-AI60)/3,-3))))</f>
        <v>#VALUE!</v>
      </c>
      <c r="AV60" s="1503" t="e">
        <f t="shared" si="26"/>
        <v>#VALUE!</v>
      </c>
      <c r="AW60" s="1503" t="e">
        <f>AV60+AI60</f>
        <v>#VALUE!</v>
      </c>
      <c r="AX60" s="1501" t="e">
        <f>AW60-W60</f>
        <v>#VALUE!</v>
      </c>
      <c r="AY60" s="1501">
        <f>IF($AG$7="INCOME TAX DEDUCT FROM SALARY TILL JAN  2025",0,IF(AF60&lt;=12500,0,IF(AI60&gt;AF60,0,ROUNDUP((AF60-AI60)/3,-3))))</f>
        <v>0.0</v>
      </c>
      <c r="AZ60" s="1501">
        <f>IF($AG$7="INCOME TAX DEDUCT FROM SALARY TILL JAN  2025",0,IF(AF60&lt;=12500,0,IF(AI60&gt;AF60,0,ROUNDUP((AF60-AI60)/3,-3))))</f>
        <v>0.0</v>
      </c>
      <c r="BA60" s="1501" t="e">
        <f>IF($AG$7="INCOME TAX DEDUCT FROM SALARY TILL JAN  2025",ROUNDUP((AF60-AI60),-3),IF(AF60&lt;=12500,0,IF(AI60&gt;AF60,0,ROUNDUP((AF60-AI60)/3,-3))))</f>
        <v>#VALUE!</v>
      </c>
      <c r="BB60" s="1503" t="e">
        <f t="shared" si="27"/>
        <v>#VALUE!</v>
      </c>
      <c r="BC60" s="1503" t="e">
        <f>BB60+AI60</f>
        <v>#VALUE!</v>
      </c>
      <c r="BD60" s="1501" t="e">
        <f>BC60-AF60</f>
        <v>#VALUE!</v>
      </c>
      <c r="BE60" s="1504"/>
      <c r="BF60" s="1504"/>
      <c r="BG60" s="1504"/>
    </row>
    <row r="61" spans="8:8" ht="15.75">
      <c r="B61" s="1488">
        <f t="shared" si="8"/>
        <v>0.0</v>
      </c>
      <c r="C61" s="1488">
        <f t="shared" si="0"/>
        <v>0.0</v>
      </c>
      <c r="D61" s="1489"/>
      <c r="E61" s="1505"/>
      <c r="F61" s="1506"/>
      <c r="G61" s="1506"/>
      <c r="H61" s="1507"/>
      <c r="I61" s="1492"/>
      <c r="J61" s="1507"/>
      <c r="K61" s="1507"/>
      <c r="L61" s="1507"/>
      <c r="M61" s="1507"/>
      <c r="N61" s="1492">
        <v>0.0</v>
      </c>
      <c r="O61" s="1493">
        <f t="shared" si="9"/>
        <v>-50000.0</v>
      </c>
      <c r="P61" s="1493">
        <f t="shared" si="10"/>
        <v>-75000.0</v>
      </c>
      <c r="Q61" s="1494">
        <f t="shared" si="11"/>
        <v>0.0</v>
      </c>
      <c r="R61" s="1494">
        <f t="shared" si="12"/>
        <v>0.0</v>
      </c>
      <c r="S61" s="1494">
        <f t="shared" si="13"/>
        <v>0.0</v>
      </c>
      <c r="T61" s="1493" t="str">
        <f t="shared" si="1"/>
        <v/>
      </c>
      <c r="U61" s="1494" t="str">
        <f t="shared" si="14"/>
        <v/>
      </c>
      <c r="V61" s="1495" t="str">
        <f t="shared" si="15"/>
        <v/>
      </c>
      <c r="W61" s="1495" t="str">
        <f t="shared" si="16"/>
        <v/>
      </c>
      <c r="X61" s="1494">
        <f t="shared" si="17"/>
        <v>0.0</v>
      </c>
      <c r="Y61" s="1494">
        <f t="shared" si="18"/>
        <v>0.0</v>
      </c>
      <c r="Z61" s="1494">
        <f t="shared" si="19"/>
        <v>0.0</v>
      </c>
      <c r="AA61" s="1494">
        <f t="shared" si="20"/>
        <v>0.0</v>
      </c>
      <c r="AB61" s="1496">
        <f t="shared" si="21"/>
        <v>0.0</v>
      </c>
      <c r="AC61" s="1497" t="str">
        <f t="shared" si="2"/>
        <v/>
      </c>
      <c r="AD61" s="1494" t="str">
        <f t="shared" si="3"/>
        <v/>
      </c>
      <c r="AE61" s="1495" t="str">
        <f t="shared" si="4"/>
        <v/>
      </c>
      <c r="AF61" s="1495" t="str">
        <f t="shared" si="5"/>
        <v/>
      </c>
      <c r="AG61" s="1508"/>
      <c r="AH61" s="1508"/>
      <c r="AI61" s="1496">
        <f t="shared" si="22"/>
        <v>0.0</v>
      </c>
      <c r="AJ61" s="1496">
        <f>IF(OR(W61=0,AF61=0),0,IF(AN61="OLD TAX REGIME",AS61,AY61))</f>
        <v>0.0</v>
      </c>
      <c r="AK61" s="1496">
        <f>IF(OR(W61=0,AF61=0),0,IF(AN61="OLD TAX REGIME",AT61,AZ61))</f>
        <v>0.0</v>
      </c>
      <c r="AL61" s="1496" t="e">
        <f>IF(OR(W61=0,AF61=0),0,IF(AN61="OLD TAX REGIME",AU61,BA61))</f>
        <v>#VALUE!</v>
      </c>
      <c r="AM61" s="1497" t="e">
        <f t="shared" si="23"/>
        <v>#VALUE!</v>
      </c>
      <c r="AN61" s="1499" t="str">
        <f t="shared" si="24"/>
        <v/>
      </c>
      <c r="AO61" s="1500">
        <f t="shared" si="6"/>
        <v>0.0</v>
      </c>
      <c r="AP61" s="1509">
        <f t="shared" si="7"/>
        <v>0.0</v>
      </c>
      <c r="AQ61" s="1502">
        <f t="shared" si="25"/>
        <v>0.0</v>
      </c>
      <c r="AR61" s="1419"/>
      <c r="AS61" s="1501">
        <f>IF($AG$7="INCOME TAX DEDUCT FROM SALARY TILL JAN  2025",0,IF(W61&lt;=12500,0,IF(AI61&gt;W61,0,ROUNDUP((W61-AI61)/3,-3))))</f>
        <v>0.0</v>
      </c>
      <c r="AT61" s="1501">
        <f>IF($AG$7="INCOME TAX DEDUCT FROM SALARY TILL JAN  2025",0,IF(W61&lt;=12500,0,IF(AI61&gt;V61,0,ROUNDUP((W61-AI61)/3,-3))))</f>
        <v>0.0</v>
      </c>
      <c r="AU61" s="1501" t="e">
        <f>IF($AG$7="INCOME TAX DEDUCT FROM SALARY TILL JAN  2025",ROUNDUP((V61-AI61),-3),IF(V61&lt;=12500,0,IF(AI61&gt;V61,0,ROUNDUP((V61-AI61)/3,-3))))</f>
        <v>#VALUE!</v>
      </c>
      <c r="AV61" s="1503" t="e">
        <f t="shared" si="26"/>
        <v>#VALUE!</v>
      </c>
      <c r="AW61" s="1503" t="e">
        <f>AV61+AI61</f>
        <v>#VALUE!</v>
      </c>
      <c r="AX61" s="1501" t="e">
        <f>AW61-W61</f>
        <v>#VALUE!</v>
      </c>
      <c r="AY61" s="1501">
        <f>IF($AG$7="INCOME TAX DEDUCT FROM SALARY TILL JAN  2025",0,IF(AF61&lt;=12500,0,IF(AI61&gt;AF61,0,ROUNDUP((AF61-AI61)/3,-3))))</f>
        <v>0.0</v>
      </c>
      <c r="AZ61" s="1501">
        <f>IF($AG$7="INCOME TAX DEDUCT FROM SALARY TILL JAN  2025",0,IF(AF61&lt;=12500,0,IF(AI61&gt;AF61,0,ROUNDUP((AF61-AI61)/3,-3))))</f>
        <v>0.0</v>
      </c>
      <c r="BA61" s="1501" t="e">
        <f>IF($AG$7="INCOME TAX DEDUCT FROM SALARY TILL JAN  2025",ROUNDUP((AF61-AI61),-3),IF(AF61&lt;=12500,0,IF(AI61&gt;AF61,0,ROUNDUP((AF61-AI61)/3,-3))))</f>
        <v>#VALUE!</v>
      </c>
      <c r="BB61" s="1503" t="e">
        <f t="shared" si="27"/>
        <v>#VALUE!</v>
      </c>
      <c r="BC61" s="1503" t="e">
        <f>BB61+AI61</f>
        <v>#VALUE!</v>
      </c>
      <c r="BD61" s="1501" t="e">
        <f>BC61-AF61</f>
        <v>#VALUE!</v>
      </c>
      <c r="BE61" s="1504"/>
      <c r="BF61" s="1504"/>
      <c r="BG61" s="1504"/>
    </row>
    <row r="62" spans="8:8" ht="15.75">
      <c r="B62" s="1488">
        <f t="shared" si="8"/>
        <v>0.0</v>
      </c>
      <c r="C62" s="1488">
        <f t="shared" si="0"/>
        <v>0.0</v>
      </c>
      <c r="D62" s="1489"/>
      <c r="E62" s="1505"/>
      <c r="F62" s="1506"/>
      <c r="G62" s="1506"/>
      <c r="H62" s="1507"/>
      <c r="I62" s="1492"/>
      <c r="J62" s="1507"/>
      <c r="K62" s="1507"/>
      <c r="L62" s="1507"/>
      <c r="M62" s="1507"/>
      <c r="N62" s="1492">
        <v>0.0</v>
      </c>
      <c r="O62" s="1493">
        <f t="shared" si="9"/>
        <v>-50000.0</v>
      </c>
      <c r="P62" s="1493">
        <f t="shared" si="10"/>
        <v>-75000.0</v>
      </c>
      <c r="Q62" s="1494">
        <f t="shared" si="11"/>
        <v>0.0</v>
      </c>
      <c r="R62" s="1494">
        <f t="shared" si="12"/>
        <v>0.0</v>
      </c>
      <c r="S62" s="1494">
        <f t="shared" si="13"/>
        <v>0.0</v>
      </c>
      <c r="T62" s="1493" t="str">
        <f t="shared" si="1"/>
        <v/>
      </c>
      <c r="U62" s="1494" t="str">
        <f t="shared" si="14"/>
        <v/>
      </c>
      <c r="V62" s="1495" t="str">
        <f t="shared" si="15"/>
        <v/>
      </c>
      <c r="W62" s="1495" t="str">
        <f t="shared" si="16"/>
        <v/>
      </c>
      <c r="X62" s="1494">
        <f t="shared" si="17"/>
        <v>0.0</v>
      </c>
      <c r="Y62" s="1494">
        <f t="shared" si="18"/>
        <v>0.0</v>
      </c>
      <c r="Z62" s="1494">
        <f t="shared" si="19"/>
        <v>0.0</v>
      </c>
      <c r="AA62" s="1494">
        <f t="shared" si="20"/>
        <v>0.0</v>
      </c>
      <c r="AB62" s="1496">
        <f t="shared" si="21"/>
        <v>0.0</v>
      </c>
      <c r="AC62" s="1497" t="str">
        <f t="shared" si="2"/>
        <v/>
      </c>
      <c r="AD62" s="1494" t="str">
        <f t="shared" si="3"/>
        <v/>
      </c>
      <c r="AE62" s="1495" t="str">
        <f t="shared" si="4"/>
        <v/>
      </c>
      <c r="AF62" s="1495" t="str">
        <f t="shared" si="5"/>
        <v/>
      </c>
      <c r="AG62" s="1508"/>
      <c r="AH62" s="1508"/>
      <c r="AI62" s="1496">
        <f t="shared" si="22"/>
        <v>0.0</v>
      </c>
      <c r="AJ62" s="1496">
        <f>IF(OR(W62=0,AF62=0),0,IF(AN62="OLD TAX REGIME",AS62,AY62))</f>
        <v>0.0</v>
      </c>
      <c r="AK62" s="1496">
        <f>IF(OR(W62=0,AF62=0),0,IF(AN62="OLD TAX REGIME",AT62,AZ62))</f>
        <v>0.0</v>
      </c>
      <c r="AL62" s="1496" t="e">
        <f>IF(OR(W62=0,AF62=0),0,IF(AN62="OLD TAX REGIME",AU62,BA62))</f>
        <v>#VALUE!</v>
      </c>
      <c r="AM62" s="1497" t="e">
        <f t="shared" si="23"/>
        <v>#VALUE!</v>
      </c>
      <c r="AN62" s="1499" t="str">
        <f t="shared" si="24"/>
        <v/>
      </c>
      <c r="AO62" s="1500">
        <f t="shared" si="6"/>
        <v>0.0</v>
      </c>
      <c r="AP62" s="1509">
        <f t="shared" si="7"/>
        <v>0.0</v>
      </c>
      <c r="AQ62" s="1502">
        <f t="shared" si="25"/>
        <v>0.0</v>
      </c>
      <c r="AR62" s="1419"/>
      <c r="AS62" s="1501">
        <f>IF($AG$7="INCOME TAX DEDUCT FROM SALARY TILL JAN  2025",0,IF(W62&lt;=12500,0,IF(AI62&gt;W62,0,ROUNDUP((W62-AI62)/3,-3))))</f>
        <v>0.0</v>
      </c>
      <c r="AT62" s="1501">
        <f>IF($AG$7="INCOME TAX DEDUCT FROM SALARY TILL JAN  2025",0,IF(W62&lt;=12500,0,IF(AI62&gt;V62,0,ROUNDUP((W62-AI62)/3,-3))))</f>
        <v>0.0</v>
      </c>
      <c r="AU62" s="1501" t="e">
        <f>IF($AG$7="INCOME TAX DEDUCT FROM SALARY TILL JAN  2025",ROUNDUP((V62-AI62),-3),IF(V62&lt;=12500,0,IF(AI62&gt;V62,0,ROUNDUP((V62-AI62)/3,-3))))</f>
        <v>#VALUE!</v>
      </c>
      <c r="AV62" s="1503" t="e">
        <f t="shared" si="26"/>
        <v>#VALUE!</v>
      </c>
      <c r="AW62" s="1503" t="e">
        <f>AV62+AI62</f>
        <v>#VALUE!</v>
      </c>
      <c r="AX62" s="1501" t="e">
        <f>AW62-W62</f>
        <v>#VALUE!</v>
      </c>
      <c r="AY62" s="1501">
        <f>IF($AG$7="INCOME TAX DEDUCT FROM SALARY TILL JAN  2025",0,IF(AF62&lt;=12500,0,IF(AI62&gt;AF62,0,ROUNDUP((AF62-AI62)/3,-3))))</f>
        <v>0.0</v>
      </c>
      <c r="AZ62" s="1501">
        <f>IF($AG$7="INCOME TAX DEDUCT FROM SALARY TILL JAN  2025",0,IF(AF62&lt;=12500,0,IF(AI62&gt;AF62,0,ROUNDUP((AF62-AI62)/3,-3))))</f>
        <v>0.0</v>
      </c>
      <c r="BA62" s="1501" t="e">
        <f>IF($AG$7="INCOME TAX DEDUCT FROM SALARY TILL JAN  2025",ROUNDUP((AF62-AI62),-3),IF(AF62&lt;=12500,0,IF(AI62&gt;AF62,0,ROUNDUP((AF62-AI62)/3,-3))))</f>
        <v>#VALUE!</v>
      </c>
      <c r="BB62" s="1503" t="e">
        <f t="shared" si="27"/>
        <v>#VALUE!</v>
      </c>
      <c r="BC62" s="1503" t="e">
        <f>BB62+AI62</f>
        <v>#VALUE!</v>
      </c>
      <c r="BD62" s="1501" t="e">
        <f>BC62-AF62</f>
        <v>#VALUE!</v>
      </c>
      <c r="BE62" s="1504"/>
      <c r="BF62" s="1504"/>
      <c r="BG62" s="1504"/>
    </row>
    <row r="63" spans="8:8" ht="15.75">
      <c r="B63" s="1488">
        <f t="shared" si="8"/>
        <v>0.0</v>
      </c>
      <c r="C63" s="1488">
        <f t="shared" si="0"/>
        <v>0.0</v>
      </c>
      <c r="D63" s="1489"/>
      <c r="E63" s="1505"/>
      <c r="F63" s="1506"/>
      <c r="G63" s="1506"/>
      <c r="H63" s="1507"/>
      <c r="I63" s="1492"/>
      <c r="J63" s="1507"/>
      <c r="K63" s="1507"/>
      <c r="L63" s="1507"/>
      <c r="M63" s="1507"/>
      <c r="N63" s="1492">
        <v>0.0</v>
      </c>
      <c r="O63" s="1493">
        <f t="shared" si="9"/>
        <v>-50000.0</v>
      </c>
      <c r="P63" s="1493">
        <f t="shared" si="10"/>
        <v>-75000.0</v>
      </c>
      <c r="Q63" s="1494">
        <f t="shared" si="11"/>
        <v>0.0</v>
      </c>
      <c r="R63" s="1494">
        <f t="shared" si="12"/>
        <v>0.0</v>
      </c>
      <c r="S63" s="1494">
        <f t="shared" si="13"/>
        <v>0.0</v>
      </c>
      <c r="T63" s="1493" t="str">
        <f t="shared" si="1"/>
        <v/>
      </c>
      <c r="U63" s="1494" t="str">
        <f t="shared" si="14"/>
        <v/>
      </c>
      <c r="V63" s="1495" t="str">
        <f t="shared" si="15"/>
        <v/>
      </c>
      <c r="W63" s="1495" t="str">
        <f t="shared" si="16"/>
        <v/>
      </c>
      <c r="X63" s="1494">
        <f t="shared" si="17"/>
        <v>0.0</v>
      </c>
      <c r="Y63" s="1494">
        <f t="shared" si="18"/>
        <v>0.0</v>
      </c>
      <c r="Z63" s="1494">
        <f t="shared" si="19"/>
        <v>0.0</v>
      </c>
      <c r="AA63" s="1494">
        <f t="shared" si="20"/>
        <v>0.0</v>
      </c>
      <c r="AB63" s="1496">
        <f t="shared" si="21"/>
        <v>0.0</v>
      </c>
      <c r="AC63" s="1497" t="str">
        <f t="shared" si="2"/>
        <v/>
      </c>
      <c r="AD63" s="1494" t="str">
        <f t="shared" si="3"/>
        <v/>
      </c>
      <c r="AE63" s="1495" t="str">
        <f t="shared" si="4"/>
        <v/>
      </c>
      <c r="AF63" s="1495" t="str">
        <f t="shared" si="5"/>
        <v/>
      </c>
      <c r="AG63" s="1508"/>
      <c r="AH63" s="1508"/>
      <c r="AI63" s="1496">
        <f t="shared" si="22"/>
        <v>0.0</v>
      </c>
      <c r="AJ63" s="1496">
        <f>IF(OR(W63=0,AF63=0),0,IF(AN63="OLD TAX REGIME",AS63,AY63))</f>
        <v>0.0</v>
      </c>
      <c r="AK63" s="1496">
        <f>IF(OR(W63=0,AF63=0),0,IF(AN63="OLD TAX REGIME",AT63,AZ63))</f>
        <v>0.0</v>
      </c>
      <c r="AL63" s="1496" t="e">
        <f>IF(OR(W63=0,AF63=0),0,IF(AN63="OLD TAX REGIME",AU63,BA63))</f>
        <v>#VALUE!</v>
      </c>
      <c r="AM63" s="1497" t="e">
        <f t="shared" si="23"/>
        <v>#VALUE!</v>
      </c>
      <c r="AN63" s="1499" t="str">
        <f t="shared" si="24"/>
        <v/>
      </c>
      <c r="AO63" s="1500">
        <f t="shared" si="6"/>
        <v>0.0</v>
      </c>
      <c r="AP63" s="1509">
        <f t="shared" si="7"/>
        <v>0.0</v>
      </c>
      <c r="AQ63" s="1502">
        <f t="shared" si="25"/>
        <v>0.0</v>
      </c>
      <c r="AR63" s="1419"/>
      <c r="AS63" s="1501">
        <f>IF($AG$7="INCOME TAX DEDUCT FROM SALARY TILL JAN  2025",0,IF(W63&lt;=12500,0,IF(AI63&gt;W63,0,ROUNDUP((W63-AI63)/3,-3))))</f>
        <v>0.0</v>
      </c>
      <c r="AT63" s="1501">
        <f>IF($AG$7="INCOME TAX DEDUCT FROM SALARY TILL JAN  2025",0,IF(W63&lt;=12500,0,IF(AI63&gt;V63,0,ROUNDUP((W63-AI63)/3,-3))))</f>
        <v>0.0</v>
      </c>
      <c r="AU63" s="1501" t="e">
        <f>IF($AG$7="INCOME TAX DEDUCT FROM SALARY TILL JAN  2025",ROUNDUP((V63-AI63),-3),IF(V63&lt;=12500,0,IF(AI63&gt;V63,0,ROUNDUP((V63-AI63)/3,-3))))</f>
        <v>#VALUE!</v>
      </c>
      <c r="AV63" s="1503" t="e">
        <f t="shared" si="26"/>
        <v>#VALUE!</v>
      </c>
      <c r="AW63" s="1503" t="e">
        <f>AV63+AI63</f>
        <v>#VALUE!</v>
      </c>
      <c r="AX63" s="1501" t="e">
        <f>AW63-W63</f>
        <v>#VALUE!</v>
      </c>
      <c r="AY63" s="1501">
        <f>IF($AG$7="INCOME TAX DEDUCT FROM SALARY TILL JAN  2025",0,IF(AF63&lt;=12500,0,IF(AI63&gt;AF63,0,ROUNDUP((AF63-AI63)/3,-3))))</f>
        <v>0.0</v>
      </c>
      <c r="AZ63" s="1501">
        <f>IF($AG$7="INCOME TAX DEDUCT FROM SALARY TILL JAN  2025",0,IF(AF63&lt;=12500,0,IF(AI63&gt;AF63,0,ROUNDUP((AF63-AI63)/3,-3))))</f>
        <v>0.0</v>
      </c>
      <c r="BA63" s="1501" t="e">
        <f>IF($AG$7="INCOME TAX DEDUCT FROM SALARY TILL JAN  2025",ROUNDUP((AF63-AI63),-3),IF(AF63&lt;=12500,0,IF(AI63&gt;AF63,0,ROUNDUP((AF63-AI63)/3,-3))))</f>
        <v>#VALUE!</v>
      </c>
      <c r="BB63" s="1503" t="e">
        <f t="shared" si="27"/>
        <v>#VALUE!</v>
      </c>
      <c r="BC63" s="1503" t="e">
        <f>BB63+AI63</f>
        <v>#VALUE!</v>
      </c>
      <c r="BD63" s="1501" t="e">
        <f>BC63-AF63</f>
        <v>#VALUE!</v>
      </c>
      <c r="BE63" s="1504"/>
      <c r="BF63" s="1504"/>
      <c r="BG63" s="1504"/>
    </row>
    <row r="64" spans="8:8" ht="15.75">
      <c r="B64" s="1488">
        <f t="shared" si="8"/>
        <v>0.0</v>
      </c>
      <c r="C64" s="1488">
        <f t="shared" si="0"/>
        <v>0.0</v>
      </c>
      <c r="D64" s="1489"/>
      <c r="E64" s="1505"/>
      <c r="F64" s="1506"/>
      <c r="G64" s="1506"/>
      <c r="H64" s="1507"/>
      <c r="I64" s="1492"/>
      <c r="J64" s="1507"/>
      <c r="K64" s="1507"/>
      <c r="L64" s="1507"/>
      <c r="M64" s="1507"/>
      <c r="N64" s="1492">
        <v>0.0</v>
      </c>
      <c r="O64" s="1493">
        <f t="shared" si="9"/>
        <v>-50000.0</v>
      </c>
      <c r="P64" s="1493">
        <f t="shared" si="10"/>
        <v>-75000.0</v>
      </c>
      <c r="Q64" s="1494">
        <f t="shared" si="11"/>
        <v>0.0</v>
      </c>
      <c r="R64" s="1494">
        <f t="shared" si="12"/>
        <v>0.0</v>
      </c>
      <c r="S64" s="1494">
        <f t="shared" si="13"/>
        <v>0.0</v>
      </c>
      <c r="T64" s="1493" t="str">
        <f t="shared" si="1"/>
        <v/>
      </c>
      <c r="U64" s="1494" t="str">
        <f t="shared" si="14"/>
        <v/>
      </c>
      <c r="V64" s="1495" t="str">
        <f t="shared" si="15"/>
        <v/>
      </c>
      <c r="W64" s="1495" t="str">
        <f t="shared" si="16"/>
        <v/>
      </c>
      <c r="X64" s="1494">
        <f t="shared" si="17"/>
        <v>0.0</v>
      </c>
      <c r="Y64" s="1494">
        <f t="shared" si="18"/>
        <v>0.0</v>
      </c>
      <c r="Z64" s="1494">
        <f t="shared" si="19"/>
        <v>0.0</v>
      </c>
      <c r="AA64" s="1494">
        <f t="shared" si="20"/>
        <v>0.0</v>
      </c>
      <c r="AB64" s="1496">
        <f t="shared" si="21"/>
        <v>0.0</v>
      </c>
      <c r="AC64" s="1497" t="str">
        <f t="shared" si="2"/>
        <v/>
      </c>
      <c r="AD64" s="1494" t="str">
        <f t="shared" si="3"/>
        <v/>
      </c>
      <c r="AE64" s="1495" t="str">
        <f t="shared" si="4"/>
        <v/>
      </c>
      <c r="AF64" s="1495" t="str">
        <f t="shared" si="5"/>
        <v/>
      </c>
      <c r="AG64" s="1508"/>
      <c r="AH64" s="1508"/>
      <c r="AI64" s="1496">
        <f t="shared" si="22"/>
        <v>0.0</v>
      </c>
      <c r="AJ64" s="1496">
        <f>IF(OR(W64=0,AF64=0),0,IF(AN64="OLD TAX REGIME",AS64,AY64))</f>
        <v>0.0</v>
      </c>
      <c r="AK64" s="1496">
        <f>IF(OR(W64=0,AF64=0),0,IF(AN64="OLD TAX REGIME",AT64,AZ64))</f>
        <v>0.0</v>
      </c>
      <c r="AL64" s="1496" t="e">
        <f>IF(OR(W64=0,AF64=0),0,IF(AN64="OLD TAX REGIME",AU64,BA64))</f>
        <v>#VALUE!</v>
      </c>
      <c r="AM64" s="1497" t="e">
        <f t="shared" si="23"/>
        <v>#VALUE!</v>
      </c>
      <c r="AN64" s="1499" t="str">
        <f t="shared" si="24"/>
        <v/>
      </c>
      <c r="AO64" s="1500">
        <f t="shared" si="6"/>
        <v>0.0</v>
      </c>
      <c r="AP64" s="1509">
        <f t="shared" si="7"/>
        <v>0.0</v>
      </c>
      <c r="AQ64" s="1502">
        <f t="shared" si="25"/>
        <v>0.0</v>
      </c>
      <c r="AR64" s="1419"/>
      <c r="AS64" s="1501">
        <f>IF($AG$7="INCOME TAX DEDUCT FROM SALARY TILL JAN  2025",0,IF(W64&lt;=12500,0,IF(AI64&gt;W64,0,ROUNDUP((W64-AI64)/3,-3))))</f>
        <v>0.0</v>
      </c>
      <c r="AT64" s="1501">
        <f>IF($AG$7="INCOME TAX DEDUCT FROM SALARY TILL JAN  2025",0,IF(W64&lt;=12500,0,IF(AI64&gt;V64,0,ROUNDUP((W64-AI64)/3,-3))))</f>
        <v>0.0</v>
      </c>
      <c r="AU64" s="1501" t="e">
        <f>IF($AG$7="INCOME TAX DEDUCT FROM SALARY TILL JAN  2025",ROUNDUP((V64-AI64),-3),IF(V64&lt;=12500,0,IF(AI64&gt;V64,0,ROUNDUP((V64-AI64)/3,-3))))</f>
        <v>#VALUE!</v>
      </c>
      <c r="AV64" s="1503" t="e">
        <f t="shared" si="26"/>
        <v>#VALUE!</v>
      </c>
      <c r="AW64" s="1503" t="e">
        <f>AV64+AI64</f>
        <v>#VALUE!</v>
      </c>
      <c r="AX64" s="1501" t="e">
        <f>AW64-W64</f>
        <v>#VALUE!</v>
      </c>
      <c r="AY64" s="1501">
        <f>IF($AG$7="INCOME TAX DEDUCT FROM SALARY TILL JAN  2025",0,IF(AF64&lt;=12500,0,IF(AI64&gt;AF64,0,ROUNDUP((AF64-AI64)/3,-3))))</f>
        <v>0.0</v>
      </c>
      <c r="AZ64" s="1501">
        <f>IF($AG$7="INCOME TAX DEDUCT FROM SALARY TILL JAN  2025",0,IF(AF64&lt;=12500,0,IF(AI64&gt;AF64,0,ROUNDUP((AF64-AI64)/3,-3))))</f>
        <v>0.0</v>
      </c>
      <c r="BA64" s="1501" t="e">
        <f>IF($AG$7="INCOME TAX DEDUCT FROM SALARY TILL JAN  2025",ROUNDUP((AF64-AI64),-3),IF(AF64&lt;=12500,0,IF(AI64&gt;AF64,0,ROUNDUP((AF64-AI64)/3,-3))))</f>
        <v>#VALUE!</v>
      </c>
      <c r="BB64" s="1503" t="e">
        <f t="shared" si="27"/>
        <v>#VALUE!</v>
      </c>
      <c r="BC64" s="1503" t="e">
        <f>BB64+AI64</f>
        <v>#VALUE!</v>
      </c>
      <c r="BD64" s="1501" t="e">
        <f>BC64-AF64</f>
        <v>#VALUE!</v>
      </c>
      <c r="BE64" s="1504"/>
      <c r="BF64" s="1504"/>
      <c r="BG64" s="1504"/>
    </row>
    <row r="65" spans="8:8" ht="15.75">
      <c r="B65" s="1488">
        <f t="shared" si="8"/>
        <v>0.0</v>
      </c>
      <c r="C65" s="1488">
        <f t="shared" si="0"/>
        <v>0.0</v>
      </c>
      <c r="D65" s="1489"/>
      <c r="E65" s="1505"/>
      <c r="F65" s="1506"/>
      <c r="G65" s="1506"/>
      <c r="H65" s="1507"/>
      <c r="I65" s="1492"/>
      <c r="J65" s="1507"/>
      <c r="K65" s="1507"/>
      <c r="L65" s="1507"/>
      <c r="M65" s="1507"/>
      <c r="N65" s="1492">
        <v>0.0</v>
      </c>
      <c r="O65" s="1493">
        <f t="shared" si="9"/>
        <v>-50000.0</v>
      </c>
      <c r="P65" s="1493">
        <f t="shared" si="10"/>
        <v>-75000.0</v>
      </c>
      <c r="Q65" s="1494">
        <f t="shared" si="11"/>
        <v>0.0</v>
      </c>
      <c r="R65" s="1494">
        <f t="shared" si="12"/>
        <v>0.0</v>
      </c>
      <c r="S65" s="1494">
        <f t="shared" si="13"/>
        <v>0.0</v>
      </c>
      <c r="T65" s="1493" t="str">
        <f t="shared" si="1"/>
        <v/>
      </c>
      <c r="U65" s="1494" t="str">
        <f t="shared" si="14"/>
        <v/>
      </c>
      <c r="V65" s="1495" t="str">
        <f t="shared" si="15"/>
        <v/>
      </c>
      <c r="W65" s="1495" t="str">
        <f t="shared" si="16"/>
        <v/>
      </c>
      <c r="X65" s="1494">
        <f t="shared" si="17"/>
        <v>0.0</v>
      </c>
      <c r="Y65" s="1494">
        <f t="shared" si="18"/>
        <v>0.0</v>
      </c>
      <c r="Z65" s="1494">
        <f t="shared" si="19"/>
        <v>0.0</v>
      </c>
      <c r="AA65" s="1494">
        <f t="shared" si="20"/>
        <v>0.0</v>
      </c>
      <c r="AB65" s="1496">
        <f t="shared" si="21"/>
        <v>0.0</v>
      </c>
      <c r="AC65" s="1497" t="str">
        <f t="shared" si="2"/>
        <v/>
      </c>
      <c r="AD65" s="1494" t="str">
        <f t="shared" si="3"/>
        <v/>
      </c>
      <c r="AE65" s="1495" t="str">
        <f t="shared" si="4"/>
        <v/>
      </c>
      <c r="AF65" s="1495" t="str">
        <f t="shared" si="5"/>
        <v/>
      </c>
      <c r="AG65" s="1508"/>
      <c r="AH65" s="1508"/>
      <c r="AI65" s="1496">
        <f t="shared" si="22"/>
        <v>0.0</v>
      </c>
      <c r="AJ65" s="1496">
        <f>IF(OR(W65=0,AF65=0),0,IF(AN65="OLD TAX REGIME",AS65,AY65))</f>
        <v>0.0</v>
      </c>
      <c r="AK65" s="1496">
        <f>IF(OR(W65=0,AF65=0),0,IF(AN65="OLD TAX REGIME",AT65,AZ65))</f>
        <v>0.0</v>
      </c>
      <c r="AL65" s="1496" t="e">
        <f>IF(OR(W65=0,AF65=0),0,IF(AN65="OLD TAX REGIME",AU65,BA65))</f>
        <v>#VALUE!</v>
      </c>
      <c r="AM65" s="1497" t="e">
        <f t="shared" si="23"/>
        <v>#VALUE!</v>
      </c>
      <c r="AN65" s="1499" t="str">
        <f t="shared" si="24"/>
        <v/>
      </c>
      <c r="AO65" s="1500">
        <f t="shared" si="6"/>
        <v>0.0</v>
      </c>
      <c r="AP65" s="1509">
        <f t="shared" si="7"/>
        <v>0.0</v>
      </c>
      <c r="AQ65" s="1502">
        <f t="shared" si="25"/>
        <v>0.0</v>
      </c>
      <c r="AR65" s="1419"/>
      <c r="AS65" s="1501">
        <f>IF($AG$7="INCOME TAX DEDUCT FROM SALARY TILL JAN  2025",0,IF(W65&lt;=12500,0,IF(AI65&gt;W65,0,ROUNDUP((W65-AI65)/3,-3))))</f>
        <v>0.0</v>
      </c>
      <c r="AT65" s="1501">
        <f>IF($AG$7="INCOME TAX DEDUCT FROM SALARY TILL JAN  2025",0,IF(W65&lt;=12500,0,IF(AI65&gt;V65,0,ROUNDUP((W65-AI65)/3,-3))))</f>
        <v>0.0</v>
      </c>
      <c r="AU65" s="1501" t="e">
        <f>IF($AG$7="INCOME TAX DEDUCT FROM SALARY TILL JAN  2025",ROUNDUP((V65-AI65),-3),IF(V65&lt;=12500,0,IF(AI65&gt;V65,0,ROUNDUP((V65-AI65)/3,-3))))</f>
        <v>#VALUE!</v>
      </c>
      <c r="AV65" s="1503" t="e">
        <f t="shared" si="26"/>
        <v>#VALUE!</v>
      </c>
      <c r="AW65" s="1503" t="e">
        <f>AV65+AI65</f>
        <v>#VALUE!</v>
      </c>
      <c r="AX65" s="1501" t="e">
        <f>AW65-W65</f>
        <v>#VALUE!</v>
      </c>
      <c r="AY65" s="1501">
        <f>IF($AG$7="INCOME TAX DEDUCT FROM SALARY TILL JAN  2025",0,IF(AF65&lt;=12500,0,IF(AI65&gt;AF65,0,ROUNDUP((AF65-AI65)/3,-3))))</f>
        <v>0.0</v>
      </c>
      <c r="AZ65" s="1501">
        <f>IF($AG$7="INCOME TAX DEDUCT FROM SALARY TILL JAN  2025",0,IF(AF65&lt;=12500,0,IF(AI65&gt;AF65,0,ROUNDUP((AF65-AI65)/3,-3))))</f>
        <v>0.0</v>
      </c>
      <c r="BA65" s="1501" t="e">
        <f>IF($AG$7="INCOME TAX DEDUCT FROM SALARY TILL JAN  2025",ROUNDUP((AF65-AI65),-3),IF(AF65&lt;=12500,0,IF(AI65&gt;AF65,0,ROUNDUP((AF65-AI65)/3,-3))))</f>
        <v>#VALUE!</v>
      </c>
      <c r="BB65" s="1503" t="e">
        <f t="shared" si="27"/>
        <v>#VALUE!</v>
      </c>
      <c r="BC65" s="1503" t="e">
        <f>BB65+AI65</f>
        <v>#VALUE!</v>
      </c>
      <c r="BD65" s="1501" t="e">
        <f>BC65-AF65</f>
        <v>#VALUE!</v>
      </c>
      <c r="BE65" s="1504"/>
      <c r="BF65" s="1504"/>
      <c r="BG65" s="1504"/>
    </row>
    <row r="66" spans="8:8" ht="15.75">
      <c r="B66" s="1488">
        <f t="shared" si="8"/>
        <v>0.0</v>
      </c>
      <c r="C66" s="1488">
        <f t="shared" si="0"/>
        <v>0.0</v>
      </c>
      <c r="D66" s="1489"/>
      <c r="E66" s="1505"/>
      <c r="F66" s="1506"/>
      <c r="G66" s="1506"/>
      <c r="H66" s="1507"/>
      <c r="I66" s="1492"/>
      <c r="J66" s="1507"/>
      <c r="K66" s="1507"/>
      <c r="L66" s="1507"/>
      <c r="M66" s="1507"/>
      <c r="N66" s="1492">
        <v>0.0</v>
      </c>
      <c r="O66" s="1493">
        <f t="shared" si="9"/>
        <v>-50000.0</v>
      </c>
      <c r="P66" s="1493">
        <f t="shared" si="10"/>
        <v>-75000.0</v>
      </c>
      <c r="Q66" s="1494">
        <f t="shared" si="11"/>
        <v>0.0</v>
      </c>
      <c r="R66" s="1494">
        <f t="shared" si="12"/>
        <v>0.0</v>
      </c>
      <c r="S66" s="1494">
        <f t="shared" si="13"/>
        <v>0.0</v>
      </c>
      <c r="T66" s="1493" t="str">
        <f t="shared" si="1"/>
        <v/>
      </c>
      <c r="U66" s="1494" t="str">
        <f t="shared" si="14"/>
        <v/>
      </c>
      <c r="V66" s="1495" t="str">
        <f t="shared" si="15"/>
        <v/>
      </c>
      <c r="W66" s="1495" t="str">
        <f t="shared" si="16"/>
        <v/>
      </c>
      <c r="X66" s="1494">
        <f t="shared" si="17"/>
        <v>0.0</v>
      </c>
      <c r="Y66" s="1494">
        <f t="shared" si="18"/>
        <v>0.0</v>
      </c>
      <c r="Z66" s="1494">
        <f t="shared" si="19"/>
        <v>0.0</v>
      </c>
      <c r="AA66" s="1494">
        <f t="shared" si="20"/>
        <v>0.0</v>
      </c>
      <c r="AB66" s="1496">
        <f t="shared" si="21"/>
        <v>0.0</v>
      </c>
      <c r="AC66" s="1497" t="str">
        <f t="shared" si="2"/>
        <v/>
      </c>
      <c r="AD66" s="1494" t="str">
        <f t="shared" si="3"/>
        <v/>
      </c>
      <c r="AE66" s="1495" t="str">
        <f t="shared" si="4"/>
        <v/>
      </c>
      <c r="AF66" s="1495" t="str">
        <f t="shared" si="5"/>
        <v/>
      </c>
      <c r="AG66" s="1508"/>
      <c r="AH66" s="1508"/>
      <c r="AI66" s="1496">
        <f t="shared" si="22"/>
        <v>0.0</v>
      </c>
      <c r="AJ66" s="1496">
        <f>IF(OR(W66=0,AF66=0),0,IF(AN66="OLD TAX REGIME",AS66,AY66))</f>
        <v>0.0</v>
      </c>
      <c r="AK66" s="1496">
        <f>IF(OR(W66=0,AF66=0),0,IF(AN66="OLD TAX REGIME",AT66,AZ66))</f>
        <v>0.0</v>
      </c>
      <c r="AL66" s="1496" t="e">
        <f>IF(OR(W66=0,AF66=0),0,IF(AN66="OLD TAX REGIME",AU66,BA66))</f>
        <v>#VALUE!</v>
      </c>
      <c r="AM66" s="1497" t="e">
        <f t="shared" si="23"/>
        <v>#VALUE!</v>
      </c>
      <c r="AN66" s="1499" t="str">
        <f t="shared" si="24"/>
        <v/>
      </c>
      <c r="AO66" s="1500">
        <f t="shared" si="6"/>
        <v>0.0</v>
      </c>
      <c r="AP66" s="1509">
        <f t="shared" si="7"/>
        <v>0.0</v>
      </c>
      <c r="AQ66" s="1502">
        <f t="shared" si="25"/>
        <v>0.0</v>
      </c>
      <c r="AR66" s="1419"/>
      <c r="AS66" s="1501">
        <f>IF($AG$7="INCOME TAX DEDUCT FROM SALARY TILL JAN  2025",0,IF(W66&lt;=12500,0,IF(AI66&gt;W66,0,ROUNDUP((W66-AI66)/3,-3))))</f>
        <v>0.0</v>
      </c>
      <c r="AT66" s="1501">
        <f>IF($AG$7="INCOME TAX DEDUCT FROM SALARY TILL JAN  2025",0,IF(W66&lt;=12500,0,IF(AI66&gt;V66,0,ROUNDUP((W66-AI66)/3,-3))))</f>
        <v>0.0</v>
      </c>
      <c r="AU66" s="1501" t="e">
        <f>IF($AG$7="INCOME TAX DEDUCT FROM SALARY TILL JAN  2025",ROUNDUP((V66-AI66),-3),IF(V66&lt;=12500,0,IF(AI66&gt;V66,0,ROUNDUP((V66-AI66)/3,-3))))</f>
        <v>#VALUE!</v>
      </c>
      <c r="AV66" s="1503" t="e">
        <f t="shared" si="26"/>
        <v>#VALUE!</v>
      </c>
      <c r="AW66" s="1503" t="e">
        <f>AV66+AI66</f>
        <v>#VALUE!</v>
      </c>
      <c r="AX66" s="1501" t="e">
        <f>AW66-W66</f>
        <v>#VALUE!</v>
      </c>
      <c r="AY66" s="1501">
        <f>IF($AG$7="INCOME TAX DEDUCT FROM SALARY TILL JAN  2025",0,IF(AF66&lt;=12500,0,IF(AI66&gt;AF66,0,ROUNDUP((AF66-AI66)/3,-3))))</f>
        <v>0.0</v>
      </c>
      <c r="AZ66" s="1501">
        <f>IF($AG$7="INCOME TAX DEDUCT FROM SALARY TILL JAN  2025",0,IF(AF66&lt;=12500,0,IF(AI66&gt;AF66,0,ROUNDUP((AF66-AI66)/3,-3))))</f>
        <v>0.0</v>
      </c>
      <c r="BA66" s="1501" t="e">
        <f>IF($AG$7="INCOME TAX DEDUCT FROM SALARY TILL JAN  2025",ROUNDUP((AF66-AI66),-3),IF(AF66&lt;=12500,0,IF(AI66&gt;AF66,0,ROUNDUP((AF66-AI66)/3,-3))))</f>
        <v>#VALUE!</v>
      </c>
      <c r="BB66" s="1503" t="e">
        <f t="shared" si="27"/>
        <v>#VALUE!</v>
      </c>
      <c r="BC66" s="1503" t="e">
        <f>BB66+AI66</f>
        <v>#VALUE!</v>
      </c>
      <c r="BD66" s="1501" t="e">
        <f>BC66-AF66</f>
        <v>#VALUE!</v>
      </c>
      <c r="BE66" s="1504"/>
      <c r="BF66" s="1504"/>
      <c r="BG66" s="1504"/>
    </row>
    <row r="67" spans="8:8" ht="15.75">
      <c r="B67" s="1488">
        <f t="shared" si="8"/>
        <v>0.0</v>
      </c>
      <c r="C67" s="1488">
        <f t="shared" si="0"/>
        <v>0.0</v>
      </c>
      <c r="D67" s="1489"/>
      <c r="E67" s="1505"/>
      <c r="F67" s="1506"/>
      <c r="G67" s="1506"/>
      <c r="H67" s="1507"/>
      <c r="I67" s="1492"/>
      <c r="J67" s="1507"/>
      <c r="K67" s="1507"/>
      <c r="L67" s="1507"/>
      <c r="M67" s="1507"/>
      <c r="N67" s="1492">
        <v>0.0</v>
      </c>
      <c r="O67" s="1493">
        <f t="shared" si="9"/>
        <v>-50000.0</v>
      </c>
      <c r="P67" s="1493">
        <f t="shared" si="10"/>
        <v>-75000.0</v>
      </c>
      <c r="Q67" s="1494">
        <f t="shared" si="11"/>
        <v>0.0</v>
      </c>
      <c r="R67" s="1494">
        <f t="shared" si="12"/>
        <v>0.0</v>
      </c>
      <c r="S67" s="1494">
        <f t="shared" si="13"/>
        <v>0.0</v>
      </c>
      <c r="T67" s="1493" t="str">
        <f t="shared" si="1"/>
        <v/>
      </c>
      <c r="U67" s="1494" t="str">
        <f t="shared" si="14"/>
        <v/>
      </c>
      <c r="V67" s="1495" t="str">
        <f t="shared" si="15"/>
        <v/>
      </c>
      <c r="W67" s="1495" t="str">
        <f t="shared" si="16"/>
        <v/>
      </c>
      <c r="X67" s="1494">
        <f t="shared" si="17"/>
        <v>0.0</v>
      </c>
      <c r="Y67" s="1494">
        <f t="shared" si="18"/>
        <v>0.0</v>
      </c>
      <c r="Z67" s="1494">
        <f t="shared" si="19"/>
        <v>0.0</v>
      </c>
      <c r="AA67" s="1494">
        <f t="shared" si="20"/>
        <v>0.0</v>
      </c>
      <c r="AB67" s="1496">
        <f t="shared" si="21"/>
        <v>0.0</v>
      </c>
      <c r="AC67" s="1497" t="str">
        <f t="shared" si="2"/>
        <v/>
      </c>
      <c r="AD67" s="1494" t="str">
        <f t="shared" si="3"/>
        <v/>
      </c>
      <c r="AE67" s="1495" t="str">
        <f t="shared" si="4"/>
        <v/>
      </c>
      <c r="AF67" s="1495" t="str">
        <f t="shared" si="5"/>
        <v/>
      </c>
      <c r="AG67" s="1508"/>
      <c r="AH67" s="1508"/>
      <c r="AI67" s="1496">
        <f t="shared" si="22"/>
        <v>0.0</v>
      </c>
      <c r="AJ67" s="1496">
        <f>IF(OR(W67=0,AF67=0),0,IF(AN67="OLD TAX REGIME",AS67,AY67))</f>
        <v>0.0</v>
      </c>
      <c r="AK67" s="1496">
        <f>IF(OR(W67=0,AF67=0),0,IF(AN67="OLD TAX REGIME",AT67,AZ67))</f>
        <v>0.0</v>
      </c>
      <c r="AL67" s="1496" t="e">
        <f>IF(OR(W67=0,AF67=0),0,IF(AN67="OLD TAX REGIME",AU67,BA67))</f>
        <v>#VALUE!</v>
      </c>
      <c r="AM67" s="1497" t="e">
        <f t="shared" si="23"/>
        <v>#VALUE!</v>
      </c>
      <c r="AN67" s="1499" t="str">
        <f t="shared" si="24"/>
        <v/>
      </c>
      <c r="AO67" s="1500">
        <f t="shared" si="6"/>
        <v>0.0</v>
      </c>
      <c r="AP67" s="1509">
        <f t="shared" si="7"/>
        <v>0.0</v>
      </c>
      <c r="AQ67" s="1502">
        <f t="shared" si="25"/>
        <v>0.0</v>
      </c>
      <c r="AR67" s="1419"/>
      <c r="AS67" s="1501">
        <f>IF($AG$7="INCOME TAX DEDUCT FROM SALARY TILL JAN  2025",0,IF(W67&lt;=12500,0,IF(AI67&gt;W67,0,ROUNDUP((W67-AI67)/3,-3))))</f>
        <v>0.0</v>
      </c>
      <c r="AT67" s="1501">
        <f>IF($AG$7="INCOME TAX DEDUCT FROM SALARY TILL JAN  2025",0,IF(W67&lt;=12500,0,IF(AI67&gt;V67,0,ROUNDUP((W67-AI67)/3,-3))))</f>
        <v>0.0</v>
      </c>
      <c r="AU67" s="1501" t="e">
        <f>IF($AG$7="INCOME TAX DEDUCT FROM SALARY TILL JAN  2025",ROUNDUP((V67-AI67),-3),IF(V67&lt;=12500,0,IF(AI67&gt;V67,0,ROUNDUP((V67-AI67)/3,-3))))</f>
        <v>#VALUE!</v>
      </c>
      <c r="AV67" s="1503" t="e">
        <f t="shared" si="26"/>
        <v>#VALUE!</v>
      </c>
      <c r="AW67" s="1503" t="e">
        <f>AV67+AI67</f>
        <v>#VALUE!</v>
      </c>
      <c r="AX67" s="1501" t="e">
        <f>AW67-W67</f>
        <v>#VALUE!</v>
      </c>
      <c r="AY67" s="1501">
        <f>IF($AG$7="INCOME TAX DEDUCT FROM SALARY TILL JAN  2025",0,IF(AF67&lt;=12500,0,IF(AI67&gt;AF67,0,ROUNDUP((AF67-AI67)/3,-3))))</f>
        <v>0.0</v>
      </c>
      <c r="AZ67" s="1501">
        <f>IF($AG$7="INCOME TAX DEDUCT FROM SALARY TILL JAN  2025",0,IF(AF67&lt;=12500,0,IF(AI67&gt;AF67,0,ROUNDUP((AF67-AI67)/3,-3))))</f>
        <v>0.0</v>
      </c>
      <c r="BA67" s="1501" t="e">
        <f>IF($AG$7="INCOME TAX DEDUCT FROM SALARY TILL JAN  2025",ROUNDUP((AF67-AI67),-3),IF(AF67&lt;=12500,0,IF(AI67&gt;AF67,0,ROUNDUP((AF67-AI67)/3,-3))))</f>
        <v>#VALUE!</v>
      </c>
      <c r="BB67" s="1503" t="e">
        <f t="shared" si="27"/>
        <v>#VALUE!</v>
      </c>
      <c r="BC67" s="1503" t="e">
        <f>BB67+AI67</f>
        <v>#VALUE!</v>
      </c>
      <c r="BD67" s="1501" t="e">
        <f>BC67-AF67</f>
        <v>#VALUE!</v>
      </c>
      <c r="BE67" s="1504"/>
      <c r="BF67" s="1504"/>
      <c r="BG67" s="1504"/>
    </row>
    <row r="68" spans="8:8" ht="15.75">
      <c r="B68" s="1488">
        <f t="shared" si="8"/>
        <v>0.0</v>
      </c>
      <c r="C68" s="1488">
        <f t="shared" si="0"/>
        <v>0.0</v>
      </c>
      <c r="D68" s="1489"/>
      <c r="E68" s="1505"/>
      <c r="F68" s="1506"/>
      <c r="G68" s="1506"/>
      <c r="H68" s="1507"/>
      <c r="I68" s="1492"/>
      <c r="J68" s="1507"/>
      <c r="K68" s="1507"/>
      <c r="L68" s="1507"/>
      <c r="M68" s="1507"/>
      <c r="N68" s="1492">
        <v>0.0</v>
      </c>
      <c r="O68" s="1493">
        <f t="shared" si="9"/>
        <v>-50000.0</v>
      </c>
      <c r="P68" s="1493">
        <f t="shared" si="10"/>
        <v>-75000.0</v>
      </c>
      <c r="Q68" s="1494">
        <f t="shared" si="11"/>
        <v>0.0</v>
      </c>
      <c r="R68" s="1494">
        <f t="shared" si="12"/>
        <v>0.0</v>
      </c>
      <c r="S68" s="1494">
        <f t="shared" si="13"/>
        <v>0.0</v>
      </c>
      <c r="T68" s="1493" t="str">
        <f t="shared" si="1"/>
        <v/>
      </c>
      <c r="U68" s="1494" t="str">
        <f t="shared" si="14"/>
        <v/>
      </c>
      <c r="V68" s="1495" t="str">
        <f t="shared" si="15"/>
        <v/>
      </c>
      <c r="W68" s="1495" t="str">
        <f t="shared" si="16"/>
        <v/>
      </c>
      <c r="X68" s="1494">
        <f t="shared" si="17"/>
        <v>0.0</v>
      </c>
      <c r="Y68" s="1494">
        <f t="shared" si="18"/>
        <v>0.0</v>
      </c>
      <c r="Z68" s="1494">
        <f t="shared" si="19"/>
        <v>0.0</v>
      </c>
      <c r="AA68" s="1494">
        <f t="shared" si="20"/>
        <v>0.0</v>
      </c>
      <c r="AB68" s="1496">
        <f t="shared" si="21"/>
        <v>0.0</v>
      </c>
      <c r="AC68" s="1497" t="str">
        <f t="shared" si="2"/>
        <v/>
      </c>
      <c r="AD68" s="1494" t="str">
        <f t="shared" si="3"/>
        <v/>
      </c>
      <c r="AE68" s="1495" t="str">
        <f t="shared" si="4"/>
        <v/>
      </c>
      <c r="AF68" s="1495" t="str">
        <f t="shared" si="5"/>
        <v/>
      </c>
      <c r="AG68" s="1508"/>
      <c r="AH68" s="1508"/>
      <c r="AI68" s="1496">
        <f t="shared" si="22"/>
        <v>0.0</v>
      </c>
      <c r="AJ68" s="1496">
        <f>IF(OR(W68=0,AF68=0),0,IF(AN68="OLD TAX REGIME",AS68,AY68))</f>
        <v>0.0</v>
      </c>
      <c r="AK68" s="1496">
        <f>IF(OR(W68=0,AF68=0),0,IF(AN68="OLD TAX REGIME",AT68,AZ68))</f>
        <v>0.0</v>
      </c>
      <c r="AL68" s="1496" t="e">
        <f>IF(OR(W68=0,AF68=0),0,IF(AN68="OLD TAX REGIME",AU68,BA68))</f>
        <v>#VALUE!</v>
      </c>
      <c r="AM68" s="1497" t="e">
        <f t="shared" si="23"/>
        <v>#VALUE!</v>
      </c>
      <c r="AN68" s="1499" t="str">
        <f t="shared" si="24"/>
        <v/>
      </c>
      <c r="AO68" s="1500">
        <f t="shared" si="6"/>
        <v>0.0</v>
      </c>
      <c r="AP68" s="1509">
        <f t="shared" si="7"/>
        <v>0.0</v>
      </c>
      <c r="AQ68" s="1502">
        <f t="shared" si="25"/>
        <v>0.0</v>
      </c>
      <c r="AR68" s="1419"/>
      <c r="AS68" s="1501">
        <f>IF($AG$7="INCOME TAX DEDUCT FROM SALARY TILL JAN  2025",0,IF(W68&lt;=12500,0,IF(AI68&gt;W68,0,ROUNDUP((W68-AI68)/3,-3))))</f>
        <v>0.0</v>
      </c>
      <c r="AT68" s="1501">
        <f>IF($AG$7="INCOME TAX DEDUCT FROM SALARY TILL JAN  2025",0,IF(W68&lt;=12500,0,IF(AI68&gt;V68,0,ROUNDUP((W68-AI68)/3,-3))))</f>
        <v>0.0</v>
      </c>
      <c r="AU68" s="1501" t="e">
        <f>IF($AG$7="INCOME TAX DEDUCT FROM SALARY TILL JAN  2025",ROUNDUP((V68-AI68),-3),IF(V68&lt;=12500,0,IF(AI68&gt;V68,0,ROUNDUP((V68-AI68)/3,-3))))</f>
        <v>#VALUE!</v>
      </c>
      <c r="AV68" s="1503" t="e">
        <f t="shared" si="26"/>
        <v>#VALUE!</v>
      </c>
      <c r="AW68" s="1503" t="e">
        <f>AV68+AI68</f>
        <v>#VALUE!</v>
      </c>
      <c r="AX68" s="1501" t="e">
        <f>AW68-W68</f>
        <v>#VALUE!</v>
      </c>
      <c r="AY68" s="1501">
        <f>IF($AG$7="INCOME TAX DEDUCT FROM SALARY TILL JAN  2025",0,IF(AF68&lt;=12500,0,IF(AI68&gt;AF68,0,ROUNDUP((AF68-AI68)/3,-3))))</f>
        <v>0.0</v>
      </c>
      <c r="AZ68" s="1501">
        <f>IF($AG$7="INCOME TAX DEDUCT FROM SALARY TILL JAN  2025",0,IF(AF68&lt;=12500,0,IF(AI68&gt;AF68,0,ROUNDUP((AF68-AI68)/3,-3))))</f>
        <v>0.0</v>
      </c>
      <c r="BA68" s="1501" t="e">
        <f>IF($AG$7="INCOME TAX DEDUCT FROM SALARY TILL JAN  2025",ROUNDUP((AF68-AI68),-3),IF(AF68&lt;=12500,0,IF(AI68&gt;AF68,0,ROUNDUP((AF68-AI68)/3,-3))))</f>
        <v>#VALUE!</v>
      </c>
      <c r="BB68" s="1503" t="e">
        <f t="shared" si="27"/>
        <v>#VALUE!</v>
      </c>
      <c r="BC68" s="1503" t="e">
        <f>BB68+AI68</f>
        <v>#VALUE!</v>
      </c>
      <c r="BD68" s="1501" t="e">
        <f>BC68-AF68</f>
        <v>#VALUE!</v>
      </c>
      <c r="BE68" s="1504"/>
      <c r="BF68" s="1504"/>
      <c r="BG68" s="1504"/>
    </row>
    <row r="69" spans="8:8" ht="15.75">
      <c r="B69" s="1488">
        <f t="shared" si="8"/>
        <v>0.0</v>
      </c>
      <c r="C69" s="1488">
        <f t="shared" si="0"/>
        <v>0.0</v>
      </c>
      <c r="D69" s="1489"/>
      <c r="E69" s="1505"/>
      <c r="F69" s="1506"/>
      <c r="G69" s="1506"/>
      <c r="H69" s="1507"/>
      <c r="I69" s="1492"/>
      <c r="J69" s="1507"/>
      <c r="K69" s="1507"/>
      <c r="L69" s="1507"/>
      <c r="M69" s="1507"/>
      <c r="N69" s="1492">
        <v>0.0</v>
      </c>
      <c r="O69" s="1493">
        <f t="shared" si="9"/>
        <v>-50000.0</v>
      </c>
      <c r="P69" s="1493">
        <f t="shared" si="10"/>
        <v>-75000.0</v>
      </c>
      <c r="Q69" s="1494">
        <f t="shared" si="11"/>
        <v>0.0</v>
      </c>
      <c r="R69" s="1494">
        <f t="shared" si="12"/>
        <v>0.0</v>
      </c>
      <c r="S69" s="1494">
        <f t="shared" si="13"/>
        <v>0.0</v>
      </c>
      <c r="T69" s="1493" t="str">
        <f t="shared" si="1"/>
        <v/>
      </c>
      <c r="U69" s="1494" t="str">
        <f t="shared" si="14"/>
        <v/>
      </c>
      <c r="V69" s="1495" t="str">
        <f t="shared" si="15"/>
        <v/>
      </c>
      <c r="W69" s="1495" t="str">
        <f t="shared" si="16"/>
        <v/>
      </c>
      <c r="X69" s="1494">
        <f t="shared" si="17"/>
        <v>0.0</v>
      </c>
      <c r="Y69" s="1494">
        <f t="shared" si="18"/>
        <v>0.0</v>
      </c>
      <c r="Z69" s="1494">
        <f t="shared" si="19"/>
        <v>0.0</v>
      </c>
      <c r="AA69" s="1494">
        <f t="shared" si="20"/>
        <v>0.0</v>
      </c>
      <c r="AB69" s="1496">
        <f t="shared" si="21"/>
        <v>0.0</v>
      </c>
      <c r="AC69" s="1497" t="str">
        <f t="shared" si="2"/>
        <v/>
      </c>
      <c r="AD69" s="1494" t="str">
        <f t="shared" si="3"/>
        <v/>
      </c>
      <c r="AE69" s="1495" t="str">
        <f t="shared" si="4"/>
        <v/>
      </c>
      <c r="AF69" s="1495" t="str">
        <f t="shared" si="5"/>
        <v/>
      </c>
      <c r="AG69" s="1508"/>
      <c r="AH69" s="1508"/>
      <c r="AI69" s="1496">
        <f t="shared" si="22"/>
        <v>0.0</v>
      </c>
      <c r="AJ69" s="1496">
        <f>IF(OR(W69=0,AF69=0),0,IF(AN69="OLD TAX REGIME",AS69,AY69))</f>
        <v>0.0</v>
      </c>
      <c r="AK69" s="1496">
        <f>IF(OR(W69=0,AF69=0),0,IF(AN69="OLD TAX REGIME",AT69,AZ69))</f>
        <v>0.0</v>
      </c>
      <c r="AL69" s="1496" t="e">
        <f>IF(OR(W69=0,AF69=0),0,IF(AN69="OLD TAX REGIME",AU69,BA69))</f>
        <v>#VALUE!</v>
      </c>
      <c r="AM69" s="1497" t="e">
        <f t="shared" si="23"/>
        <v>#VALUE!</v>
      </c>
      <c r="AN69" s="1499" t="str">
        <f t="shared" si="24"/>
        <v/>
      </c>
      <c r="AO69" s="1500">
        <f t="shared" si="6"/>
        <v>0.0</v>
      </c>
      <c r="AP69" s="1509">
        <f t="shared" si="7"/>
        <v>0.0</v>
      </c>
      <c r="AQ69" s="1502">
        <f t="shared" si="25"/>
        <v>0.0</v>
      </c>
      <c r="AR69" s="1419"/>
      <c r="AS69" s="1501">
        <f>IF($AG$7="INCOME TAX DEDUCT FROM SALARY TILL JAN  2025",0,IF(W69&lt;=12500,0,IF(AI69&gt;W69,0,ROUNDUP((W69-AI69)/3,-3))))</f>
        <v>0.0</v>
      </c>
      <c r="AT69" s="1501">
        <f>IF($AG$7="INCOME TAX DEDUCT FROM SALARY TILL JAN  2025",0,IF(W69&lt;=12500,0,IF(AI69&gt;V69,0,ROUNDUP((W69-AI69)/3,-3))))</f>
        <v>0.0</v>
      </c>
      <c r="AU69" s="1501" t="e">
        <f>IF($AG$7="INCOME TAX DEDUCT FROM SALARY TILL JAN  2025",ROUNDUP((V69-AI69),-3),IF(V69&lt;=12500,0,IF(AI69&gt;V69,0,ROUNDUP((V69-AI69)/3,-3))))</f>
        <v>#VALUE!</v>
      </c>
      <c r="AV69" s="1503" t="e">
        <f t="shared" si="26"/>
        <v>#VALUE!</v>
      </c>
      <c r="AW69" s="1503" t="e">
        <f>AV69+AI69</f>
        <v>#VALUE!</v>
      </c>
      <c r="AX69" s="1501" t="e">
        <f>AW69-W69</f>
        <v>#VALUE!</v>
      </c>
      <c r="AY69" s="1501">
        <f>IF($AG$7="INCOME TAX DEDUCT FROM SALARY TILL JAN  2025",0,IF(AF69&lt;=12500,0,IF(AI69&gt;AF69,0,ROUNDUP((AF69-AI69)/3,-3))))</f>
        <v>0.0</v>
      </c>
      <c r="AZ69" s="1501">
        <f>IF($AG$7="INCOME TAX DEDUCT FROM SALARY TILL JAN  2025",0,IF(AF69&lt;=12500,0,IF(AI69&gt;AF69,0,ROUNDUP((AF69-AI69)/3,-3))))</f>
        <v>0.0</v>
      </c>
      <c r="BA69" s="1501" t="e">
        <f>IF($AG$7="INCOME TAX DEDUCT FROM SALARY TILL JAN  2025",ROUNDUP((AF69-AI69),-3),IF(AF69&lt;=12500,0,IF(AI69&gt;AF69,0,ROUNDUP((AF69-AI69)/3,-3))))</f>
        <v>#VALUE!</v>
      </c>
      <c r="BB69" s="1503" t="e">
        <f t="shared" si="27"/>
        <v>#VALUE!</v>
      </c>
      <c r="BC69" s="1503" t="e">
        <f>BB69+AI69</f>
        <v>#VALUE!</v>
      </c>
      <c r="BD69" s="1501" t="e">
        <f>BC69-AF69</f>
        <v>#VALUE!</v>
      </c>
      <c r="BE69" s="1504"/>
      <c r="BF69" s="1504"/>
      <c r="BG69" s="1504"/>
    </row>
    <row r="70" spans="8:8" ht="15.75">
      <c r="B70" s="1488">
        <f t="shared" si="8"/>
        <v>0.0</v>
      </c>
      <c r="C70" s="1488">
        <f t="shared" si="0"/>
        <v>0.0</v>
      </c>
      <c r="D70" s="1489"/>
      <c r="E70" s="1505"/>
      <c r="F70" s="1506"/>
      <c r="G70" s="1506"/>
      <c r="H70" s="1507"/>
      <c r="I70" s="1492"/>
      <c r="J70" s="1507"/>
      <c r="K70" s="1507"/>
      <c r="L70" s="1507"/>
      <c r="M70" s="1507"/>
      <c r="N70" s="1492">
        <v>0.0</v>
      </c>
      <c r="O70" s="1493">
        <f t="shared" si="9"/>
        <v>-50000.0</v>
      </c>
      <c r="P70" s="1493">
        <f t="shared" si="10"/>
        <v>-75000.0</v>
      </c>
      <c r="Q70" s="1494">
        <f t="shared" si="11"/>
        <v>0.0</v>
      </c>
      <c r="R70" s="1494">
        <f t="shared" si="12"/>
        <v>0.0</v>
      </c>
      <c r="S70" s="1494">
        <f t="shared" si="13"/>
        <v>0.0</v>
      </c>
      <c r="T70" s="1493" t="str">
        <f t="shared" si="1"/>
        <v/>
      </c>
      <c r="U70" s="1494" t="str">
        <f t="shared" si="14"/>
        <v/>
      </c>
      <c r="V70" s="1495" t="str">
        <f t="shared" si="15"/>
        <v/>
      </c>
      <c r="W70" s="1495" t="str">
        <f t="shared" si="16"/>
        <v/>
      </c>
      <c r="X70" s="1494">
        <f t="shared" si="17"/>
        <v>0.0</v>
      </c>
      <c r="Y70" s="1494">
        <f t="shared" si="18"/>
        <v>0.0</v>
      </c>
      <c r="Z70" s="1494">
        <f t="shared" si="19"/>
        <v>0.0</v>
      </c>
      <c r="AA70" s="1494">
        <f t="shared" si="20"/>
        <v>0.0</v>
      </c>
      <c r="AB70" s="1496">
        <f t="shared" si="21"/>
        <v>0.0</v>
      </c>
      <c r="AC70" s="1497" t="str">
        <f t="shared" si="2"/>
        <v/>
      </c>
      <c r="AD70" s="1494" t="str">
        <f t="shared" si="3"/>
        <v/>
      </c>
      <c r="AE70" s="1495" t="str">
        <f t="shared" si="4"/>
        <v/>
      </c>
      <c r="AF70" s="1495" t="str">
        <f t="shared" si="5"/>
        <v/>
      </c>
      <c r="AG70" s="1508"/>
      <c r="AH70" s="1508"/>
      <c r="AI70" s="1496">
        <f t="shared" si="22"/>
        <v>0.0</v>
      </c>
      <c r="AJ70" s="1496">
        <f>IF(OR(W70=0,AF70=0),0,IF(AN70="OLD TAX REGIME",AS70,AY70))</f>
        <v>0.0</v>
      </c>
      <c r="AK70" s="1496">
        <f>IF(OR(W70=0,AF70=0),0,IF(AN70="OLD TAX REGIME",AT70,AZ70))</f>
        <v>0.0</v>
      </c>
      <c r="AL70" s="1496" t="e">
        <f>IF(OR(W70=0,AF70=0),0,IF(AN70="OLD TAX REGIME",AU70,BA70))</f>
        <v>#VALUE!</v>
      </c>
      <c r="AM70" s="1497" t="e">
        <f t="shared" si="23"/>
        <v>#VALUE!</v>
      </c>
      <c r="AN70" s="1499" t="str">
        <f t="shared" si="24"/>
        <v/>
      </c>
      <c r="AO70" s="1500">
        <f t="shared" si="6"/>
        <v>0.0</v>
      </c>
      <c r="AP70" s="1509">
        <f t="shared" si="7"/>
        <v>0.0</v>
      </c>
      <c r="AQ70" s="1502">
        <f t="shared" si="25"/>
        <v>0.0</v>
      </c>
      <c r="AR70" s="1419"/>
      <c r="AS70" s="1501">
        <f>IF($AG$7="INCOME TAX DEDUCT FROM SALARY TILL JAN  2025",0,IF(W70&lt;=12500,0,IF(AI70&gt;W70,0,ROUNDUP((W70-AI70)/3,-3))))</f>
        <v>0.0</v>
      </c>
      <c r="AT70" s="1501">
        <f>IF($AG$7="INCOME TAX DEDUCT FROM SALARY TILL JAN  2025",0,IF(W70&lt;=12500,0,IF(AI70&gt;V70,0,ROUNDUP((W70-AI70)/3,-3))))</f>
        <v>0.0</v>
      </c>
      <c r="AU70" s="1501" t="e">
        <f>IF($AG$7="INCOME TAX DEDUCT FROM SALARY TILL JAN  2025",ROUNDUP((V70-AI70),-3),IF(V70&lt;=12500,0,IF(AI70&gt;V70,0,ROUNDUP((V70-AI70)/3,-3))))</f>
        <v>#VALUE!</v>
      </c>
      <c r="AV70" s="1503" t="e">
        <f t="shared" si="26"/>
        <v>#VALUE!</v>
      </c>
      <c r="AW70" s="1503" t="e">
        <f>AV70+AI70</f>
        <v>#VALUE!</v>
      </c>
      <c r="AX70" s="1501" t="e">
        <f>AW70-W70</f>
        <v>#VALUE!</v>
      </c>
      <c r="AY70" s="1501">
        <f>IF($AG$7="INCOME TAX DEDUCT FROM SALARY TILL JAN  2025",0,IF(AF70&lt;=12500,0,IF(AI70&gt;AF70,0,ROUNDUP((AF70-AI70)/3,-3))))</f>
        <v>0.0</v>
      </c>
      <c r="AZ70" s="1501">
        <f>IF($AG$7="INCOME TAX DEDUCT FROM SALARY TILL JAN  2025",0,IF(AF70&lt;=12500,0,IF(AI70&gt;AF70,0,ROUNDUP((AF70-AI70)/3,-3))))</f>
        <v>0.0</v>
      </c>
      <c r="BA70" s="1501" t="e">
        <f>IF($AG$7="INCOME TAX DEDUCT FROM SALARY TILL JAN  2025",ROUNDUP((AF70-AI70),-3),IF(AF70&lt;=12500,0,IF(AI70&gt;AF70,0,ROUNDUP((AF70-AI70)/3,-3))))</f>
        <v>#VALUE!</v>
      </c>
      <c r="BB70" s="1503" t="e">
        <f t="shared" si="27"/>
        <v>#VALUE!</v>
      </c>
      <c r="BC70" s="1503" t="e">
        <f>BB70+AI70</f>
        <v>#VALUE!</v>
      </c>
      <c r="BD70" s="1501" t="e">
        <f>BC70-AF70</f>
        <v>#VALUE!</v>
      </c>
      <c r="BE70" s="1504"/>
      <c r="BF70" s="1504"/>
      <c r="BG70" s="1504"/>
    </row>
    <row r="71" spans="8:8" ht="15.75">
      <c r="B71" s="1488">
        <f t="shared" si="8"/>
        <v>0.0</v>
      </c>
      <c r="C71" s="1488">
        <f t="shared" si="0"/>
        <v>0.0</v>
      </c>
      <c r="D71" s="1489"/>
      <c r="E71" s="1505"/>
      <c r="F71" s="1506"/>
      <c r="G71" s="1506"/>
      <c r="H71" s="1507"/>
      <c r="I71" s="1492"/>
      <c r="J71" s="1507"/>
      <c r="K71" s="1507"/>
      <c r="L71" s="1507"/>
      <c r="M71" s="1507"/>
      <c r="N71" s="1492">
        <v>0.0</v>
      </c>
      <c r="O71" s="1493">
        <f t="shared" si="9"/>
        <v>-50000.0</v>
      </c>
      <c r="P71" s="1493">
        <f t="shared" si="10"/>
        <v>-75000.0</v>
      </c>
      <c r="Q71" s="1494">
        <f t="shared" si="11"/>
        <v>0.0</v>
      </c>
      <c r="R71" s="1494">
        <f t="shared" si="12"/>
        <v>0.0</v>
      </c>
      <c r="S71" s="1494">
        <f t="shared" si="13"/>
        <v>0.0</v>
      </c>
      <c r="T71" s="1493" t="str">
        <f t="shared" si="1"/>
        <v/>
      </c>
      <c r="U71" s="1494" t="str">
        <f t="shared" si="14"/>
        <v/>
      </c>
      <c r="V71" s="1495" t="str">
        <f t="shared" si="15"/>
        <v/>
      </c>
      <c r="W71" s="1495" t="str">
        <f t="shared" si="16"/>
        <v/>
      </c>
      <c r="X71" s="1494">
        <f t="shared" si="17"/>
        <v>0.0</v>
      </c>
      <c r="Y71" s="1494">
        <f t="shared" si="18"/>
        <v>0.0</v>
      </c>
      <c r="Z71" s="1494">
        <f t="shared" si="19"/>
        <v>0.0</v>
      </c>
      <c r="AA71" s="1494">
        <f t="shared" si="20"/>
        <v>0.0</v>
      </c>
      <c r="AB71" s="1496">
        <f t="shared" si="21"/>
        <v>0.0</v>
      </c>
      <c r="AC71" s="1497" t="str">
        <f t="shared" si="2"/>
        <v/>
      </c>
      <c r="AD71" s="1494" t="str">
        <f t="shared" si="3"/>
        <v/>
      </c>
      <c r="AE71" s="1495" t="str">
        <f t="shared" si="4"/>
        <v/>
      </c>
      <c r="AF71" s="1495" t="str">
        <f t="shared" si="5"/>
        <v/>
      </c>
      <c r="AG71" s="1508"/>
      <c r="AH71" s="1508"/>
      <c r="AI71" s="1496">
        <f t="shared" si="22"/>
        <v>0.0</v>
      </c>
      <c r="AJ71" s="1496">
        <f>IF(OR(W71=0,AF71=0),0,IF(AN71="OLD TAX REGIME",AS71,AY71))</f>
        <v>0.0</v>
      </c>
      <c r="AK71" s="1496">
        <f>IF(OR(W71=0,AF71=0),0,IF(AN71="OLD TAX REGIME",AT71,AZ71))</f>
        <v>0.0</v>
      </c>
      <c r="AL71" s="1496" t="e">
        <f>IF(OR(W71=0,AF71=0),0,IF(AN71="OLD TAX REGIME",AU71,BA71))</f>
        <v>#VALUE!</v>
      </c>
      <c r="AM71" s="1497" t="e">
        <f t="shared" si="23"/>
        <v>#VALUE!</v>
      </c>
      <c r="AN71" s="1499" t="str">
        <f t="shared" si="24"/>
        <v/>
      </c>
      <c r="AO71" s="1500">
        <f t="shared" si="6"/>
        <v>0.0</v>
      </c>
      <c r="AP71" s="1509">
        <f t="shared" si="7"/>
        <v>0.0</v>
      </c>
      <c r="AQ71" s="1502">
        <f t="shared" si="25"/>
        <v>0.0</v>
      </c>
      <c r="AR71" s="1419"/>
      <c r="AS71" s="1501">
        <f>IF($AG$7="INCOME TAX DEDUCT FROM SALARY TILL JAN  2025",0,IF(W71&lt;=12500,0,IF(AI71&gt;W71,0,ROUNDUP((W71-AI71)/3,-3))))</f>
        <v>0.0</v>
      </c>
      <c r="AT71" s="1501">
        <f>IF($AG$7="INCOME TAX DEDUCT FROM SALARY TILL JAN  2025",0,IF(W71&lt;=12500,0,IF(AI71&gt;V71,0,ROUNDUP((W71-AI71)/3,-3))))</f>
        <v>0.0</v>
      </c>
      <c r="AU71" s="1501" t="e">
        <f>IF($AG$7="INCOME TAX DEDUCT FROM SALARY TILL JAN  2025",ROUNDUP((V71-AI71),-3),IF(V71&lt;=12500,0,IF(AI71&gt;V71,0,ROUNDUP((V71-AI71)/3,-3))))</f>
        <v>#VALUE!</v>
      </c>
      <c r="AV71" s="1503" t="e">
        <f t="shared" si="26"/>
        <v>#VALUE!</v>
      </c>
      <c r="AW71" s="1503" t="e">
        <f>AV71+AI71</f>
        <v>#VALUE!</v>
      </c>
      <c r="AX71" s="1501" t="e">
        <f>AW71-W71</f>
        <v>#VALUE!</v>
      </c>
      <c r="AY71" s="1501">
        <f>IF($AG$7="INCOME TAX DEDUCT FROM SALARY TILL JAN  2025",0,IF(AF71&lt;=12500,0,IF(AI71&gt;AF71,0,ROUNDUP((AF71-AI71)/3,-3))))</f>
        <v>0.0</v>
      </c>
      <c r="AZ71" s="1501">
        <f>IF($AG$7="INCOME TAX DEDUCT FROM SALARY TILL JAN  2025",0,IF(AF71&lt;=12500,0,IF(AI71&gt;AF71,0,ROUNDUP((AF71-AI71)/3,-3))))</f>
        <v>0.0</v>
      </c>
      <c r="BA71" s="1501" t="e">
        <f>IF($AG$7="INCOME TAX DEDUCT FROM SALARY TILL JAN  2025",ROUNDUP((AF71-AI71),-3),IF(AF71&lt;=12500,0,IF(AI71&gt;AF71,0,ROUNDUP((AF71-AI71)/3,-3))))</f>
        <v>#VALUE!</v>
      </c>
      <c r="BB71" s="1503" t="e">
        <f t="shared" si="27"/>
        <v>#VALUE!</v>
      </c>
      <c r="BC71" s="1503" t="e">
        <f>BB71+AI71</f>
        <v>#VALUE!</v>
      </c>
      <c r="BD71" s="1501" t="e">
        <f>BC71-AF71</f>
        <v>#VALUE!</v>
      </c>
      <c r="BE71" s="1504"/>
      <c r="BF71" s="1504"/>
      <c r="BG71" s="1504"/>
    </row>
    <row r="72" spans="8:8" ht="15.75">
      <c r="B72" s="1488">
        <f t="shared" si="8"/>
        <v>0.0</v>
      </c>
      <c r="C72" s="1488">
        <f t="shared" si="0"/>
        <v>0.0</v>
      </c>
      <c r="D72" s="1489"/>
      <c r="E72" s="1505"/>
      <c r="F72" s="1506"/>
      <c r="G72" s="1506"/>
      <c r="H72" s="1507"/>
      <c r="I72" s="1492"/>
      <c r="J72" s="1507"/>
      <c r="K72" s="1507"/>
      <c r="L72" s="1507"/>
      <c r="M72" s="1507"/>
      <c r="N72" s="1492">
        <v>0.0</v>
      </c>
      <c r="O72" s="1493">
        <f t="shared" si="9"/>
        <v>-50000.0</v>
      </c>
      <c r="P72" s="1493">
        <f t="shared" si="10"/>
        <v>-75000.0</v>
      </c>
      <c r="Q72" s="1494">
        <f t="shared" si="11"/>
        <v>0.0</v>
      </c>
      <c r="R72" s="1494">
        <f t="shared" si="12"/>
        <v>0.0</v>
      </c>
      <c r="S72" s="1494">
        <f t="shared" si="13"/>
        <v>0.0</v>
      </c>
      <c r="T72" s="1493" t="str">
        <f t="shared" si="1"/>
        <v/>
      </c>
      <c r="U72" s="1494" t="str">
        <f t="shared" si="14"/>
        <v/>
      </c>
      <c r="V72" s="1495" t="str">
        <f t="shared" si="15"/>
        <v/>
      </c>
      <c r="W72" s="1495" t="str">
        <f t="shared" si="16"/>
        <v/>
      </c>
      <c r="X72" s="1494">
        <f t="shared" si="17"/>
        <v>0.0</v>
      </c>
      <c r="Y72" s="1494">
        <f t="shared" si="18"/>
        <v>0.0</v>
      </c>
      <c r="Z72" s="1494">
        <f t="shared" si="19"/>
        <v>0.0</v>
      </c>
      <c r="AA72" s="1494">
        <f t="shared" si="20"/>
        <v>0.0</v>
      </c>
      <c r="AB72" s="1496">
        <f t="shared" si="21"/>
        <v>0.0</v>
      </c>
      <c r="AC72" s="1497" t="str">
        <f t="shared" si="2"/>
        <v/>
      </c>
      <c r="AD72" s="1494" t="str">
        <f t="shared" si="3"/>
        <v/>
      </c>
      <c r="AE72" s="1495" t="str">
        <f t="shared" si="4"/>
        <v/>
      </c>
      <c r="AF72" s="1495" t="str">
        <f t="shared" si="5"/>
        <v/>
      </c>
      <c r="AG72" s="1508"/>
      <c r="AH72" s="1508"/>
      <c r="AI72" s="1496">
        <f t="shared" si="22"/>
        <v>0.0</v>
      </c>
      <c r="AJ72" s="1496">
        <f>IF(OR(W72=0,AF72=0),0,IF(AN72="OLD TAX REGIME",AS72,AY72))</f>
        <v>0.0</v>
      </c>
      <c r="AK72" s="1496">
        <f>IF(OR(W72=0,AF72=0),0,IF(AN72="OLD TAX REGIME",AT72,AZ72))</f>
        <v>0.0</v>
      </c>
      <c r="AL72" s="1496" t="e">
        <f>IF(OR(W72=0,AF72=0),0,IF(AN72="OLD TAX REGIME",AU72,BA72))</f>
        <v>#VALUE!</v>
      </c>
      <c r="AM72" s="1497" t="e">
        <f t="shared" si="23"/>
        <v>#VALUE!</v>
      </c>
      <c r="AN72" s="1499" t="str">
        <f t="shared" si="24"/>
        <v/>
      </c>
      <c r="AO72" s="1500">
        <f t="shared" si="6"/>
        <v>0.0</v>
      </c>
      <c r="AP72" s="1509">
        <f t="shared" si="7"/>
        <v>0.0</v>
      </c>
      <c r="AQ72" s="1502">
        <f t="shared" si="25"/>
        <v>0.0</v>
      </c>
      <c r="AR72" s="1419"/>
      <c r="AS72" s="1501">
        <f>IF($AG$7="INCOME TAX DEDUCT FROM SALARY TILL JAN  2025",0,IF(W72&lt;=12500,0,IF(AI72&gt;W72,0,ROUNDUP((W72-AI72)/3,-3))))</f>
        <v>0.0</v>
      </c>
      <c r="AT72" s="1501">
        <f>IF($AG$7="INCOME TAX DEDUCT FROM SALARY TILL JAN  2025",0,IF(W72&lt;=12500,0,IF(AI72&gt;V72,0,ROUNDUP((W72-AI72)/3,-3))))</f>
        <v>0.0</v>
      </c>
      <c r="AU72" s="1501" t="e">
        <f>IF($AG$7="INCOME TAX DEDUCT FROM SALARY TILL JAN  2025",ROUNDUP((V72-AI72),-3),IF(V72&lt;=12500,0,IF(AI72&gt;V72,0,ROUNDUP((V72-AI72)/3,-3))))</f>
        <v>#VALUE!</v>
      </c>
      <c r="AV72" s="1503" t="e">
        <f t="shared" si="26"/>
        <v>#VALUE!</v>
      </c>
      <c r="AW72" s="1503" t="e">
        <f>AV72+AI72</f>
        <v>#VALUE!</v>
      </c>
      <c r="AX72" s="1501" t="e">
        <f>AW72-W72</f>
        <v>#VALUE!</v>
      </c>
      <c r="AY72" s="1501">
        <f>IF($AG$7="INCOME TAX DEDUCT FROM SALARY TILL JAN  2025",0,IF(AF72&lt;=12500,0,IF(AI72&gt;AF72,0,ROUNDUP((AF72-AI72)/3,-3))))</f>
        <v>0.0</v>
      </c>
      <c r="AZ72" s="1501">
        <f>IF($AG$7="INCOME TAX DEDUCT FROM SALARY TILL JAN  2025",0,IF(AF72&lt;=12500,0,IF(AI72&gt;AF72,0,ROUNDUP((AF72-AI72)/3,-3))))</f>
        <v>0.0</v>
      </c>
      <c r="BA72" s="1501" t="e">
        <f>IF($AG$7="INCOME TAX DEDUCT FROM SALARY TILL JAN  2025",ROUNDUP((AF72-AI72),-3),IF(AF72&lt;=12500,0,IF(AI72&gt;AF72,0,ROUNDUP((AF72-AI72)/3,-3))))</f>
        <v>#VALUE!</v>
      </c>
      <c r="BB72" s="1503" t="e">
        <f t="shared" si="27"/>
        <v>#VALUE!</v>
      </c>
      <c r="BC72" s="1503" t="e">
        <f>BB72+AI72</f>
        <v>#VALUE!</v>
      </c>
      <c r="BD72" s="1501" t="e">
        <f>BC72-AF72</f>
        <v>#VALUE!</v>
      </c>
      <c r="BE72" s="1504"/>
      <c r="BF72" s="1504"/>
      <c r="BG72" s="1504"/>
    </row>
    <row r="73" spans="8:8" ht="15.75">
      <c r="B73" s="1488">
        <f t="shared" si="8"/>
        <v>0.0</v>
      </c>
      <c r="C73" s="1488">
        <f t="shared" si="0"/>
        <v>0.0</v>
      </c>
      <c r="D73" s="1489"/>
      <c r="E73" s="1505"/>
      <c r="F73" s="1506"/>
      <c r="G73" s="1506"/>
      <c r="H73" s="1507"/>
      <c r="I73" s="1492"/>
      <c r="J73" s="1507"/>
      <c r="K73" s="1507"/>
      <c r="L73" s="1507"/>
      <c r="M73" s="1507"/>
      <c r="N73" s="1492">
        <v>0.0</v>
      </c>
      <c r="O73" s="1493">
        <f t="shared" si="9"/>
        <v>-50000.0</v>
      </c>
      <c r="P73" s="1493">
        <f t="shared" si="10"/>
        <v>-75000.0</v>
      </c>
      <c r="Q73" s="1494">
        <f t="shared" si="11"/>
        <v>0.0</v>
      </c>
      <c r="R73" s="1494">
        <f t="shared" si="12"/>
        <v>0.0</v>
      </c>
      <c r="S73" s="1494">
        <f t="shared" si="13"/>
        <v>0.0</v>
      </c>
      <c r="T73" s="1493" t="str">
        <f t="shared" si="1"/>
        <v/>
      </c>
      <c r="U73" s="1494" t="str">
        <f t="shared" si="14"/>
        <v/>
      </c>
      <c r="V73" s="1495" t="str">
        <f t="shared" si="15"/>
        <v/>
      </c>
      <c r="W73" s="1495" t="str">
        <f t="shared" si="16"/>
        <v/>
      </c>
      <c r="X73" s="1494">
        <f t="shared" si="17"/>
        <v>0.0</v>
      </c>
      <c r="Y73" s="1494">
        <f t="shared" si="18"/>
        <v>0.0</v>
      </c>
      <c r="Z73" s="1494">
        <f t="shared" si="19"/>
        <v>0.0</v>
      </c>
      <c r="AA73" s="1494">
        <f t="shared" si="20"/>
        <v>0.0</v>
      </c>
      <c r="AB73" s="1496">
        <f t="shared" si="21"/>
        <v>0.0</v>
      </c>
      <c r="AC73" s="1497" t="str">
        <f t="shared" si="2"/>
        <v/>
      </c>
      <c r="AD73" s="1494" t="str">
        <f t="shared" si="3"/>
        <v/>
      </c>
      <c r="AE73" s="1495" t="str">
        <f t="shared" si="4"/>
        <v/>
      </c>
      <c r="AF73" s="1495" t="str">
        <f t="shared" si="5"/>
        <v/>
      </c>
      <c r="AG73" s="1508"/>
      <c r="AH73" s="1508"/>
      <c r="AI73" s="1496">
        <f t="shared" si="22"/>
        <v>0.0</v>
      </c>
      <c r="AJ73" s="1496">
        <f>IF(OR(W73=0,AF73=0),0,IF(AN73="OLD TAX REGIME",AS73,AY73))</f>
        <v>0.0</v>
      </c>
      <c r="AK73" s="1496">
        <f>IF(OR(W73=0,AF73=0),0,IF(AN73="OLD TAX REGIME",AT73,AZ73))</f>
        <v>0.0</v>
      </c>
      <c r="AL73" s="1496" t="e">
        <f>IF(OR(W73=0,AF73=0),0,IF(AN73="OLD TAX REGIME",AU73,BA73))</f>
        <v>#VALUE!</v>
      </c>
      <c r="AM73" s="1497" t="e">
        <f t="shared" si="23"/>
        <v>#VALUE!</v>
      </c>
      <c r="AN73" s="1499" t="str">
        <f t="shared" si="24"/>
        <v/>
      </c>
      <c r="AO73" s="1500">
        <f t="shared" si="6"/>
        <v>0.0</v>
      </c>
      <c r="AP73" s="1509">
        <f t="shared" si="7"/>
        <v>0.0</v>
      </c>
      <c r="AQ73" s="1502">
        <f t="shared" si="25"/>
        <v>0.0</v>
      </c>
      <c r="AR73" s="1419"/>
      <c r="AS73" s="1501">
        <f>IF($AG$7="INCOME TAX DEDUCT FROM SALARY TILL JAN  2025",0,IF(W73&lt;=12500,0,IF(AI73&gt;W73,0,ROUNDUP((W73-AI73)/3,-3))))</f>
        <v>0.0</v>
      </c>
      <c r="AT73" s="1501">
        <f>IF($AG$7="INCOME TAX DEDUCT FROM SALARY TILL JAN  2025",0,IF(W73&lt;=12500,0,IF(AI73&gt;V73,0,ROUNDUP((W73-AI73)/3,-3))))</f>
        <v>0.0</v>
      </c>
      <c r="AU73" s="1501" t="e">
        <f>IF($AG$7="INCOME TAX DEDUCT FROM SALARY TILL JAN  2025",ROUNDUP((V73-AI73),-3),IF(V73&lt;=12500,0,IF(AI73&gt;V73,0,ROUNDUP((V73-AI73)/3,-3))))</f>
        <v>#VALUE!</v>
      </c>
      <c r="AV73" s="1503" t="e">
        <f t="shared" si="26"/>
        <v>#VALUE!</v>
      </c>
      <c r="AW73" s="1503" t="e">
        <f>AV73+AI73</f>
        <v>#VALUE!</v>
      </c>
      <c r="AX73" s="1501" t="e">
        <f>AW73-W73</f>
        <v>#VALUE!</v>
      </c>
      <c r="AY73" s="1501">
        <f>IF($AG$7="INCOME TAX DEDUCT FROM SALARY TILL JAN  2025",0,IF(AF73&lt;=12500,0,IF(AI73&gt;AF73,0,ROUNDUP((AF73-AI73)/3,-3))))</f>
        <v>0.0</v>
      </c>
      <c r="AZ73" s="1501">
        <f>IF($AG$7="INCOME TAX DEDUCT FROM SALARY TILL JAN  2025",0,IF(AF73&lt;=12500,0,IF(AI73&gt;AF73,0,ROUNDUP((AF73-AI73)/3,-3))))</f>
        <v>0.0</v>
      </c>
      <c r="BA73" s="1501" t="e">
        <f>IF($AG$7="INCOME TAX DEDUCT FROM SALARY TILL JAN  2025",ROUNDUP((AF73-AI73),-3),IF(AF73&lt;=12500,0,IF(AI73&gt;AF73,0,ROUNDUP((AF73-AI73)/3,-3))))</f>
        <v>#VALUE!</v>
      </c>
      <c r="BB73" s="1503" t="e">
        <f t="shared" si="27"/>
        <v>#VALUE!</v>
      </c>
      <c r="BC73" s="1503" t="e">
        <f>BB73+AI73</f>
        <v>#VALUE!</v>
      </c>
      <c r="BD73" s="1501" t="e">
        <f>BC73-AF73</f>
        <v>#VALUE!</v>
      </c>
      <c r="BE73" s="1504"/>
      <c r="BF73" s="1504"/>
      <c r="BG73" s="1504"/>
    </row>
    <row r="74" spans="8:8" ht="15.75">
      <c r="B74" s="1488">
        <f t="shared" si="8"/>
        <v>0.0</v>
      </c>
      <c r="C74" s="1488">
        <f t="shared" si="28" ref="C74:C109">IF(G74=0,0,IF(OR(W74=0,AF74=0),"NT",0))</f>
        <v>0.0</v>
      </c>
      <c r="D74" s="1489"/>
      <c r="E74" s="1505"/>
      <c r="F74" s="1506"/>
      <c r="G74" s="1506"/>
      <c r="H74" s="1507"/>
      <c r="I74" s="1492"/>
      <c r="J74" s="1507"/>
      <c r="K74" s="1507"/>
      <c r="L74" s="1507"/>
      <c r="M74" s="1507"/>
      <c r="N74" s="1492">
        <v>0.0</v>
      </c>
      <c r="O74" s="1493">
        <f t="shared" si="9"/>
        <v>-50000.0</v>
      </c>
      <c r="P74" s="1493">
        <f t="shared" si="10"/>
        <v>-75000.0</v>
      </c>
      <c r="Q74" s="1494">
        <f t="shared" si="11"/>
        <v>0.0</v>
      </c>
      <c r="R74" s="1494">
        <f t="shared" si="12"/>
        <v>0.0</v>
      </c>
      <c r="S74" s="1494">
        <f t="shared" si="13"/>
        <v>0.0</v>
      </c>
      <c r="T74" s="1493" t="str">
        <f t="shared" si="29" ref="T74:T109">IF(G74="","",IF(SUM(Q74:S74)&lt;=12500,0,SUM(Q74:S74)))</f>
        <v/>
      </c>
      <c r="U74" s="1494" t="str">
        <f t="shared" si="14"/>
        <v/>
      </c>
      <c r="V74" s="1495" t="str">
        <f t="shared" si="15"/>
        <v/>
      </c>
      <c r="W74" s="1495" t="str">
        <f t="shared" si="16"/>
        <v/>
      </c>
      <c r="X74" s="1494">
        <f t="shared" si="17"/>
        <v>0.0</v>
      </c>
      <c r="Y74" s="1494">
        <f t="shared" si="18"/>
        <v>0.0</v>
      </c>
      <c r="Z74" s="1494">
        <f t="shared" si="19"/>
        <v>0.0</v>
      </c>
      <c r="AA74" s="1494">
        <f t="shared" si="20"/>
        <v>0.0</v>
      </c>
      <c r="AB74" s="1496">
        <f t="shared" si="21"/>
        <v>0.0</v>
      </c>
      <c r="AC74" s="1497" t="str">
        <f t="shared" si="30" ref="AC74:AC109">IF(G74="","",IF(SUM(X74:AB74)&lt;=25000,0,IF((P74-700000)&lt;SUM(X74:AB74),(P74-700000),(SUM(X74:AB74)))))</f>
        <v/>
      </c>
      <c r="AD74" s="1494" t="str">
        <f t="shared" si="31" ref="AD74:AD109">IF(G74="","",ROUND(AC74*0.04,0))</f>
        <v/>
      </c>
      <c r="AE74" s="1495" t="str">
        <f t="shared" si="32" ref="AE74:AE109">IF(G74="","",(AC74+AD74))</f>
        <v/>
      </c>
      <c r="AF74" s="1495" t="str">
        <f t="shared" si="33" ref="AF74:AF109">IF(G74="","",ROUNDUP(AE74,-2))</f>
        <v/>
      </c>
      <c r="AG74" s="1508"/>
      <c r="AH74" s="1508"/>
      <c r="AI74" s="1496">
        <f t="shared" si="22"/>
        <v>0.0</v>
      </c>
      <c r="AJ74" s="1496">
        <f>IF(OR(W74=0,AF74=0),0,IF(AN74="OLD TAX REGIME",AS74,AY74))</f>
        <v>0.0</v>
      </c>
      <c r="AK74" s="1496">
        <f>IF(OR(W74=0,AF74=0),0,IF(AN74="OLD TAX REGIME",AT74,AZ74))</f>
        <v>0.0</v>
      </c>
      <c r="AL74" s="1496" t="e">
        <f>IF(OR(W74=0,AF74=0),0,IF(AN74="OLD TAX REGIME",AU74,BA74))</f>
        <v>#VALUE!</v>
      </c>
      <c r="AM74" s="1497" t="e">
        <f t="shared" si="23"/>
        <v>#VALUE!</v>
      </c>
      <c r="AN74" s="1499" t="str">
        <f t="shared" si="34" ref="AN74:AN109">IF(G74="","",IF(W74=0,0,IF(W74&gt;AF74,"NEW REGIME","OLD REGIME")))</f>
        <v/>
      </c>
      <c r="AO74" s="1500">
        <f t="shared" si="35" ref="AO74:AO109">MIN(W74,AF74)</f>
        <v>0.0</v>
      </c>
      <c r="AP74" s="1509">
        <f t="shared" si="36" ref="AP74:AP109">IF(AO74&lt;=12500,-AI74,AO74-(AI74+AM74))</f>
        <v>0.0</v>
      </c>
      <c r="AQ74" s="1502">
        <f t="shared" si="25"/>
        <v>0.0</v>
      </c>
      <c r="AR74" s="1419"/>
      <c r="AS74" s="1501">
        <f>IF($AG$7="INCOME TAX DEDUCT FROM SALARY TILL JAN  2025",0,IF(W74&lt;=12500,0,IF(AI74&gt;W74,0,ROUNDUP((W74-AI74)/3,-3))))</f>
        <v>0.0</v>
      </c>
      <c r="AT74" s="1501">
        <f>IF($AG$7="INCOME TAX DEDUCT FROM SALARY TILL JAN  2025",0,IF(W74&lt;=12500,0,IF(AI74&gt;V74,0,ROUNDUP((W74-AI74)/3,-3))))</f>
        <v>0.0</v>
      </c>
      <c r="AU74" s="1501" t="e">
        <f>IF($AG$7="INCOME TAX DEDUCT FROM SALARY TILL JAN  2025",ROUNDUP((V74-AI74),-3),IF(V74&lt;=12500,0,IF(AI74&gt;V74,0,ROUNDUP((V74-AI74)/3,-3))))</f>
        <v>#VALUE!</v>
      </c>
      <c r="AV74" s="1503" t="e">
        <f t="shared" si="26"/>
        <v>#VALUE!</v>
      </c>
      <c r="AW74" s="1503" t="e">
        <f>AV74+AI74</f>
        <v>#VALUE!</v>
      </c>
      <c r="AX74" s="1501" t="e">
        <f>AW74-W74</f>
        <v>#VALUE!</v>
      </c>
      <c r="AY74" s="1501">
        <f>IF($AG$7="INCOME TAX DEDUCT FROM SALARY TILL JAN  2025",0,IF(AF74&lt;=12500,0,IF(AI74&gt;AF74,0,ROUNDUP((AF74-AI74)/3,-3))))</f>
        <v>0.0</v>
      </c>
      <c r="AZ74" s="1501">
        <f>IF($AG$7="INCOME TAX DEDUCT FROM SALARY TILL JAN  2025",0,IF(AF74&lt;=12500,0,IF(AI74&gt;AF74,0,ROUNDUP((AF74-AI74)/3,-3))))</f>
        <v>0.0</v>
      </c>
      <c r="BA74" s="1501" t="e">
        <f>IF($AG$7="INCOME TAX DEDUCT FROM SALARY TILL JAN  2025",ROUNDUP((AF74-AI74),-3),IF(AF74&lt;=12500,0,IF(AI74&gt;AF74,0,ROUNDUP((AF74-AI74)/3,-3))))</f>
        <v>#VALUE!</v>
      </c>
      <c r="BB74" s="1503" t="e">
        <f t="shared" si="27"/>
        <v>#VALUE!</v>
      </c>
      <c r="BC74" s="1503" t="e">
        <f>BB74+AI74</f>
        <v>#VALUE!</v>
      </c>
      <c r="BD74" s="1501" t="e">
        <f>BC74-AF74</f>
        <v>#VALUE!</v>
      </c>
      <c r="BE74" s="1504"/>
      <c r="BF74" s="1504"/>
      <c r="BG74" s="1504"/>
    </row>
    <row r="75" spans="8:8" ht="15.75">
      <c r="B75" s="1488">
        <f t="shared" si="37" ref="B75:B109">MIN(W75,AF75)</f>
        <v>0.0</v>
      </c>
      <c r="C75" s="1488">
        <f t="shared" si="28"/>
        <v>0.0</v>
      </c>
      <c r="D75" s="1489"/>
      <c r="E75" s="1505"/>
      <c r="F75" s="1506"/>
      <c r="G75" s="1506"/>
      <c r="H75" s="1507"/>
      <c r="I75" s="1492"/>
      <c r="J75" s="1507"/>
      <c r="K75" s="1507"/>
      <c r="L75" s="1507"/>
      <c r="M75" s="1507"/>
      <c r="N75" s="1492">
        <v>0.0</v>
      </c>
      <c r="O75" s="1493">
        <f t="shared" si="38" ref="O75:O109">G75-50000-H75-J75-K75-L75-M75-N75</f>
        <v>-50000.0</v>
      </c>
      <c r="P75" s="1493">
        <f t="shared" si="39" ref="P75:P109">G75-75000</f>
        <v>-75000.0</v>
      </c>
      <c r="Q75" s="1494">
        <f t="shared" si="40" ref="Q75:Q109">IF(O75&lt;250000,0,IF(O75&gt;500000,12500,IF(O75&lt;500000,ROUND((O75-250000)*0.05,0),0)))</f>
        <v>0.0</v>
      </c>
      <c r="R75" s="1494">
        <f t="shared" si="41" ref="R75:R109">IF(O75&lt;500000,0,IF(O75&gt;1000000,100000,ROUND((O75-500000)*0.2,0)))</f>
        <v>0.0</v>
      </c>
      <c r="S75" s="1494">
        <f t="shared" si="42" ref="S75:S109">IF(O75&lt;1000000,0,ROUND((O75-1000000)*0.3,0))</f>
        <v>0.0</v>
      </c>
      <c r="T75" s="1493" t="str">
        <f t="shared" si="29"/>
        <v/>
      </c>
      <c r="U75" s="1494" t="str">
        <f t="shared" si="43" ref="U75:U109">IF(T75="","",ROUND(T75*0.04,0))</f>
        <v/>
      </c>
      <c r="V75" s="1495" t="str">
        <f t="shared" si="44" ref="V75:V109">IF(T75="","",T75+U75)</f>
        <v/>
      </c>
      <c r="W75" s="1495" t="str">
        <f t="shared" si="45" ref="W75:W109">IF(T75="","",ROUNDUP(V75,-2))</f>
        <v/>
      </c>
      <c r="X75" s="1494">
        <f t="shared" si="46" ref="X75:X109">IF(P75&gt;700000,20000,IF(P75&gt;300000,(P75-300000)*0.05,0))</f>
        <v>0.0</v>
      </c>
      <c r="Y75" s="1494">
        <f t="shared" si="47" ref="Y75:Y109">IF(P75&gt;1000000,30000,IF(P75&gt;700000,(P75-700000)*0.1,0))</f>
        <v>0.0</v>
      </c>
      <c r="Z75" s="1494">
        <f t="shared" si="48" ref="Z75:Z109">IF(P75&gt;1200000,30000,IF(P75&gt;1000000,(P75-1000000)*0.15,0))</f>
        <v>0.0</v>
      </c>
      <c r="AA75" s="1494">
        <f t="shared" si="49" ref="AA75:AA109">IF(P75&gt;1500000,60000,IF(P75&gt;1200000,(P75-1200000)*0.2,0))</f>
        <v>0.0</v>
      </c>
      <c r="AB75" s="1496">
        <f t="shared" si="50" ref="AB75:AB109">IF(P75&lt;1500000,0,(P75-1500000)*0.3)</f>
        <v>0.0</v>
      </c>
      <c r="AC75" s="1497" t="str">
        <f t="shared" si="30"/>
        <v/>
      </c>
      <c r="AD75" s="1494" t="str">
        <f t="shared" si="31"/>
        <v/>
      </c>
      <c r="AE75" s="1495" t="str">
        <f t="shared" si="32"/>
        <v/>
      </c>
      <c r="AF75" s="1495" t="str">
        <f t="shared" si="33"/>
        <v/>
      </c>
      <c r="AG75" s="1508"/>
      <c r="AH75" s="1508"/>
      <c r="AI75" s="1496">
        <f t="shared" si="51" ref="AI75:AI109">AG75+AH75</f>
        <v>0.0</v>
      </c>
      <c r="AJ75" s="1496">
        <f>IF(OR(W75=0,AF75=0),0,IF(AN75="OLD TAX REGIME",AS75,AY75))</f>
        <v>0.0</v>
      </c>
      <c r="AK75" s="1496">
        <f>IF(OR(W75=0,AF75=0),0,IF(AN75="OLD TAX REGIME",AT75,AZ75))</f>
        <v>0.0</v>
      </c>
      <c r="AL75" s="1496" t="e">
        <f>IF(OR(W75=0,AF75=0),0,IF(AN75="OLD TAX REGIME",AU75,BA75))</f>
        <v>#VALUE!</v>
      </c>
      <c r="AM75" s="1497" t="e">
        <f t="shared" si="52" ref="AM75:AM109">AJ75+AK75+AL75</f>
        <v>#VALUE!</v>
      </c>
      <c r="AN75" s="1499" t="str">
        <f t="shared" si="34"/>
        <v/>
      </c>
      <c r="AO75" s="1500">
        <f t="shared" si="35"/>
        <v>0.0</v>
      </c>
      <c r="AP75" s="1509">
        <f t="shared" si="36"/>
        <v>0.0</v>
      </c>
      <c r="AQ75" s="1502">
        <f t="shared" si="53" ref="AQ75:AQ109">IF(AP75=0,0,IF(AP75&gt;0,"(PAY)","(REF)"))</f>
        <v>0.0</v>
      </c>
      <c r="AR75" s="1419"/>
      <c r="AS75" s="1501">
        <f>IF($AG$7="INCOME TAX DEDUCT FROM SALARY TILL JAN  2025",0,IF(W75&lt;=12500,0,IF(AI75&gt;W75,0,ROUNDUP((W75-AI75)/3,-3))))</f>
        <v>0.0</v>
      </c>
      <c r="AT75" s="1501">
        <f>IF($AG$7="INCOME TAX DEDUCT FROM SALARY TILL JAN  2025",0,IF(W75&lt;=12500,0,IF(AI75&gt;V75,0,ROUNDUP((W75-AI75)/3,-3))))</f>
        <v>0.0</v>
      </c>
      <c r="AU75" s="1501" t="e">
        <f>IF($AG$7="INCOME TAX DEDUCT FROM SALARY TILL JAN  2025",ROUNDUP((V75-AI75),-3),IF(V75&lt;=12500,0,IF(AI75&gt;V75,0,ROUNDUP((V75-AI75)/3,-3))))</f>
        <v>#VALUE!</v>
      </c>
      <c r="AV75" s="1503" t="e">
        <f t="shared" si="54" ref="AV75:AV109">ROUNDUP(AS75+AT75+AU75,-3)</f>
        <v>#VALUE!</v>
      </c>
      <c r="AW75" s="1503" t="e">
        <f>AV75+AI75</f>
        <v>#VALUE!</v>
      </c>
      <c r="AX75" s="1501" t="e">
        <f>AW75-W75</f>
        <v>#VALUE!</v>
      </c>
      <c r="AY75" s="1501">
        <f>IF($AG$7="INCOME TAX DEDUCT FROM SALARY TILL JAN  2025",0,IF(AF75&lt;=12500,0,IF(AI75&gt;AF75,0,ROUNDUP((AF75-AI75)/3,-3))))</f>
        <v>0.0</v>
      </c>
      <c r="AZ75" s="1501">
        <f>IF($AG$7="INCOME TAX DEDUCT FROM SALARY TILL JAN  2025",0,IF(AF75&lt;=12500,0,IF(AI75&gt;AF75,0,ROUNDUP((AF75-AI75)/3,-3))))</f>
        <v>0.0</v>
      </c>
      <c r="BA75" s="1501" t="e">
        <f>IF($AG$7="INCOME TAX DEDUCT FROM SALARY TILL JAN  2025",ROUNDUP((AF75-AI75),-3),IF(AF75&lt;=12500,0,IF(AI75&gt;AF75,0,ROUNDUP((AF75-AI75)/3,-3))))</f>
        <v>#VALUE!</v>
      </c>
      <c r="BB75" s="1503" t="e">
        <f t="shared" si="55" ref="BB75:BB109">ROUNDUP(AY75+AZ75+BA75,-3)</f>
        <v>#VALUE!</v>
      </c>
      <c r="BC75" s="1503" t="e">
        <f>BB75+AI75</f>
        <v>#VALUE!</v>
      </c>
      <c r="BD75" s="1501" t="e">
        <f>BC75-AF75</f>
        <v>#VALUE!</v>
      </c>
      <c r="BE75" s="1504"/>
      <c r="BF75" s="1504"/>
      <c r="BG75" s="1504"/>
    </row>
    <row r="76" spans="8:8" ht="15.75">
      <c r="B76" s="1488">
        <f t="shared" si="37"/>
        <v>0.0</v>
      </c>
      <c r="C76" s="1488">
        <f t="shared" si="28"/>
        <v>0.0</v>
      </c>
      <c r="D76" s="1489"/>
      <c r="E76" s="1505"/>
      <c r="F76" s="1506"/>
      <c r="G76" s="1506"/>
      <c r="H76" s="1507"/>
      <c r="I76" s="1492"/>
      <c r="J76" s="1507"/>
      <c r="K76" s="1507"/>
      <c r="L76" s="1507"/>
      <c r="M76" s="1507"/>
      <c r="N76" s="1492">
        <v>0.0</v>
      </c>
      <c r="O76" s="1493">
        <f t="shared" si="38"/>
        <v>-50000.0</v>
      </c>
      <c r="P76" s="1493">
        <f t="shared" si="39"/>
        <v>-75000.0</v>
      </c>
      <c r="Q76" s="1494">
        <f t="shared" si="40"/>
        <v>0.0</v>
      </c>
      <c r="R76" s="1494">
        <f t="shared" si="41"/>
        <v>0.0</v>
      </c>
      <c r="S76" s="1494">
        <f t="shared" si="42"/>
        <v>0.0</v>
      </c>
      <c r="T76" s="1493" t="str">
        <f t="shared" si="29"/>
        <v/>
      </c>
      <c r="U76" s="1494" t="str">
        <f t="shared" si="43"/>
        <v/>
      </c>
      <c r="V76" s="1495" t="str">
        <f t="shared" si="44"/>
        <v/>
      </c>
      <c r="W76" s="1495" t="str">
        <f t="shared" si="45"/>
        <v/>
      </c>
      <c r="X76" s="1494">
        <f t="shared" si="46"/>
        <v>0.0</v>
      </c>
      <c r="Y76" s="1494">
        <f t="shared" si="47"/>
        <v>0.0</v>
      </c>
      <c r="Z76" s="1494">
        <f t="shared" si="48"/>
        <v>0.0</v>
      </c>
      <c r="AA76" s="1494">
        <f t="shared" si="49"/>
        <v>0.0</v>
      </c>
      <c r="AB76" s="1496">
        <f t="shared" si="50"/>
        <v>0.0</v>
      </c>
      <c r="AC76" s="1497" t="str">
        <f t="shared" si="30"/>
        <v/>
      </c>
      <c r="AD76" s="1494" t="str">
        <f t="shared" si="31"/>
        <v/>
      </c>
      <c r="AE76" s="1495" t="str">
        <f t="shared" si="32"/>
        <v/>
      </c>
      <c r="AF76" s="1495" t="str">
        <f t="shared" si="33"/>
        <v/>
      </c>
      <c r="AG76" s="1508"/>
      <c r="AH76" s="1508"/>
      <c r="AI76" s="1496">
        <f t="shared" si="51"/>
        <v>0.0</v>
      </c>
      <c r="AJ76" s="1496">
        <f>IF(OR(W76=0,AF76=0),0,IF(AN76="OLD TAX REGIME",AS76,AY76))</f>
        <v>0.0</v>
      </c>
      <c r="AK76" s="1496">
        <f>IF(OR(W76=0,AF76=0),0,IF(AN76="OLD TAX REGIME",AT76,AZ76))</f>
        <v>0.0</v>
      </c>
      <c r="AL76" s="1496" t="e">
        <f>IF(OR(W76=0,AF76=0),0,IF(AN76="OLD TAX REGIME",AU76,BA76))</f>
        <v>#VALUE!</v>
      </c>
      <c r="AM76" s="1497" t="e">
        <f t="shared" si="52"/>
        <v>#VALUE!</v>
      </c>
      <c r="AN76" s="1499" t="str">
        <f t="shared" si="34"/>
        <v/>
      </c>
      <c r="AO76" s="1500">
        <f t="shared" si="35"/>
        <v>0.0</v>
      </c>
      <c r="AP76" s="1509">
        <f t="shared" si="36"/>
        <v>0.0</v>
      </c>
      <c r="AQ76" s="1502">
        <f t="shared" si="53"/>
        <v>0.0</v>
      </c>
      <c r="AR76" s="1419"/>
      <c r="AS76" s="1501">
        <f>IF($AG$7="INCOME TAX DEDUCT FROM SALARY TILL JAN  2025",0,IF(W76&lt;=12500,0,IF(AI76&gt;W76,0,ROUNDUP((W76-AI76)/3,-3))))</f>
        <v>0.0</v>
      </c>
      <c r="AT76" s="1501">
        <f>IF($AG$7="INCOME TAX DEDUCT FROM SALARY TILL JAN  2025",0,IF(W76&lt;=12500,0,IF(AI76&gt;V76,0,ROUNDUP((W76-AI76)/3,-3))))</f>
        <v>0.0</v>
      </c>
      <c r="AU76" s="1501" t="e">
        <f>IF($AG$7="INCOME TAX DEDUCT FROM SALARY TILL JAN  2025",ROUNDUP((V76-AI76),-3),IF(V76&lt;=12500,0,IF(AI76&gt;V76,0,ROUNDUP((V76-AI76)/3,-3))))</f>
        <v>#VALUE!</v>
      </c>
      <c r="AV76" s="1503" t="e">
        <f t="shared" si="54"/>
        <v>#VALUE!</v>
      </c>
      <c r="AW76" s="1503" t="e">
        <f>AV76+AI76</f>
        <v>#VALUE!</v>
      </c>
      <c r="AX76" s="1501" t="e">
        <f>AW76-W76</f>
        <v>#VALUE!</v>
      </c>
      <c r="AY76" s="1501">
        <f>IF($AG$7="INCOME TAX DEDUCT FROM SALARY TILL JAN  2025",0,IF(AF76&lt;=12500,0,IF(AI76&gt;AF76,0,ROUNDUP((AF76-AI76)/3,-3))))</f>
        <v>0.0</v>
      </c>
      <c r="AZ76" s="1501">
        <f>IF($AG$7="INCOME TAX DEDUCT FROM SALARY TILL JAN  2025",0,IF(AF76&lt;=12500,0,IF(AI76&gt;AF76,0,ROUNDUP((AF76-AI76)/3,-3))))</f>
        <v>0.0</v>
      </c>
      <c r="BA76" s="1501" t="e">
        <f>IF($AG$7="INCOME TAX DEDUCT FROM SALARY TILL JAN  2025",ROUNDUP((AF76-AI76),-3),IF(AF76&lt;=12500,0,IF(AI76&gt;AF76,0,ROUNDUP((AF76-AI76)/3,-3))))</f>
        <v>#VALUE!</v>
      </c>
      <c r="BB76" s="1503" t="e">
        <f t="shared" si="55"/>
        <v>#VALUE!</v>
      </c>
      <c r="BC76" s="1503" t="e">
        <f>BB76+AI76</f>
        <v>#VALUE!</v>
      </c>
      <c r="BD76" s="1501" t="e">
        <f>BC76-AF76</f>
        <v>#VALUE!</v>
      </c>
      <c r="BE76" s="1504"/>
      <c r="BF76" s="1504"/>
      <c r="BG76" s="1504"/>
    </row>
    <row r="77" spans="8:8" ht="15.75">
      <c r="B77" s="1488">
        <f t="shared" si="37"/>
        <v>0.0</v>
      </c>
      <c r="C77" s="1488">
        <f t="shared" si="28"/>
        <v>0.0</v>
      </c>
      <c r="D77" s="1489"/>
      <c r="E77" s="1505"/>
      <c r="F77" s="1506"/>
      <c r="G77" s="1506"/>
      <c r="H77" s="1507"/>
      <c r="I77" s="1492"/>
      <c r="J77" s="1507"/>
      <c r="K77" s="1507"/>
      <c r="L77" s="1507"/>
      <c r="M77" s="1507"/>
      <c r="N77" s="1492">
        <v>0.0</v>
      </c>
      <c r="O77" s="1493">
        <f t="shared" si="38"/>
        <v>-50000.0</v>
      </c>
      <c r="P77" s="1493">
        <f t="shared" si="39"/>
        <v>-75000.0</v>
      </c>
      <c r="Q77" s="1494">
        <f t="shared" si="40"/>
        <v>0.0</v>
      </c>
      <c r="R77" s="1494">
        <f t="shared" si="41"/>
        <v>0.0</v>
      </c>
      <c r="S77" s="1494">
        <f t="shared" si="42"/>
        <v>0.0</v>
      </c>
      <c r="T77" s="1493" t="str">
        <f t="shared" si="29"/>
        <v/>
      </c>
      <c r="U77" s="1494" t="str">
        <f t="shared" si="43"/>
        <v/>
      </c>
      <c r="V77" s="1495" t="str">
        <f t="shared" si="44"/>
        <v/>
      </c>
      <c r="W77" s="1495" t="str">
        <f t="shared" si="45"/>
        <v/>
      </c>
      <c r="X77" s="1494">
        <f t="shared" si="46"/>
        <v>0.0</v>
      </c>
      <c r="Y77" s="1494">
        <f t="shared" si="47"/>
        <v>0.0</v>
      </c>
      <c r="Z77" s="1494">
        <f t="shared" si="48"/>
        <v>0.0</v>
      </c>
      <c r="AA77" s="1494">
        <f t="shared" si="49"/>
        <v>0.0</v>
      </c>
      <c r="AB77" s="1496">
        <f t="shared" si="50"/>
        <v>0.0</v>
      </c>
      <c r="AC77" s="1497" t="str">
        <f t="shared" si="30"/>
        <v/>
      </c>
      <c r="AD77" s="1494" t="str">
        <f t="shared" si="31"/>
        <v/>
      </c>
      <c r="AE77" s="1495" t="str">
        <f t="shared" si="32"/>
        <v/>
      </c>
      <c r="AF77" s="1495" t="str">
        <f t="shared" si="33"/>
        <v/>
      </c>
      <c r="AG77" s="1508"/>
      <c r="AH77" s="1508"/>
      <c r="AI77" s="1496">
        <f t="shared" si="51"/>
        <v>0.0</v>
      </c>
      <c r="AJ77" s="1496">
        <f>IF(OR(W77=0,AF77=0),0,IF(AN77="OLD TAX REGIME",AS77,AY77))</f>
        <v>0.0</v>
      </c>
      <c r="AK77" s="1496">
        <f>IF(OR(W77=0,AF77=0),0,IF(AN77="OLD TAX REGIME",AT77,AZ77))</f>
        <v>0.0</v>
      </c>
      <c r="AL77" s="1496" t="e">
        <f>IF(OR(W77=0,AF77=0),0,IF(AN77="OLD TAX REGIME",AU77,BA77))</f>
        <v>#VALUE!</v>
      </c>
      <c r="AM77" s="1497" t="e">
        <f t="shared" si="52"/>
        <v>#VALUE!</v>
      </c>
      <c r="AN77" s="1499" t="str">
        <f t="shared" si="34"/>
        <v/>
      </c>
      <c r="AO77" s="1500">
        <f t="shared" si="35"/>
        <v>0.0</v>
      </c>
      <c r="AP77" s="1509">
        <f t="shared" si="36"/>
        <v>0.0</v>
      </c>
      <c r="AQ77" s="1502">
        <f t="shared" si="53"/>
        <v>0.0</v>
      </c>
      <c r="AR77" s="1419"/>
      <c r="AS77" s="1501">
        <f>IF($AG$7="INCOME TAX DEDUCT FROM SALARY TILL JAN  2025",0,IF(W77&lt;=12500,0,IF(AI77&gt;W77,0,ROUNDUP((W77-AI77)/3,-3))))</f>
        <v>0.0</v>
      </c>
      <c r="AT77" s="1501">
        <f>IF($AG$7="INCOME TAX DEDUCT FROM SALARY TILL JAN  2025",0,IF(W77&lt;=12500,0,IF(AI77&gt;V77,0,ROUNDUP((W77-AI77)/3,-3))))</f>
        <v>0.0</v>
      </c>
      <c r="AU77" s="1501" t="e">
        <f>IF($AG$7="INCOME TAX DEDUCT FROM SALARY TILL JAN  2025",ROUNDUP((V77-AI77),-3),IF(V77&lt;=12500,0,IF(AI77&gt;V77,0,ROUNDUP((V77-AI77)/3,-3))))</f>
        <v>#VALUE!</v>
      </c>
      <c r="AV77" s="1503" t="e">
        <f t="shared" si="54"/>
        <v>#VALUE!</v>
      </c>
      <c r="AW77" s="1503" t="e">
        <f>AV77+AI77</f>
        <v>#VALUE!</v>
      </c>
      <c r="AX77" s="1501" t="e">
        <f>AW77-W77</f>
        <v>#VALUE!</v>
      </c>
      <c r="AY77" s="1501">
        <f>IF($AG$7="INCOME TAX DEDUCT FROM SALARY TILL JAN  2025",0,IF(AF77&lt;=12500,0,IF(AI77&gt;AF77,0,ROUNDUP((AF77-AI77)/3,-3))))</f>
        <v>0.0</v>
      </c>
      <c r="AZ77" s="1501">
        <f>IF($AG$7="INCOME TAX DEDUCT FROM SALARY TILL JAN  2025",0,IF(AF77&lt;=12500,0,IF(AI77&gt;AF77,0,ROUNDUP((AF77-AI77)/3,-3))))</f>
        <v>0.0</v>
      </c>
      <c r="BA77" s="1501" t="e">
        <f>IF($AG$7="INCOME TAX DEDUCT FROM SALARY TILL JAN  2025",ROUNDUP((AF77-AI77),-3),IF(AF77&lt;=12500,0,IF(AI77&gt;AF77,0,ROUNDUP((AF77-AI77)/3,-3))))</f>
        <v>#VALUE!</v>
      </c>
      <c r="BB77" s="1503" t="e">
        <f t="shared" si="55"/>
        <v>#VALUE!</v>
      </c>
      <c r="BC77" s="1503" t="e">
        <f>BB77+AI77</f>
        <v>#VALUE!</v>
      </c>
      <c r="BD77" s="1501" t="e">
        <f>BC77-AF77</f>
        <v>#VALUE!</v>
      </c>
      <c r="BE77" s="1504"/>
      <c r="BF77" s="1504"/>
      <c r="BG77" s="1504"/>
    </row>
    <row r="78" spans="8:8" ht="13.5" customHeight="1">
      <c r="B78" s="1488">
        <f t="shared" si="37"/>
        <v>0.0</v>
      </c>
      <c r="C78" s="1488">
        <f t="shared" si="28"/>
        <v>0.0</v>
      </c>
      <c r="D78" s="1489"/>
      <c r="E78" s="1505"/>
      <c r="F78" s="1506"/>
      <c r="G78" s="1506"/>
      <c r="H78" s="1507"/>
      <c r="I78" s="1492"/>
      <c r="J78" s="1507"/>
      <c r="K78" s="1507"/>
      <c r="L78" s="1507"/>
      <c r="M78" s="1507"/>
      <c r="N78" s="1492">
        <v>0.0</v>
      </c>
      <c r="O78" s="1493">
        <f t="shared" si="38"/>
        <v>-50000.0</v>
      </c>
      <c r="P78" s="1493">
        <f t="shared" si="39"/>
        <v>-75000.0</v>
      </c>
      <c r="Q78" s="1494">
        <f t="shared" si="40"/>
        <v>0.0</v>
      </c>
      <c r="R78" s="1494">
        <f t="shared" si="41"/>
        <v>0.0</v>
      </c>
      <c r="S78" s="1494">
        <f t="shared" si="42"/>
        <v>0.0</v>
      </c>
      <c r="T78" s="1493" t="str">
        <f t="shared" si="29"/>
        <v/>
      </c>
      <c r="U78" s="1494" t="str">
        <f t="shared" si="43"/>
        <v/>
      </c>
      <c r="V78" s="1495" t="str">
        <f t="shared" si="44"/>
        <v/>
      </c>
      <c r="W78" s="1495" t="str">
        <f t="shared" si="45"/>
        <v/>
      </c>
      <c r="X78" s="1494">
        <f t="shared" si="46"/>
        <v>0.0</v>
      </c>
      <c r="Y78" s="1494">
        <f t="shared" si="47"/>
        <v>0.0</v>
      </c>
      <c r="Z78" s="1494">
        <f t="shared" si="48"/>
        <v>0.0</v>
      </c>
      <c r="AA78" s="1494">
        <f t="shared" si="49"/>
        <v>0.0</v>
      </c>
      <c r="AB78" s="1496">
        <f t="shared" si="50"/>
        <v>0.0</v>
      </c>
      <c r="AC78" s="1497" t="str">
        <f t="shared" si="30"/>
        <v/>
      </c>
      <c r="AD78" s="1494" t="str">
        <f t="shared" si="31"/>
        <v/>
      </c>
      <c r="AE78" s="1495" t="str">
        <f t="shared" si="32"/>
        <v/>
      </c>
      <c r="AF78" s="1495" t="str">
        <f t="shared" si="33"/>
        <v/>
      </c>
      <c r="AG78" s="1508"/>
      <c r="AH78" s="1508"/>
      <c r="AI78" s="1496">
        <f t="shared" si="51"/>
        <v>0.0</v>
      </c>
      <c r="AJ78" s="1496">
        <f>IF(OR(W78=0,AF78=0),0,IF(AN78="OLD TAX REGIME",AS78,AY78))</f>
        <v>0.0</v>
      </c>
      <c r="AK78" s="1496">
        <f>IF(OR(W78=0,AF78=0),0,IF(AN78="OLD TAX REGIME",AT78,AZ78))</f>
        <v>0.0</v>
      </c>
      <c r="AL78" s="1496" t="e">
        <f>IF(OR(W78=0,AF78=0),0,IF(AN78="OLD TAX REGIME",AU78,BA78))</f>
        <v>#VALUE!</v>
      </c>
      <c r="AM78" s="1497" t="e">
        <f t="shared" si="52"/>
        <v>#VALUE!</v>
      </c>
      <c r="AN78" s="1499" t="str">
        <f t="shared" si="34"/>
        <v/>
      </c>
      <c r="AO78" s="1500">
        <f t="shared" si="35"/>
        <v>0.0</v>
      </c>
      <c r="AP78" s="1509">
        <f t="shared" si="36"/>
        <v>0.0</v>
      </c>
      <c r="AQ78" s="1502">
        <f t="shared" si="53"/>
        <v>0.0</v>
      </c>
      <c r="AR78" s="1419"/>
      <c r="AS78" s="1501">
        <f>IF($AG$7="INCOME TAX DEDUCT FROM SALARY TILL JAN  2025",0,IF(W78&lt;=12500,0,IF(AI78&gt;W78,0,ROUNDUP((W78-AI78)/3,-3))))</f>
        <v>0.0</v>
      </c>
      <c r="AT78" s="1501">
        <f>IF($AG$7="INCOME TAX DEDUCT FROM SALARY TILL JAN  2025",0,IF(W78&lt;=12500,0,IF(AI78&gt;V78,0,ROUNDUP((W78-AI78)/3,-3))))</f>
        <v>0.0</v>
      </c>
      <c r="AU78" s="1501" t="e">
        <f>IF($AG$7="INCOME TAX DEDUCT FROM SALARY TILL JAN  2025",ROUNDUP((V78-AI78),-3),IF(V78&lt;=12500,0,IF(AI78&gt;V78,0,ROUNDUP((V78-AI78)/3,-3))))</f>
        <v>#VALUE!</v>
      </c>
      <c r="AV78" s="1503" t="e">
        <f t="shared" si="54"/>
        <v>#VALUE!</v>
      </c>
      <c r="AW78" s="1503" t="e">
        <f>AV78+AI78</f>
        <v>#VALUE!</v>
      </c>
      <c r="AX78" s="1501" t="e">
        <f>AW78-W78</f>
        <v>#VALUE!</v>
      </c>
      <c r="AY78" s="1501">
        <f>IF($AG$7="INCOME TAX DEDUCT FROM SALARY TILL JAN  2025",0,IF(AF78&lt;=12500,0,IF(AI78&gt;AF78,0,ROUNDUP((AF78-AI78)/3,-3))))</f>
        <v>0.0</v>
      </c>
      <c r="AZ78" s="1501">
        <f>IF($AG$7="INCOME TAX DEDUCT FROM SALARY TILL JAN  2025",0,IF(AF78&lt;=12500,0,IF(AI78&gt;AF78,0,ROUNDUP((AF78-AI78)/3,-3))))</f>
        <v>0.0</v>
      </c>
      <c r="BA78" s="1501" t="e">
        <f>IF($AG$7="INCOME TAX DEDUCT FROM SALARY TILL JAN  2025",ROUNDUP((AF78-AI78),-3),IF(AF78&lt;=12500,0,IF(AI78&gt;AF78,0,ROUNDUP((AF78-AI78)/3,-3))))</f>
        <v>#VALUE!</v>
      </c>
      <c r="BB78" s="1503" t="e">
        <f t="shared" si="55"/>
        <v>#VALUE!</v>
      </c>
      <c r="BC78" s="1503" t="e">
        <f>BB78+AI78</f>
        <v>#VALUE!</v>
      </c>
      <c r="BD78" s="1501" t="e">
        <f>BC78-AF78</f>
        <v>#VALUE!</v>
      </c>
      <c r="BE78" s="1504"/>
      <c r="BF78" s="1504"/>
      <c r="BG78" s="1504"/>
    </row>
    <row r="79" spans="8:8" ht="13.5" customHeight="1">
      <c r="B79" s="1488">
        <f t="shared" si="37"/>
        <v>0.0</v>
      </c>
      <c r="C79" s="1488">
        <f t="shared" si="28"/>
        <v>0.0</v>
      </c>
      <c r="D79" s="1489"/>
      <c r="E79" s="1505"/>
      <c r="F79" s="1506"/>
      <c r="G79" s="1506"/>
      <c r="H79" s="1507"/>
      <c r="I79" s="1492"/>
      <c r="J79" s="1507"/>
      <c r="K79" s="1507"/>
      <c r="L79" s="1507"/>
      <c r="M79" s="1507"/>
      <c r="N79" s="1492">
        <v>0.0</v>
      </c>
      <c r="O79" s="1493">
        <f t="shared" si="38"/>
        <v>-50000.0</v>
      </c>
      <c r="P79" s="1493">
        <f t="shared" si="39"/>
        <v>-75000.0</v>
      </c>
      <c r="Q79" s="1494">
        <f t="shared" si="40"/>
        <v>0.0</v>
      </c>
      <c r="R79" s="1494">
        <f t="shared" si="41"/>
        <v>0.0</v>
      </c>
      <c r="S79" s="1494">
        <f t="shared" si="42"/>
        <v>0.0</v>
      </c>
      <c r="T79" s="1493" t="str">
        <f t="shared" si="29"/>
        <v/>
      </c>
      <c r="U79" s="1494" t="str">
        <f t="shared" si="43"/>
        <v/>
      </c>
      <c r="V79" s="1495" t="str">
        <f t="shared" si="44"/>
        <v/>
      </c>
      <c r="W79" s="1495" t="str">
        <f t="shared" si="45"/>
        <v/>
      </c>
      <c r="X79" s="1494">
        <f t="shared" si="46"/>
        <v>0.0</v>
      </c>
      <c r="Y79" s="1494">
        <f t="shared" si="47"/>
        <v>0.0</v>
      </c>
      <c r="Z79" s="1494">
        <f t="shared" si="48"/>
        <v>0.0</v>
      </c>
      <c r="AA79" s="1494">
        <f t="shared" si="49"/>
        <v>0.0</v>
      </c>
      <c r="AB79" s="1496">
        <f t="shared" si="50"/>
        <v>0.0</v>
      </c>
      <c r="AC79" s="1497" t="str">
        <f t="shared" si="30"/>
        <v/>
      </c>
      <c r="AD79" s="1494" t="str">
        <f t="shared" si="31"/>
        <v/>
      </c>
      <c r="AE79" s="1495" t="str">
        <f t="shared" si="32"/>
        <v/>
      </c>
      <c r="AF79" s="1495" t="str">
        <f t="shared" si="33"/>
        <v/>
      </c>
      <c r="AG79" s="1508"/>
      <c r="AH79" s="1508"/>
      <c r="AI79" s="1496">
        <f t="shared" si="51"/>
        <v>0.0</v>
      </c>
      <c r="AJ79" s="1496">
        <f>IF(OR(W79=0,AF79=0),0,IF(AN79="OLD TAX REGIME",AS79,AY79))</f>
        <v>0.0</v>
      </c>
      <c r="AK79" s="1496">
        <f>IF(OR(W79=0,AF79=0),0,IF(AN79="OLD TAX REGIME",AT79,AZ79))</f>
        <v>0.0</v>
      </c>
      <c r="AL79" s="1496" t="e">
        <f>IF(OR(W79=0,AF79=0),0,IF(AN79="OLD TAX REGIME",AU79,BA79))</f>
        <v>#VALUE!</v>
      </c>
      <c r="AM79" s="1497" t="e">
        <f t="shared" si="52"/>
        <v>#VALUE!</v>
      </c>
      <c r="AN79" s="1499" t="str">
        <f t="shared" si="34"/>
        <v/>
      </c>
      <c r="AO79" s="1500">
        <f t="shared" si="35"/>
        <v>0.0</v>
      </c>
      <c r="AP79" s="1509">
        <f t="shared" si="36"/>
        <v>0.0</v>
      </c>
      <c r="AQ79" s="1502">
        <f t="shared" si="53"/>
        <v>0.0</v>
      </c>
      <c r="AR79" s="1419"/>
      <c r="AS79" s="1501">
        <f>IF($AG$7="INCOME TAX DEDUCT FROM SALARY TILL JAN  2025",0,IF(W79&lt;=12500,0,IF(AI79&gt;W79,0,ROUNDUP((W79-AI79)/3,-3))))</f>
        <v>0.0</v>
      </c>
      <c r="AT79" s="1501">
        <f>IF($AG$7="INCOME TAX DEDUCT FROM SALARY TILL JAN  2025",0,IF(W79&lt;=12500,0,IF(AI79&gt;V79,0,ROUNDUP((W79-AI79)/3,-3))))</f>
        <v>0.0</v>
      </c>
      <c r="AU79" s="1501" t="e">
        <f>IF($AG$7="INCOME TAX DEDUCT FROM SALARY TILL JAN  2025",ROUNDUP((V79-AI79),-3),IF(V79&lt;=12500,0,IF(AI79&gt;V79,0,ROUNDUP((V79-AI79)/3,-3))))</f>
        <v>#VALUE!</v>
      </c>
      <c r="AV79" s="1503" t="e">
        <f t="shared" si="54"/>
        <v>#VALUE!</v>
      </c>
      <c r="AW79" s="1503" t="e">
        <f>AV79+AI79</f>
        <v>#VALUE!</v>
      </c>
      <c r="AX79" s="1501" t="e">
        <f>AW79-W79</f>
        <v>#VALUE!</v>
      </c>
      <c r="AY79" s="1501">
        <f>IF($AG$7="INCOME TAX DEDUCT FROM SALARY TILL JAN  2025",0,IF(AF79&lt;=12500,0,IF(AI79&gt;AF79,0,ROUNDUP((AF79-AI79)/3,-3))))</f>
        <v>0.0</v>
      </c>
      <c r="AZ79" s="1501">
        <f>IF($AG$7="INCOME TAX DEDUCT FROM SALARY TILL JAN  2025",0,IF(AF79&lt;=12500,0,IF(AI79&gt;AF79,0,ROUNDUP((AF79-AI79)/3,-3))))</f>
        <v>0.0</v>
      </c>
      <c r="BA79" s="1501" t="e">
        <f>IF($AG$7="INCOME TAX DEDUCT FROM SALARY TILL JAN  2025",ROUNDUP((AF79-AI79),-3),IF(AF79&lt;=12500,0,IF(AI79&gt;AF79,0,ROUNDUP((AF79-AI79)/3,-3))))</f>
        <v>#VALUE!</v>
      </c>
      <c r="BB79" s="1503" t="e">
        <f t="shared" si="55"/>
        <v>#VALUE!</v>
      </c>
      <c r="BC79" s="1503" t="e">
        <f>BB79+AI79</f>
        <v>#VALUE!</v>
      </c>
      <c r="BD79" s="1501" t="e">
        <f>BC79-AF79</f>
        <v>#VALUE!</v>
      </c>
      <c r="BE79" s="1504"/>
      <c r="BF79" s="1504"/>
      <c r="BG79" s="1504"/>
    </row>
    <row r="80" spans="8:8" ht="13.5" customHeight="1">
      <c r="B80" s="1488">
        <f t="shared" si="37"/>
        <v>0.0</v>
      </c>
      <c r="C80" s="1488">
        <f t="shared" si="28"/>
        <v>0.0</v>
      </c>
      <c r="D80" s="1489"/>
      <c r="E80" s="1505"/>
      <c r="F80" s="1506"/>
      <c r="G80" s="1506"/>
      <c r="H80" s="1507"/>
      <c r="I80" s="1492"/>
      <c r="J80" s="1507"/>
      <c r="K80" s="1507"/>
      <c r="L80" s="1507"/>
      <c r="M80" s="1507"/>
      <c r="N80" s="1492">
        <v>0.0</v>
      </c>
      <c r="O80" s="1493">
        <f t="shared" si="38"/>
        <v>-50000.0</v>
      </c>
      <c r="P80" s="1493">
        <f t="shared" si="39"/>
        <v>-75000.0</v>
      </c>
      <c r="Q80" s="1494">
        <f t="shared" si="40"/>
        <v>0.0</v>
      </c>
      <c r="R80" s="1494">
        <f t="shared" si="41"/>
        <v>0.0</v>
      </c>
      <c r="S80" s="1494">
        <f t="shared" si="42"/>
        <v>0.0</v>
      </c>
      <c r="T80" s="1493" t="str">
        <f t="shared" si="29"/>
        <v/>
      </c>
      <c r="U80" s="1494" t="str">
        <f t="shared" si="43"/>
        <v/>
      </c>
      <c r="V80" s="1495" t="str">
        <f t="shared" si="44"/>
        <v/>
      </c>
      <c r="W80" s="1495" t="str">
        <f t="shared" si="45"/>
        <v/>
      </c>
      <c r="X80" s="1494">
        <f t="shared" si="46"/>
        <v>0.0</v>
      </c>
      <c r="Y80" s="1494">
        <f t="shared" si="47"/>
        <v>0.0</v>
      </c>
      <c r="Z80" s="1494">
        <f t="shared" si="48"/>
        <v>0.0</v>
      </c>
      <c r="AA80" s="1494">
        <f t="shared" si="49"/>
        <v>0.0</v>
      </c>
      <c r="AB80" s="1496">
        <f t="shared" si="50"/>
        <v>0.0</v>
      </c>
      <c r="AC80" s="1497" t="str">
        <f t="shared" si="30"/>
        <v/>
      </c>
      <c r="AD80" s="1494" t="str">
        <f t="shared" si="31"/>
        <v/>
      </c>
      <c r="AE80" s="1495" t="str">
        <f t="shared" si="32"/>
        <v/>
      </c>
      <c r="AF80" s="1495" t="str">
        <f t="shared" si="33"/>
        <v/>
      </c>
      <c r="AG80" s="1508"/>
      <c r="AH80" s="1508"/>
      <c r="AI80" s="1496">
        <f t="shared" si="51"/>
        <v>0.0</v>
      </c>
      <c r="AJ80" s="1496">
        <f>IF(OR(W80=0,AF80=0),0,IF(AN80="OLD TAX REGIME",AS80,AY80))</f>
        <v>0.0</v>
      </c>
      <c r="AK80" s="1496">
        <f>IF(OR(W80=0,AF80=0),0,IF(AN80="OLD TAX REGIME",AT80,AZ80))</f>
        <v>0.0</v>
      </c>
      <c r="AL80" s="1496" t="e">
        <f>IF(OR(W80=0,AF80=0),0,IF(AN80="OLD TAX REGIME",AU80,BA80))</f>
        <v>#VALUE!</v>
      </c>
      <c r="AM80" s="1497" t="e">
        <f t="shared" si="52"/>
        <v>#VALUE!</v>
      </c>
      <c r="AN80" s="1499" t="str">
        <f t="shared" si="34"/>
        <v/>
      </c>
      <c r="AO80" s="1500">
        <f t="shared" si="35"/>
        <v>0.0</v>
      </c>
      <c r="AP80" s="1509">
        <f t="shared" si="36"/>
        <v>0.0</v>
      </c>
      <c r="AQ80" s="1502">
        <f t="shared" si="53"/>
        <v>0.0</v>
      </c>
      <c r="AR80" s="1419"/>
      <c r="AS80" s="1501">
        <f>IF($AG$7="INCOME TAX DEDUCT FROM SALARY TILL JAN  2025",0,IF(W80&lt;=12500,0,IF(AI80&gt;W80,0,ROUNDUP((W80-AI80)/3,-3))))</f>
        <v>0.0</v>
      </c>
      <c r="AT80" s="1501">
        <f>IF($AG$7="INCOME TAX DEDUCT FROM SALARY TILL JAN  2025",0,IF(W80&lt;=12500,0,IF(AI80&gt;V80,0,ROUNDUP((W80-AI80)/3,-3))))</f>
        <v>0.0</v>
      </c>
      <c r="AU80" s="1501" t="e">
        <f>IF($AG$7="INCOME TAX DEDUCT FROM SALARY TILL JAN  2025",ROUNDUP((V80-AI80),-3),IF(V80&lt;=12500,0,IF(AI80&gt;V80,0,ROUNDUP((V80-AI80)/3,-3))))</f>
        <v>#VALUE!</v>
      </c>
      <c r="AV80" s="1503" t="e">
        <f t="shared" si="54"/>
        <v>#VALUE!</v>
      </c>
      <c r="AW80" s="1503" t="e">
        <f>AV80+AI80</f>
        <v>#VALUE!</v>
      </c>
      <c r="AX80" s="1501" t="e">
        <f>AW80-W80</f>
        <v>#VALUE!</v>
      </c>
      <c r="AY80" s="1501">
        <f>IF($AG$7="INCOME TAX DEDUCT FROM SALARY TILL JAN  2025",0,IF(AF80&lt;=12500,0,IF(AI80&gt;AF80,0,ROUNDUP((AF80-AI80)/3,-3))))</f>
        <v>0.0</v>
      </c>
      <c r="AZ80" s="1501">
        <f>IF($AG$7="INCOME TAX DEDUCT FROM SALARY TILL JAN  2025",0,IF(AF80&lt;=12500,0,IF(AI80&gt;AF80,0,ROUNDUP((AF80-AI80)/3,-3))))</f>
        <v>0.0</v>
      </c>
      <c r="BA80" s="1501" t="e">
        <f>IF($AG$7="INCOME TAX DEDUCT FROM SALARY TILL JAN  2025",ROUNDUP((AF80-AI80),-3),IF(AF80&lt;=12500,0,IF(AI80&gt;AF80,0,ROUNDUP((AF80-AI80)/3,-3))))</f>
        <v>#VALUE!</v>
      </c>
      <c r="BB80" s="1503" t="e">
        <f t="shared" si="55"/>
        <v>#VALUE!</v>
      </c>
      <c r="BC80" s="1503" t="e">
        <f>BB80+AI80</f>
        <v>#VALUE!</v>
      </c>
      <c r="BD80" s="1501" t="e">
        <f>BC80-AF80</f>
        <v>#VALUE!</v>
      </c>
      <c r="BE80" s="1504"/>
      <c r="BF80" s="1504"/>
      <c r="BG80" s="1504"/>
    </row>
    <row r="81" spans="8:8" ht="13.5" customHeight="1">
      <c r="B81" s="1488">
        <f t="shared" si="37"/>
        <v>0.0</v>
      </c>
      <c r="C81" s="1488">
        <f t="shared" si="28"/>
        <v>0.0</v>
      </c>
      <c r="D81" s="1489"/>
      <c r="E81" s="1505"/>
      <c r="F81" s="1506"/>
      <c r="G81" s="1506"/>
      <c r="H81" s="1507"/>
      <c r="I81" s="1492"/>
      <c r="J81" s="1507"/>
      <c r="K81" s="1507"/>
      <c r="L81" s="1507"/>
      <c r="M81" s="1507"/>
      <c r="N81" s="1492">
        <v>0.0</v>
      </c>
      <c r="O81" s="1493">
        <f t="shared" si="38"/>
        <v>-50000.0</v>
      </c>
      <c r="P81" s="1493">
        <f t="shared" si="39"/>
        <v>-75000.0</v>
      </c>
      <c r="Q81" s="1494">
        <f t="shared" si="40"/>
        <v>0.0</v>
      </c>
      <c r="R81" s="1494">
        <f t="shared" si="41"/>
        <v>0.0</v>
      </c>
      <c r="S81" s="1494">
        <f t="shared" si="42"/>
        <v>0.0</v>
      </c>
      <c r="T81" s="1493" t="str">
        <f t="shared" si="29"/>
        <v/>
      </c>
      <c r="U81" s="1494" t="str">
        <f t="shared" si="43"/>
        <v/>
      </c>
      <c r="V81" s="1495" t="str">
        <f t="shared" si="44"/>
        <v/>
      </c>
      <c r="W81" s="1495" t="str">
        <f t="shared" si="45"/>
        <v/>
      </c>
      <c r="X81" s="1494">
        <f t="shared" si="46"/>
        <v>0.0</v>
      </c>
      <c r="Y81" s="1494">
        <f t="shared" si="47"/>
        <v>0.0</v>
      </c>
      <c r="Z81" s="1494">
        <f t="shared" si="48"/>
        <v>0.0</v>
      </c>
      <c r="AA81" s="1494">
        <f t="shared" si="49"/>
        <v>0.0</v>
      </c>
      <c r="AB81" s="1496">
        <f t="shared" si="50"/>
        <v>0.0</v>
      </c>
      <c r="AC81" s="1497" t="str">
        <f t="shared" si="30"/>
        <v/>
      </c>
      <c r="AD81" s="1494" t="str">
        <f t="shared" si="31"/>
        <v/>
      </c>
      <c r="AE81" s="1495" t="str">
        <f t="shared" si="32"/>
        <v/>
      </c>
      <c r="AF81" s="1495" t="str">
        <f t="shared" si="33"/>
        <v/>
      </c>
      <c r="AG81" s="1508"/>
      <c r="AH81" s="1508"/>
      <c r="AI81" s="1496">
        <f t="shared" si="51"/>
        <v>0.0</v>
      </c>
      <c r="AJ81" s="1496">
        <f>IF(OR(W81=0,AF81=0),0,IF(AN81="OLD TAX REGIME",AS81,AY81))</f>
        <v>0.0</v>
      </c>
      <c r="AK81" s="1496">
        <f>IF(OR(W81=0,AF81=0),0,IF(AN81="OLD TAX REGIME",AT81,AZ81))</f>
        <v>0.0</v>
      </c>
      <c r="AL81" s="1496" t="e">
        <f>IF(OR(W81=0,AF81=0),0,IF(AN81="OLD TAX REGIME",AU81,BA81))</f>
        <v>#VALUE!</v>
      </c>
      <c r="AM81" s="1497" t="e">
        <f t="shared" si="52"/>
        <v>#VALUE!</v>
      </c>
      <c r="AN81" s="1499" t="str">
        <f t="shared" si="34"/>
        <v/>
      </c>
      <c r="AO81" s="1500">
        <f t="shared" si="35"/>
        <v>0.0</v>
      </c>
      <c r="AP81" s="1509">
        <f t="shared" si="36"/>
        <v>0.0</v>
      </c>
      <c r="AQ81" s="1502">
        <f t="shared" si="53"/>
        <v>0.0</v>
      </c>
      <c r="AR81" s="1419"/>
      <c r="AS81" s="1501">
        <f>IF($AG$7="INCOME TAX DEDUCT FROM SALARY TILL JAN  2025",0,IF(W81&lt;=12500,0,IF(AI81&gt;W81,0,ROUNDUP((W81-AI81)/3,-3))))</f>
        <v>0.0</v>
      </c>
      <c r="AT81" s="1501">
        <f>IF($AG$7="INCOME TAX DEDUCT FROM SALARY TILL JAN  2025",0,IF(W81&lt;=12500,0,IF(AI81&gt;V81,0,ROUNDUP((W81-AI81)/3,-3))))</f>
        <v>0.0</v>
      </c>
      <c r="AU81" s="1501" t="e">
        <f>IF($AG$7="INCOME TAX DEDUCT FROM SALARY TILL JAN  2025",ROUNDUP((V81-AI81),-3),IF(V81&lt;=12500,0,IF(AI81&gt;V81,0,ROUNDUP((V81-AI81)/3,-3))))</f>
        <v>#VALUE!</v>
      </c>
      <c r="AV81" s="1503" t="e">
        <f t="shared" si="54"/>
        <v>#VALUE!</v>
      </c>
      <c r="AW81" s="1503" t="e">
        <f>AV81+AI81</f>
        <v>#VALUE!</v>
      </c>
      <c r="AX81" s="1501" t="e">
        <f>AW81-W81</f>
        <v>#VALUE!</v>
      </c>
      <c r="AY81" s="1501">
        <f>IF($AG$7="INCOME TAX DEDUCT FROM SALARY TILL JAN  2025",0,IF(AF81&lt;=12500,0,IF(AI81&gt;AF81,0,ROUNDUP((AF81-AI81)/3,-3))))</f>
        <v>0.0</v>
      </c>
      <c r="AZ81" s="1501">
        <f>IF($AG$7="INCOME TAX DEDUCT FROM SALARY TILL JAN  2025",0,IF(AF81&lt;=12500,0,IF(AI81&gt;AF81,0,ROUNDUP((AF81-AI81)/3,-3))))</f>
        <v>0.0</v>
      </c>
      <c r="BA81" s="1501" t="e">
        <f>IF($AG$7="INCOME TAX DEDUCT FROM SALARY TILL JAN  2025",ROUNDUP((AF81-AI81),-3),IF(AF81&lt;=12500,0,IF(AI81&gt;AF81,0,ROUNDUP((AF81-AI81)/3,-3))))</f>
        <v>#VALUE!</v>
      </c>
      <c r="BB81" s="1503" t="e">
        <f t="shared" si="55"/>
        <v>#VALUE!</v>
      </c>
      <c r="BC81" s="1503" t="e">
        <f>BB81+AI81</f>
        <v>#VALUE!</v>
      </c>
      <c r="BD81" s="1501" t="e">
        <f>BC81-AF81</f>
        <v>#VALUE!</v>
      </c>
      <c r="BE81" s="1504"/>
      <c r="BF81" s="1504"/>
      <c r="BG81" s="1504"/>
    </row>
    <row r="82" spans="8:8" ht="13.5" customHeight="1">
      <c r="B82" s="1488">
        <f t="shared" si="37"/>
        <v>0.0</v>
      </c>
      <c r="C82" s="1488">
        <f t="shared" si="28"/>
        <v>0.0</v>
      </c>
      <c r="D82" s="1489"/>
      <c r="E82" s="1505"/>
      <c r="F82" s="1506"/>
      <c r="G82" s="1506"/>
      <c r="H82" s="1507"/>
      <c r="I82" s="1492"/>
      <c r="J82" s="1507"/>
      <c r="K82" s="1507"/>
      <c r="L82" s="1507"/>
      <c r="M82" s="1507"/>
      <c r="N82" s="1492">
        <v>0.0</v>
      </c>
      <c r="O82" s="1493">
        <f t="shared" si="38"/>
        <v>-50000.0</v>
      </c>
      <c r="P82" s="1493">
        <f t="shared" si="39"/>
        <v>-75000.0</v>
      </c>
      <c r="Q82" s="1494">
        <f t="shared" si="40"/>
        <v>0.0</v>
      </c>
      <c r="R82" s="1494">
        <f t="shared" si="41"/>
        <v>0.0</v>
      </c>
      <c r="S82" s="1494">
        <f t="shared" si="42"/>
        <v>0.0</v>
      </c>
      <c r="T82" s="1493" t="str">
        <f t="shared" si="29"/>
        <v/>
      </c>
      <c r="U82" s="1494" t="str">
        <f t="shared" si="43"/>
        <v/>
      </c>
      <c r="V82" s="1495" t="str">
        <f t="shared" si="44"/>
        <v/>
      </c>
      <c r="W82" s="1495" t="str">
        <f t="shared" si="45"/>
        <v/>
      </c>
      <c r="X82" s="1494">
        <f t="shared" si="46"/>
        <v>0.0</v>
      </c>
      <c r="Y82" s="1494">
        <f t="shared" si="47"/>
        <v>0.0</v>
      </c>
      <c r="Z82" s="1494">
        <f t="shared" si="48"/>
        <v>0.0</v>
      </c>
      <c r="AA82" s="1494">
        <f t="shared" si="49"/>
        <v>0.0</v>
      </c>
      <c r="AB82" s="1496">
        <f t="shared" si="50"/>
        <v>0.0</v>
      </c>
      <c r="AC82" s="1497" t="str">
        <f t="shared" si="30"/>
        <v/>
      </c>
      <c r="AD82" s="1494" t="str">
        <f t="shared" si="31"/>
        <v/>
      </c>
      <c r="AE82" s="1495" t="str">
        <f t="shared" si="32"/>
        <v/>
      </c>
      <c r="AF82" s="1495" t="str">
        <f t="shared" si="33"/>
        <v/>
      </c>
      <c r="AG82" s="1508"/>
      <c r="AH82" s="1508"/>
      <c r="AI82" s="1496">
        <f t="shared" si="51"/>
        <v>0.0</v>
      </c>
      <c r="AJ82" s="1496">
        <f>IF(OR(W82=0,AF82=0),0,IF(AN82="OLD TAX REGIME",AS82,AY82))</f>
        <v>0.0</v>
      </c>
      <c r="AK82" s="1496">
        <f>IF(OR(W82=0,AF82=0),0,IF(AN82="OLD TAX REGIME",AT82,AZ82))</f>
        <v>0.0</v>
      </c>
      <c r="AL82" s="1496" t="e">
        <f>IF(OR(W82=0,AF82=0),0,IF(AN82="OLD TAX REGIME",AU82,BA82))</f>
        <v>#VALUE!</v>
      </c>
      <c r="AM82" s="1497" t="e">
        <f t="shared" si="52"/>
        <v>#VALUE!</v>
      </c>
      <c r="AN82" s="1499" t="str">
        <f t="shared" si="34"/>
        <v/>
      </c>
      <c r="AO82" s="1500">
        <f t="shared" si="35"/>
        <v>0.0</v>
      </c>
      <c r="AP82" s="1509">
        <f t="shared" si="36"/>
        <v>0.0</v>
      </c>
      <c r="AQ82" s="1502">
        <f t="shared" si="53"/>
        <v>0.0</v>
      </c>
      <c r="AR82" s="1419"/>
      <c r="AS82" s="1501">
        <f>IF($AG$7="INCOME TAX DEDUCT FROM SALARY TILL JAN  2025",0,IF(W82&lt;=12500,0,IF(AI82&gt;W82,0,ROUNDUP((W82-AI82)/3,-3))))</f>
        <v>0.0</v>
      </c>
      <c r="AT82" s="1501">
        <f>IF($AG$7="INCOME TAX DEDUCT FROM SALARY TILL JAN  2025",0,IF(W82&lt;=12500,0,IF(AI82&gt;V82,0,ROUNDUP((W82-AI82)/3,-3))))</f>
        <v>0.0</v>
      </c>
      <c r="AU82" s="1501" t="e">
        <f>IF($AG$7="INCOME TAX DEDUCT FROM SALARY TILL JAN  2025",ROUNDUP((V82-AI82),-3),IF(V82&lt;=12500,0,IF(AI82&gt;V82,0,ROUNDUP((V82-AI82)/3,-3))))</f>
        <v>#VALUE!</v>
      </c>
      <c r="AV82" s="1503" t="e">
        <f t="shared" si="54"/>
        <v>#VALUE!</v>
      </c>
      <c r="AW82" s="1503" t="e">
        <f>AV82+AI82</f>
        <v>#VALUE!</v>
      </c>
      <c r="AX82" s="1501" t="e">
        <f>AW82-W82</f>
        <v>#VALUE!</v>
      </c>
      <c r="AY82" s="1501">
        <f>IF($AG$7="INCOME TAX DEDUCT FROM SALARY TILL JAN  2025",0,IF(AF82&lt;=12500,0,IF(AI82&gt;AF82,0,ROUNDUP((AF82-AI82)/3,-3))))</f>
        <v>0.0</v>
      </c>
      <c r="AZ82" s="1501">
        <f>IF($AG$7="INCOME TAX DEDUCT FROM SALARY TILL JAN  2025",0,IF(AF82&lt;=12500,0,IF(AI82&gt;AF82,0,ROUNDUP((AF82-AI82)/3,-3))))</f>
        <v>0.0</v>
      </c>
      <c r="BA82" s="1501" t="e">
        <f>IF($AG$7="INCOME TAX DEDUCT FROM SALARY TILL JAN  2025",ROUNDUP((AF82-AI82),-3),IF(AF82&lt;=12500,0,IF(AI82&gt;AF82,0,ROUNDUP((AF82-AI82)/3,-3))))</f>
        <v>#VALUE!</v>
      </c>
      <c r="BB82" s="1503" t="e">
        <f t="shared" si="55"/>
        <v>#VALUE!</v>
      </c>
      <c r="BC82" s="1503" t="e">
        <f>BB82+AI82</f>
        <v>#VALUE!</v>
      </c>
      <c r="BD82" s="1501" t="e">
        <f>BC82-AF82</f>
        <v>#VALUE!</v>
      </c>
      <c r="BE82" s="1504"/>
      <c r="BF82" s="1504"/>
      <c r="BG82" s="1504"/>
    </row>
    <row r="83" spans="8:8" ht="13.5" customHeight="1">
      <c r="B83" s="1488">
        <f t="shared" si="37"/>
        <v>0.0</v>
      </c>
      <c r="C83" s="1488">
        <f t="shared" si="28"/>
        <v>0.0</v>
      </c>
      <c r="D83" s="1489"/>
      <c r="E83" s="1505"/>
      <c r="F83" s="1506"/>
      <c r="G83" s="1506"/>
      <c r="H83" s="1507"/>
      <c r="I83" s="1492"/>
      <c r="J83" s="1507"/>
      <c r="K83" s="1507"/>
      <c r="L83" s="1507"/>
      <c r="M83" s="1507"/>
      <c r="N83" s="1492">
        <v>0.0</v>
      </c>
      <c r="O83" s="1493">
        <f t="shared" si="38"/>
        <v>-50000.0</v>
      </c>
      <c r="P83" s="1493">
        <f t="shared" si="39"/>
        <v>-75000.0</v>
      </c>
      <c r="Q83" s="1494">
        <f t="shared" si="40"/>
        <v>0.0</v>
      </c>
      <c r="R83" s="1494">
        <f t="shared" si="41"/>
        <v>0.0</v>
      </c>
      <c r="S83" s="1494">
        <f t="shared" si="42"/>
        <v>0.0</v>
      </c>
      <c r="T83" s="1493" t="str">
        <f t="shared" si="29"/>
        <v/>
      </c>
      <c r="U83" s="1494" t="str">
        <f t="shared" si="43"/>
        <v/>
      </c>
      <c r="V83" s="1495" t="str">
        <f t="shared" si="44"/>
        <v/>
      </c>
      <c r="W83" s="1495" t="str">
        <f t="shared" si="45"/>
        <v/>
      </c>
      <c r="X83" s="1494">
        <f t="shared" si="46"/>
        <v>0.0</v>
      </c>
      <c r="Y83" s="1494">
        <f t="shared" si="47"/>
        <v>0.0</v>
      </c>
      <c r="Z83" s="1494">
        <f t="shared" si="48"/>
        <v>0.0</v>
      </c>
      <c r="AA83" s="1494">
        <f t="shared" si="49"/>
        <v>0.0</v>
      </c>
      <c r="AB83" s="1496">
        <f t="shared" si="50"/>
        <v>0.0</v>
      </c>
      <c r="AC83" s="1497" t="str">
        <f t="shared" si="30"/>
        <v/>
      </c>
      <c r="AD83" s="1494" t="str">
        <f t="shared" si="31"/>
        <v/>
      </c>
      <c r="AE83" s="1495" t="str">
        <f t="shared" si="32"/>
        <v/>
      </c>
      <c r="AF83" s="1495" t="str">
        <f t="shared" si="33"/>
        <v/>
      </c>
      <c r="AG83" s="1508"/>
      <c r="AH83" s="1508"/>
      <c r="AI83" s="1496">
        <f t="shared" si="51"/>
        <v>0.0</v>
      </c>
      <c r="AJ83" s="1496">
        <f>IF(OR(W83=0,AF83=0),0,IF(AN83="OLD TAX REGIME",AS83,AY83))</f>
        <v>0.0</v>
      </c>
      <c r="AK83" s="1496">
        <f>IF(OR(W83=0,AF83=0),0,IF(AN83="OLD TAX REGIME",AT83,AZ83))</f>
        <v>0.0</v>
      </c>
      <c r="AL83" s="1496" t="e">
        <f>IF(OR(W83=0,AF83=0),0,IF(AN83="OLD TAX REGIME",AU83,BA83))</f>
        <v>#VALUE!</v>
      </c>
      <c r="AM83" s="1497" t="e">
        <f t="shared" si="52"/>
        <v>#VALUE!</v>
      </c>
      <c r="AN83" s="1499" t="str">
        <f t="shared" si="34"/>
        <v/>
      </c>
      <c r="AO83" s="1500">
        <f t="shared" si="35"/>
        <v>0.0</v>
      </c>
      <c r="AP83" s="1509">
        <f t="shared" si="36"/>
        <v>0.0</v>
      </c>
      <c r="AQ83" s="1502">
        <f t="shared" si="53"/>
        <v>0.0</v>
      </c>
      <c r="AR83" s="1419"/>
      <c r="AS83" s="1501">
        <f>IF($AG$7="INCOME TAX DEDUCT FROM SALARY TILL JAN  2025",0,IF(W83&lt;=12500,0,IF(AI83&gt;W83,0,ROUNDUP((W83-AI83)/3,-3))))</f>
        <v>0.0</v>
      </c>
      <c r="AT83" s="1501">
        <f>IF($AG$7="INCOME TAX DEDUCT FROM SALARY TILL JAN  2025",0,IF(W83&lt;=12500,0,IF(AI83&gt;V83,0,ROUNDUP((W83-AI83)/3,-3))))</f>
        <v>0.0</v>
      </c>
      <c r="AU83" s="1501" t="e">
        <f>IF($AG$7="INCOME TAX DEDUCT FROM SALARY TILL JAN  2025",ROUNDUP((V83-AI83),-3),IF(V83&lt;=12500,0,IF(AI83&gt;V83,0,ROUNDUP((V83-AI83)/3,-3))))</f>
        <v>#VALUE!</v>
      </c>
      <c r="AV83" s="1503" t="e">
        <f t="shared" si="54"/>
        <v>#VALUE!</v>
      </c>
      <c r="AW83" s="1503" t="e">
        <f>AV83+AI83</f>
        <v>#VALUE!</v>
      </c>
      <c r="AX83" s="1501" t="e">
        <f>AW83-W83</f>
        <v>#VALUE!</v>
      </c>
      <c r="AY83" s="1501">
        <f>IF($AG$7="INCOME TAX DEDUCT FROM SALARY TILL JAN  2025",0,IF(AF83&lt;=12500,0,IF(AI83&gt;AF83,0,ROUNDUP((AF83-AI83)/3,-3))))</f>
        <v>0.0</v>
      </c>
      <c r="AZ83" s="1501">
        <f>IF($AG$7="INCOME TAX DEDUCT FROM SALARY TILL JAN  2025",0,IF(AF83&lt;=12500,0,IF(AI83&gt;AF83,0,ROUNDUP((AF83-AI83)/3,-3))))</f>
        <v>0.0</v>
      </c>
      <c r="BA83" s="1501" t="e">
        <f>IF($AG$7="INCOME TAX DEDUCT FROM SALARY TILL JAN  2025",ROUNDUP((AF83-AI83),-3),IF(AF83&lt;=12500,0,IF(AI83&gt;AF83,0,ROUNDUP((AF83-AI83)/3,-3))))</f>
        <v>#VALUE!</v>
      </c>
      <c r="BB83" s="1503" t="e">
        <f t="shared" si="55"/>
        <v>#VALUE!</v>
      </c>
      <c r="BC83" s="1503" t="e">
        <f>BB83+AI83</f>
        <v>#VALUE!</v>
      </c>
      <c r="BD83" s="1501" t="e">
        <f>BC83-AF83</f>
        <v>#VALUE!</v>
      </c>
      <c r="BE83" s="1504"/>
      <c r="BF83" s="1504"/>
      <c r="BG83" s="1504"/>
    </row>
    <row r="84" spans="8:8" ht="13.5" customHeight="1">
      <c r="B84" s="1488">
        <f t="shared" si="37"/>
        <v>0.0</v>
      </c>
      <c r="C84" s="1488">
        <f t="shared" si="28"/>
        <v>0.0</v>
      </c>
      <c r="D84" s="1489"/>
      <c r="E84" s="1505"/>
      <c r="F84" s="1506"/>
      <c r="G84" s="1506"/>
      <c r="H84" s="1507"/>
      <c r="I84" s="1492"/>
      <c r="J84" s="1507"/>
      <c r="K84" s="1507"/>
      <c r="L84" s="1507"/>
      <c r="M84" s="1507"/>
      <c r="N84" s="1492">
        <v>0.0</v>
      </c>
      <c r="O84" s="1493">
        <f t="shared" si="38"/>
        <v>-50000.0</v>
      </c>
      <c r="P84" s="1493">
        <f t="shared" si="39"/>
        <v>-75000.0</v>
      </c>
      <c r="Q84" s="1494">
        <f t="shared" si="40"/>
        <v>0.0</v>
      </c>
      <c r="R84" s="1494">
        <f t="shared" si="41"/>
        <v>0.0</v>
      </c>
      <c r="S84" s="1494">
        <f t="shared" si="42"/>
        <v>0.0</v>
      </c>
      <c r="T84" s="1493" t="str">
        <f t="shared" si="29"/>
        <v/>
      </c>
      <c r="U84" s="1494" t="str">
        <f t="shared" si="43"/>
        <v/>
      </c>
      <c r="V84" s="1495" t="str">
        <f t="shared" si="44"/>
        <v/>
      </c>
      <c r="W84" s="1495" t="str">
        <f t="shared" si="45"/>
        <v/>
      </c>
      <c r="X84" s="1494">
        <f t="shared" si="46"/>
        <v>0.0</v>
      </c>
      <c r="Y84" s="1494">
        <f t="shared" si="47"/>
        <v>0.0</v>
      </c>
      <c r="Z84" s="1494">
        <f t="shared" si="48"/>
        <v>0.0</v>
      </c>
      <c r="AA84" s="1494">
        <f t="shared" si="49"/>
        <v>0.0</v>
      </c>
      <c r="AB84" s="1496">
        <f t="shared" si="50"/>
        <v>0.0</v>
      </c>
      <c r="AC84" s="1497" t="str">
        <f t="shared" si="30"/>
        <v/>
      </c>
      <c r="AD84" s="1494" t="str">
        <f t="shared" si="31"/>
        <v/>
      </c>
      <c r="AE84" s="1495" t="str">
        <f t="shared" si="32"/>
        <v/>
      </c>
      <c r="AF84" s="1495" t="str">
        <f t="shared" si="33"/>
        <v/>
      </c>
      <c r="AG84" s="1508"/>
      <c r="AH84" s="1508"/>
      <c r="AI84" s="1496">
        <f t="shared" si="51"/>
        <v>0.0</v>
      </c>
      <c r="AJ84" s="1496">
        <f>IF(OR(W84=0,AF84=0),0,IF(AN84="OLD TAX REGIME",AS84,AY84))</f>
        <v>0.0</v>
      </c>
      <c r="AK84" s="1496">
        <f>IF(OR(W84=0,AF84=0),0,IF(AN84="OLD TAX REGIME",AT84,AZ84))</f>
        <v>0.0</v>
      </c>
      <c r="AL84" s="1496" t="e">
        <f>IF(OR(W84=0,AF84=0),0,IF(AN84="OLD TAX REGIME",AU84,BA84))</f>
        <v>#VALUE!</v>
      </c>
      <c r="AM84" s="1497" t="e">
        <f t="shared" si="52"/>
        <v>#VALUE!</v>
      </c>
      <c r="AN84" s="1499" t="str">
        <f t="shared" si="34"/>
        <v/>
      </c>
      <c r="AO84" s="1500">
        <f t="shared" si="35"/>
        <v>0.0</v>
      </c>
      <c r="AP84" s="1509">
        <f t="shared" si="36"/>
        <v>0.0</v>
      </c>
      <c r="AQ84" s="1502">
        <f t="shared" si="53"/>
        <v>0.0</v>
      </c>
      <c r="AR84" s="1419"/>
      <c r="AS84" s="1501">
        <f>IF($AG$7="INCOME TAX DEDUCT FROM SALARY TILL JAN  2025",0,IF(W84&lt;=12500,0,IF(AI84&gt;W84,0,ROUNDUP((W84-AI84)/3,-3))))</f>
        <v>0.0</v>
      </c>
      <c r="AT84" s="1501">
        <f>IF($AG$7="INCOME TAX DEDUCT FROM SALARY TILL JAN  2025",0,IF(W84&lt;=12500,0,IF(AI84&gt;V84,0,ROUNDUP((W84-AI84)/3,-3))))</f>
        <v>0.0</v>
      </c>
      <c r="AU84" s="1501" t="e">
        <f>IF($AG$7="INCOME TAX DEDUCT FROM SALARY TILL JAN  2025",ROUNDUP((V84-AI84),-3),IF(V84&lt;=12500,0,IF(AI84&gt;V84,0,ROUNDUP((V84-AI84)/3,-3))))</f>
        <v>#VALUE!</v>
      </c>
      <c r="AV84" s="1503" t="e">
        <f t="shared" si="54"/>
        <v>#VALUE!</v>
      </c>
      <c r="AW84" s="1503" t="e">
        <f>AV84+AI84</f>
        <v>#VALUE!</v>
      </c>
      <c r="AX84" s="1501" t="e">
        <f>AW84-W84</f>
        <v>#VALUE!</v>
      </c>
      <c r="AY84" s="1501">
        <f>IF($AG$7="INCOME TAX DEDUCT FROM SALARY TILL JAN  2025",0,IF(AF84&lt;=12500,0,IF(AI84&gt;AF84,0,ROUNDUP((AF84-AI84)/3,-3))))</f>
        <v>0.0</v>
      </c>
      <c r="AZ84" s="1501">
        <f>IF($AG$7="INCOME TAX DEDUCT FROM SALARY TILL JAN  2025",0,IF(AF84&lt;=12500,0,IF(AI84&gt;AF84,0,ROUNDUP((AF84-AI84)/3,-3))))</f>
        <v>0.0</v>
      </c>
      <c r="BA84" s="1501" t="e">
        <f>IF($AG$7="INCOME TAX DEDUCT FROM SALARY TILL JAN  2025",ROUNDUP((AF84-AI84),-3),IF(AF84&lt;=12500,0,IF(AI84&gt;AF84,0,ROUNDUP((AF84-AI84)/3,-3))))</f>
        <v>#VALUE!</v>
      </c>
      <c r="BB84" s="1503" t="e">
        <f t="shared" si="55"/>
        <v>#VALUE!</v>
      </c>
      <c r="BC84" s="1503" t="e">
        <f>BB84+AI84</f>
        <v>#VALUE!</v>
      </c>
      <c r="BD84" s="1501" t="e">
        <f>BC84-AF84</f>
        <v>#VALUE!</v>
      </c>
      <c r="BE84" s="1504"/>
      <c r="BF84" s="1504"/>
      <c r="BG84" s="1504"/>
    </row>
    <row r="85" spans="8:8" ht="13.5" customHeight="1">
      <c r="B85" s="1488">
        <f t="shared" si="37"/>
        <v>0.0</v>
      </c>
      <c r="C85" s="1488">
        <f t="shared" si="28"/>
        <v>0.0</v>
      </c>
      <c r="D85" s="1489"/>
      <c r="E85" s="1505"/>
      <c r="F85" s="1506"/>
      <c r="G85" s="1506"/>
      <c r="H85" s="1507"/>
      <c r="I85" s="1492"/>
      <c r="J85" s="1507"/>
      <c r="K85" s="1507"/>
      <c r="L85" s="1507"/>
      <c r="M85" s="1507"/>
      <c r="N85" s="1492">
        <v>0.0</v>
      </c>
      <c r="O85" s="1493">
        <f t="shared" si="38"/>
        <v>-50000.0</v>
      </c>
      <c r="P85" s="1493">
        <f t="shared" si="39"/>
        <v>-75000.0</v>
      </c>
      <c r="Q85" s="1494">
        <f t="shared" si="40"/>
        <v>0.0</v>
      </c>
      <c r="R85" s="1494">
        <f t="shared" si="41"/>
        <v>0.0</v>
      </c>
      <c r="S85" s="1494">
        <f t="shared" si="42"/>
        <v>0.0</v>
      </c>
      <c r="T85" s="1493" t="str">
        <f t="shared" si="29"/>
        <v/>
      </c>
      <c r="U85" s="1494" t="str">
        <f t="shared" si="43"/>
        <v/>
      </c>
      <c r="V85" s="1495" t="str">
        <f t="shared" si="44"/>
        <v/>
      </c>
      <c r="W85" s="1495" t="str">
        <f t="shared" si="45"/>
        <v/>
      </c>
      <c r="X85" s="1494">
        <f t="shared" si="46"/>
        <v>0.0</v>
      </c>
      <c r="Y85" s="1494">
        <f t="shared" si="47"/>
        <v>0.0</v>
      </c>
      <c r="Z85" s="1494">
        <f t="shared" si="48"/>
        <v>0.0</v>
      </c>
      <c r="AA85" s="1494">
        <f t="shared" si="49"/>
        <v>0.0</v>
      </c>
      <c r="AB85" s="1496">
        <f t="shared" si="50"/>
        <v>0.0</v>
      </c>
      <c r="AC85" s="1497" t="str">
        <f t="shared" si="30"/>
        <v/>
      </c>
      <c r="AD85" s="1494" t="str">
        <f t="shared" si="31"/>
        <v/>
      </c>
      <c r="AE85" s="1495" t="str">
        <f t="shared" si="32"/>
        <v/>
      </c>
      <c r="AF85" s="1495" t="str">
        <f t="shared" si="33"/>
        <v/>
      </c>
      <c r="AG85" s="1508"/>
      <c r="AH85" s="1508"/>
      <c r="AI85" s="1496">
        <f t="shared" si="51"/>
        <v>0.0</v>
      </c>
      <c r="AJ85" s="1496">
        <f>IF(OR(W85=0,AF85=0),0,IF(AN85="OLD TAX REGIME",AS85,AY85))</f>
        <v>0.0</v>
      </c>
      <c r="AK85" s="1496">
        <f>IF(OR(W85=0,AF85=0),0,IF(AN85="OLD TAX REGIME",AT85,AZ85))</f>
        <v>0.0</v>
      </c>
      <c r="AL85" s="1496" t="e">
        <f>IF(OR(W85=0,AF85=0),0,IF(AN85="OLD TAX REGIME",AU85,BA85))</f>
        <v>#VALUE!</v>
      </c>
      <c r="AM85" s="1497" t="e">
        <f t="shared" si="52"/>
        <v>#VALUE!</v>
      </c>
      <c r="AN85" s="1499" t="str">
        <f t="shared" si="34"/>
        <v/>
      </c>
      <c r="AO85" s="1500">
        <f t="shared" si="35"/>
        <v>0.0</v>
      </c>
      <c r="AP85" s="1509">
        <f t="shared" si="36"/>
        <v>0.0</v>
      </c>
      <c r="AQ85" s="1502">
        <f t="shared" si="53"/>
        <v>0.0</v>
      </c>
      <c r="AR85" s="1419"/>
      <c r="AS85" s="1501">
        <f>IF($AG$7="INCOME TAX DEDUCT FROM SALARY TILL JAN  2025",0,IF(W85&lt;=12500,0,IF(AI85&gt;W85,0,ROUNDUP((W85-AI85)/3,-3))))</f>
        <v>0.0</v>
      </c>
      <c r="AT85" s="1501">
        <f>IF($AG$7="INCOME TAX DEDUCT FROM SALARY TILL JAN  2025",0,IF(W85&lt;=12500,0,IF(AI85&gt;V85,0,ROUNDUP((W85-AI85)/3,-3))))</f>
        <v>0.0</v>
      </c>
      <c r="AU85" s="1501" t="e">
        <f>IF($AG$7="INCOME TAX DEDUCT FROM SALARY TILL JAN  2025",ROUNDUP((V85-AI85),-3),IF(V85&lt;=12500,0,IF(AI85&gt;V85,0,ROUNDUP((V85-AI85)/3,-3))))</f>
        <v>#VALUE!</v>
      </c>
      <c r="AV85" s="1503" t="e">
        <f t="shared" si="54"/>
        <v>#VALUE!</v>
      </c>
      <c r="AW85" s="1503" t="e">
        <f>AV85+AI85</f>
        <v>#VALUE!</v>
      </c>
      <c r="AX85" s="1501" t="e">
        <f>AW85-W85</f>
        <v>#VALUE!</v>
      </c>
      <c r="AY85" s="1501">
        <f>IF($AG$7="INCOME TAX DEDUCT FROM SALARY TILL JAN  2025",0,IF(AF85&lt;=12500,0,IF(AI85&gt;AF85,0,ROUNDUP((AF85-AI85)/3,-3))))</f>
        <v>0.0</v>
      </c>
      <c r="AZ85" s="1501">
        <f>IF($AG$7="INCOME TAX DEDUCT FROM SALARY TILL JAN  2025",0,IF(AF85&lt;=12500,0,IF(AI85&gt;AF85,0,ROUNDUP((AF85-AI85)/3,-3))))</f>
        <v>0.0</v>
      </c>
      <c r="BA85" s="1501" t="e">
        <f>IF($AG$7="INCOME TAX DEDUCT FROM SALARY TILL JAN  2025",ROUNDUP((AF85-AI85),-3),IF(AF85&lt;=12500,0,IF(AI85&gt;AF85,0,ROUNDUP((AF85-AI85)/3,-3))))</f>
        <v>#VALUE!</v>
      </c>
      <c r="BB85" s="1503" t="e">
        <f t="shared" si="55"/>
        <v>#VALUE!</v>
      </c>
      <c r="BC85" s="1503" t="e">
        <f>BB85+AI85</f>
        <v>#VALUE!</v>
      </c>
      <c r="BD85" s="1501" t="e">
        <f>BC85-AF85</f>
        <v>#VALUE!</v>
      </c>
      <c r="BE85" s="1504"/>
      <c r="BF85" s="1504"/>
      <c r="BG85" s="1504"/>
    </row>
    <row r="86" spans="8:8" ht="13.5" customHeight="1">
      <c r="B86" s="1488">
        <f t="shared" si="37"/>
        <v>0.0</v>
      </c>
      <c r="C86" s="1488">
        <f t="shared" si="28"/>
        <v>0.0</v>
      </c>
      <c r="D86" s="1489"/>
      <c r="E86" s="1505"/>
      <c r="F86" s="1506"/>
      <c r="G86" s="1506"/>
      <c r="H86" s="1507"/>
      <c r="I86" s="1492"/>
      <c r="J86" s="1507"/>
      <c r="K86" s="1507"/>
      <c r="L86" s="1507"/>
      <c r="M86" s="1507"/>
      <c r="N86" s="1492">
        <v>0.0</v>
      </c>
      <c r="O86" s="1493">
        <f t="shared" si="38"/>
        <v>-50000.0</v>
      </c>
      <c r="P86" s="1493">
        <f t="shared" si="39"/>
        <v>-75000.0</v>
      </c>
      <c r="Q86" s="1494">
        <f t="shared" si="40"/>
        <v>0.0</v>
      </c>
      <c r="R86" s="1494">
        <f t="shared" si="41"/>
        <v>0.0</v>
      </c>
      <c r="S86" s="1494">
        <f t="shared" si="42"/>
        <v>0.0</v>
      </c>
      <c r="T86" s="1493" t="str">
        <f t="shared" si="29"/>
        <v/>
      </c>
      <c r="U86" s="1494" t="str">
        <f t="shared" si="43"/>
        <v/>
      </c>
      <c r="V86" s="1495" t="str">
        <f t="shared" si="44"/>
        <v/>
      </c>
      <c r="W86" s="1495" t="str">
        <f t="shared" si="45"/>
        <v/>
      </c>
      <c r="X86" s="1494">
        <f t="shared" si="46"/>
        <v>0.0</v>
      </c>
      <c r="Y86" s="1494">
        <f t="shared" si="47"/>
        <v>0.0</v>
      </c>
      <c r="Z86" s="1494">
        <f t="shared" si="48"/>
        <v>0.0</v>
      </c>
      <c r="AA86" s="1494">
        <f t="shared" si="49"/>
        <v>0.0</v>
      </c>
      <c r="AB86" s="1496">
        <f t="shared" si="50"/>
        <v>0.0</v>
      </c>
      <c r="AC86" s="1497" t="str">
        <f t="shared" si="30"/>
        <v/>
      </c>
      <c r="AD86" s="1494" t="str">
        <f t="shared" si="31"/>
        <v/>
      </c>
      <c r="AE86" s="1495" t="str">
        <f t="shared" si="32"/>
        <v/>
      </c>
      <c r="AF86" s="1495" t="str">
        <f t="shared" si="33"/>
        <v/>
      </c>
      <c r="AG86" s="1508"/>
      <c r="AH86" s="1508"/>
      <c r="AI86" s="1496">
        <f t="shared" si="51"/>
        <v>0.0</v>
      </c>
      <c r="AJ86" s="1496">
        <f>IF(OR(W86=0,AF86=0),0,IF(AN86="OLD TAX REGIME",AS86,AY86))</f>
        <v>0.0</v>
      </c>
      <c r="AK86" s="1496">
        <f>IF(OR(W86=0,AF86=0),0,IF(AN86="OLD TAX REGIME",AT86,AZ86))</f>
        <v>0.0</v>
      </c>
      <c r="AL86" s="1496" t="e">
        <f>IF(OR(W86=0,AF86=0),0,IF(AN86="OLD TAX REGIME",AU86,BA86))</f>
        <v>#VALUE!</v>
      </c>
      <c r="AM86" s="1497" t="e">
        <f t="shared" si="52"/>
        <v>#VALUE!</v>
      </c>
      <c r="AN86" s="1499" t="str">
        <f t="shared" si="34"/>
        <v/>
      </c>
      <c r="AO86" s="1500">
        <f t="shared" si="35"/>
        <v>0.0</v>
      </c>
      <c r="AP86" s="1509">
        <f t="shared" si="36"/>
        <v>0.0</v>
      </c>
      <c r="AQ86" s="1502">
        <f t="shared" si="53"/>
        <v>0.0</v>
      </c>
      <c r="AR86" s="1419"/>
      <c r="AS86" s="1501">
        <f>IF($AG$7="INCOME TAX DEDUCT FROM SALARY TILL JAN  2025",0,IF(W86&lt;=12500,0,IF(AI86&gt;W86,0,ROUNDUP((W86-AI86)/3,-3))))</f>
        <v>0.0</v>
      </c>
      <c r="AT86" s="1501">
        <f>IF($AG$7="INCOME TAX DEDUCT FROM SALARY TILL JAN  2025",0,IF(W86&lt;=12500,0,IF(AI86&gt;V86,0,ROUNDUP((W86-AI86)/3,-3))))</f>
        <v>0.0</v>
      </c>
      <c r="AU86" s="1501" t="e">
        <f>IF($AG$7="INCOME TAX DEDUCT FROM SALARY TILL JAN  2025",ROUNDUP((V86-AI86),-3),IF(V86&lt;=12500,0,IF(AI86&gt;V86,0,ROUNDUP((V86-AI86)/3,-3))))</f>
        <v>#VALUE!</v>
      </c>
      <c r="AV86" s="1503" t="e">
        <f t="shared" si="54"/>
        <v>#VALUE!</v>
      </c>
      <c r="AW86" s="1503" t="e">
        <f>AV86+AI86</f>
        <v>#VALUE!</v>
      </c>
      <c r="AX86" s="1501" t="e">
        <f>AW86-W86</f>
        <v>#VALUE!</v>
      </c>
      <c r="AY86" s="1501">
        <f>IF($AG$7="INCOME TAX DEDUCT FROM SALARY TILL JAN  2025",0,IF(AF86&lt;=12500,0,IF(AI86&gt;AF86,0,ROUNDUP((AF86-AI86)/3,-3))))</f>
        <v>0.0</v>
      </c>
      <c r="AZ86" s="1501">
        <f>IF($AG$7="INCOME TAX DEDUCT FROM SALARY TILL JAN  2025",0,IF(AF86&lt;=12500,0,IF(AI86&gt;AF86,0,ROUNDUP((AF86-AI86)/3,-3))))</f>
        <v>0.0</v>
      </c>
      <c r="BA86" s="1501" t="e">
        <f>IF($AG$7="INCOME TAX DEDUCT FROM SALARY TILL JAN  2025",ROUNDUP((AF86-AI86),-3),IF(AF86&lt;=12500,0,IF(AI86&gt;AF86,0,ROUNDUP((AF86-AI86)/3,-3))))</f>
        <v>#VALUE!</v>
      </c>
      <c r="BB86" s="1503" t="e">
        <f t="shared" si="55"/>
        <v>#VALUE!</v>
      </c>
      <c r="BC86" s="1503" t="e">
        <f>BB86+AI86</f>
        <v>#VALUE!</v>
      </c>
      <c r="BD86" s="1501" t="e">
        <f>BC86-AF86</f>
        <v>#VALUE!</v>
      </c>
      <c r="BE86" s="1504"/>
      <c r="BF86" s="1504"/>
      <c r="BG86" s="1504"/>
    </row>
    <row r="87" spans="8:8" ht="13.5" customHeight="1">
      <c r="B87" s="1488">
        <f t="shared" si="37"/>
        <v>0.0</v>
      </c>
      <c r="C87" s="1488">
        <f t="shared" si="28"/>
        <v>0.0</v>
      </c>
      <c r="D87" s="1489"/>
      <c r="E87" s="1505"/>
      <c r="F87" s="1506"/>
      <c r="G87" s="1506"/>
      <c r="H87" s="1507"/>
      <c r="I87" s="1492"/>
      <c r="J87" s="1507"/>
      <c r="K87" s="1507"/>
      <c r="L87" s="1507"/>
      <c r="M87" s="1507"/>
      <c r="N87" s="1492">
        <v>0.0</v>
      </c>
      <c r="O87" s="1493">
        <f t="shared" si="38"/>
        <v>-50000.0</v>
      </c>
      <c r="P87" s="1493">
        <f t="shared" si="39"/>
        <v>-75000.0</v>
      </c>
      <c r="Q87" s="1494">
        <f t="shared" si="40"/>
        <v>0.0</v>
      </c>
      <c r="R87" s="1494">
        <f t="shared" si="41"/>
        <v>0.0</v>
      </c>
      <c r="S87" s="1494">
        <f t="shared" si="42"/>
        <v>0.0</v>
      </c>
      <c r="T87" s="1493" t="str">
        <f t="shared" si="29"/>
        <v/>
      </c>
      <c r="U87" s="1494" t="str">
        <f t="shared" si="43"/>
        <v/>
      </c>
      <c r="V87" s="1495" t="str">
        <f t="shared" si="44"/>
        <v/>
      </c>
      <c r="W87" s="1495" t="str">
        <f t="shared" si="45"/>
        <v/>
      </c>
      <c r="X87" s="1494">
        <f t="shared" si="46"/>
        <v>0.0</v>
      </c>
      <c r="Y87" s="1494">
        <f t="shared" si="47"/>
        <v>0.0</v>
      </c>
      <c r="Z87" s="1494">
        <f t="shared" si="48"/>
        <v>0.0</v>
      </c>
      <c r="AA87" s="1494">
        <f t="shared" si="49"/>
        <v>0.0</v>
      </c>
      <c r="AB87" s="1496">
        <f t="shared" si="50"/>
        <v>0.0</v>
      </c>
      <c r="AC87" s="1497" t="str">
        <f t="shared" si="30"/>
        <v/>
      </c>
      <c r="AD87" s="1494" t="str">
        <f t="shared" si="31"/>
        <v/>
      </c>
      <c r="AE87" s="1495" t="str">
        <f t="shared" si="32"/>
        <v/>
      </c>
      <c r="AF87" s="1495" t="str">
        <f t="shared" si="33"/>
        <v/>
      </c>
      <c r="AG87" s="1508"/>
      <c r="AH87" s="1508"/>
      <c r="AI87" s="1496">
        <f t="shared" si="51"/>
        <v>0.0</v>
      </c>
      <c r="AJ87" s="1496">
        <f>IF(OR(W87=0,AF87=0),0,IF(AN87="OLD TAX REGIME",AS87,AY87))</f>
        <v>0.0</v>
      </c>
      <c r="AK87" s="1496">
        <f>IF(OR(W87=0,AF87=0),0,IF(AN87="OLD TAX REGIME",AT87,AZ87))</f>
        <v>0.0</v>
      </c>
      <c r="AL87" s="1496" t="e">
        <f>IF(OR(W87=0,AF87=0),0,IF(AN87="OLD TAX REGIME",AU87,BA87))</f>
        <v>#VALUE!</v>
      </c>
      <c r="AM87" s="1497" t="e">
        <f t="shared" si="52"/>
        <v>#VALUE!</v>
      </c>
      <c r="AN87" s="1499" t="str">
        <f t="shared" si="34"/>
        <v/>
      </c>
      <c r="AO87" s="1500">
        <f t="shared" si="35"/>
        <v>0.0</v>
      </c>
      <c r="AP87" s="1509">
        <f t="shared" si="36"/>
        <v>0.0</v>
      </c>
      <c r="AQ87" s="1502">
        <f t="shared" si="53"/>
        <v>0.0</v>
      </c>
      <c r="AR87" s="1419"/>
      <c r="AS87" s="1501">
        <f>IF($AG$7="INCOME TAX DEDUCT FROM SALARY TILL JAN  2025",0,IF(W87&lt;=12500,0,IF(AI87&gt;W87,0,ROUNDUP((W87-AI87)/3,-3))))</f>
        <v>0.0</v>
      </c>
      <c r="AT87" s="1501">
        <f>IF($AG$7="INCOME TAX DEDUCT FROM SALARY TILL JAN  2025",0,IF(W87&lt;=12500,0,IF(AI87&gt;V87,0,ROUNDUP((W87-AI87)/3,-3))))</f>
        <v>0.0</v>
      </c>
      <c r="AU87" s="1501" t="e">
        <f>IF($AG$7="INCOME TAX DEDUCT FROM SALARY TILL JAN  2025",ROUNDUP((V87-AI87),-3),IF(V87&lt;=12500,0,IF(AI87&gt;V87,0,ROUNDUP((V87-AI87)/3,-3))))</f>
        <v>#VALUE!</v>
      </c>
      <c r="AV87" s="1503" t="e">
        <f t="shared" si="54"/>
        <v>#VALUE!</v>
      </c>
      <c r="AW87" s="1503" t="e">
        <f>AV87+AI87</f>
        <v>#VALUE!</v>
      </c>
      <c r="AX87" s="1501" t="e">
        <f>AW87-W87</f>
        <v>#VALUE!</v>
      </c>
      <c r="AY87" s="1501">
        <f>IF($AG$7="INCOME TAX DEDUCT FROM SALARY TILL JAN  2025",0,IF(AF87&lt;=12500,0,IF(AI87&gt;AF87,0,ROUNDUP((AF87-AI87)/3,-3))))</f>
        <v>0.0</v>
      </c>
      <c r="AZ87" s="1501">
        <f>IF($AG$7="INCOME TAX DEDUCT FROM SALARY TILL JAN  2025",0,IF(AF87&lt;=12500,0,IF(AI87&gt;AF87,0,ROUNDUP((AF87-AI87)/3,-3))))</f>
        <v>0.0</v>
      </c>
      <c r="BA87" s="1501" t="e">
        <f>IF($AG$7="INCOME TAX DEDUCT FROM SALARY TILL JAN  2025",ROUNDUP((AF87-AI87),-3),IF(AF87&lt;=12500,0,IF(AI87&gt;AF87,0,ROUNDUP((AF87-AI87)/3,-3))))</f>
        <v>#VALUE!</v>
      </c>
      <c r="BB87" s="1503" t="e">
        <f t="shared" si="55"/>
        <v>#VALUE!</v>
      </c>
      <c r="BC87" s="1503" t="e">
        <f>BB87+AI87</f>
        <v>#VALUE!</v>
      </c>
      <c r="BD87" s="1501" t="e">
        <f>BC87-AF87</f>
        <v>#VALUE!</v>
      </c>
      <c r="BE87" s="1504"/>
      <c r="BF87" s="1504"/>
      <c r="BG87" s="1504"/>
    </row>
    <row r="88" spans="8:8" ht="13.5" customHeight="1">
      <c r="B88" s="1488">
        <f t="shared" si="37"/>
        <v>0.0</v>
      </c>
      <c r="C88" s="1488">
        <f t="shared" si="28"/>
        <v>0.0</v>
      </c>
      <c r="D88" s="1489"/>
      <c r="E88" s="1505"/>
      <c r="F88" s="1506"/>
      <c r="G88" s="1506"/>
      <c r="H88" s="1507"/>
      <c r="I88" s="1492"/>
      <c r="J88" s="1507"/>
      <c r="K88" s="1507"/>
      <c r="L88" s="1507"/>
      <c r="M88" s="1507"/>
      <c r="N88" s="1492">
        <v>0.0</v>
      </c>
      <c r="O88" s="1493">
        <f t="shared" si="38"/>
        <v>-50000.0</v>
      </c>
      <c r="P88" s="1493">
        <f t="shared" si="39"/>
        <v>-75000.0</v>
      </c>
      <c r="Q88" s="1494">
        <f t="shared" si="40"/>
        <v>0.0</v>
      </c>
      <c r="R88" s="1494">
        <f t="shared" si="41"/>
        <v>0.0</v>
      </c>
      <c r="S88" s="1494">
        <f t="shared" si="42"/>
        <v>0.0</v>
      </c>
      <c r="T88" s="1493" t="str">
        <f t="shared" si="29"/>
        <v/>
      </c>
      <c r="U88" s="1494" t="str">
        <f t="shared" si="43"/>
        <v/>
      </c>
      <c r="V88" s="1495" t="str">
        <f t="shared" si="44"/>
        <v/>
      </c>
      <c r="W88" s="1495" t="str">
        <f t="shared" si="45"/>
        <v/>
      </c>
      <c r="X88" s="1494">
        <f t="shared" si="46"/>
        <v>0.0</v>
      </c>
      <c r="Y88" s="1494">
        <f t="shared" si="47"/>
        <v>0.0</v>
      </c>
      <c r="Z88" s="1494">
        <f t="shared" si="48"/>
        <v>0.0</v>
      </c>
      <c r="AA88" s="1494">
        <f t="shared" si="49"/>
        <v>0.0</v>
      </c>
      <c r="AB88" s="1496">
        <f t="shared" si="50"/>
        <v>0.0</v>
      </c>
      <c r="AC88" s="1497" t="str">
        <f t="shared" si="30"/>
        <v/>
      </c>
      <c r="AD88" s="1494" t="str">
        <f t="shared" si="31"/>
        <v/>
      </c>
      <c r="AE88" s="1495" t="str">
        <f t="shared" si="32"/>
        <v/>
      </c>
      <c r="AF88" s="1495" t="str">
        <f t="shared" si="33"/>
        <v/>
      </c>
      <c r="AG88" s="1508"/>
      <c r="AH88" s="1508"/>
      <c r="AI88" s="1496">
        <f t="shared" si="51"/>
        <v>0.0</v>
      </c>
      <c r="AJ88" s="1496">
        <f>IF(OR(W88=0,AF88=0),0,IF(AN88="OLD TAX REGIME",AS88,AY88))</f>
        <v>0.0</v>
      </c>
      <c r="AK88" s="1496">
        <f>IF(OR(W88=0,AF88=0),0,IF(AN88="OLD TAX REGIME",AT88,AZ88))</f>
        <v>0.0</v>
      </c>
      <c r="AL88" s="1496" t="e">
        <f>IF(OR(W88=0,AF88=0),0,IF(AN88="OLD TAX REGIME",AU88,BA88))</f>
        <v>#VALUE!</v>
      </c>
      <c r="AM88" s="1497" t="e">
        <f t="shared" si="52"/>
        <v>#VALUE!</v>
      </c>
      <c r="AN88" s="1499" t="str">
        <f t="shared" si="34"/>
        <v/>
      </c>
      <c r="AO88" s="1500">
        <f t="shared" si="35"/>
        <v>0.0</v>
      </c>
      <c r="AP88" s="1509">
        <f t="shared" si="36"/>
        <v>0.0</v>
      </c>
      <c r="AQ88" s="1502">
        <f t="shared" si="53"/>
        <v>0.0</v>
      </c>
      <c r="AR88" s="1419"/>
      <c r="AS88" s="1501">
        <f>IF($AG$7="INCOME TAX DEDUCT FROM SALARY TILL JAN  2025",0,IF(W88&lt;=12500,0,IF(AI88&gt;W88,0,ROUNDUP((W88-AI88)/3,-3))))</f>
        <v>0.0</v>
      </c>
      <c r="AT88" s="1501">
        <f>IF($AG$7="INCOME TAX DEDUCT FROM SALARY TILL JAN  2025",0,IF(W88&lt;=12500,0,IF(AI88&gt;V88,0,ROUNDUP((W88-AI88)/3,-3))))</f>
        <v>0.0</v>
      </c>
      <c r="AU88" s="1501" t="e">
        <f>IF($AG$7="INCOME TAX DEDUCT FROM SALARY TILL JAN  2025",ROUNDUP((V88-AI88),-3),IF(V88&lt;=12500,0,IF(AI88&gt;V88,0,ROUNDUP((V88-AI88)/3,-3))))</f>
        <v>#VALUE!</v>
      </c>
      <c r="AV88" s="1503" t="e">
        <f t="shared" si="54"/>
        <v>#VALUE!</v>
      </c>
      <c r="AW88" s="1503" t="e">
        <f>AV88+AI88</f>
        <v>#VALUE!</v>
      </c>
      <c r="AX88" s="1501" t="e">
        <f>AW88-W88</f>
        <v>#VALUE!</v>
      </c>
      <c r="AY88" s="1501">
        <f>IF($AG$7="INCOME TAX DEDUCT FROM SALARY TILL JAN  2025",0,IF(AF88&lt;=12500,0,IF(AI88&gt;AF88,0,ROUNDUP((AF88-AI88)/3,-3))))</f>
        <v>0.0</v>
      </c>
      <c r="AZ88" s="1501">
        <f>IF($AG$7="INCOME TAX DEDUCT FROM SALARY TILL JAN  2025",0,IF(AF88&lt;=12500,0,IF(AI88&gt;AF88,0,ROUNDUP((AF88-AI88)/3,-3))))</f>
        <v>0.0</v>
      </c>
      <c r="BA88" s="1501" t="e">
        <f>IF($AG$7="INCOME TAX DEDUCT FROM SALARY TILL JAN  2025",ROUNDUP((AF88-AI88),-3),IF(AF88&lt;=12500,0,IF(AI88&gt;AF88,0,ROUNDUP((AF88-AI88)/3,-3))))</f>
        <v>#VALUE!</v>
      </c>
      <c r="BB88" s="1503" t="e">
        <f t="shared" si="55"/>
        <v>#VALUE!</v>
      </c>
      <c r="BC88" s="1503" t="e">
        <f>BB88+AI88</f>
        <v>#VALUE!</v>
      </c>
      <c r="BD88" s="1501" t="e">
        <f>BC88-AF88</f>
        <v>#VALUE!</v>
      </c>
      <c r="BE88" s="1504"/>
      <c r="BF88" s="1504"/>
      <c r="BG88" s="1504"/>
    </row>
    <row r="89" spans="8:8" ht="13.5" customHeight="1">
      <c r="B89" s="1488">
        <f t="shared" si="37"/>
        <v>0.0</v>
      </c>
      <c r="C89" s="1488">
        <f t="shared" si="28"/>
        <v>0.0</v>
      </c>
      <c r="D89" s="1489"/>
      <c r="E89" s="1505"/>
      <c r="F89" s="1506"/>
      <c r="G89" s="1506"/>
      <c r="H89" s="1507"/>
      <c r="I89" s="1492"/>
      <c r="J89" s="1507"/>
      <c r="K89" s="1507"/>
      <c r="L89" s="1507"/>
      <c r="M89" s="1507"/>
      <c r="N89" s="1492">
        <v>0.0</v>
      </c>
      <c r="O89" s="1493">
        <f t="shared" si="38"/>
        <v>-50000.0</v>
      </c>
      <c r="P89" s="1493">
        <f t="shared" si="39"/>
        <v>-75000.0</v>
      </c>
      <c r="Q89" s="1494">
        <f t="shared" si="40"/>
        <v>0.0</v>
      </c>
      <c r="R89" s="1494">
        <f t="shared" si="41"/>
        <v>0.0</v>
      </c>
      <c r="S89" s="1494">
        <f t="shared" si="42"/>
        <v>0.0</v>
      </c>
      <c r="T89" s="1493" t="str">
        <f t="shared" si="29"/>
        <v/>
      </c>
      <c r="U89" s="1494" t="str">
        <f t="shared" si="43"/>
        <v/>
      </c>
      <c r="V89" s="1495" t="str">
        <f t="shared" si="44"/>
        <v/>
      </c>
      <c r="W89" s="1495" t="str">
        <f t="shared" si="45"/>
        <v/>
      </c>
      <c r="X89" s="1494">
        <f t="shared" si="46"/>
        <v>0.0</v>
      </c>
      <c r="Y89" s="1494">
        <f t="shared" si="47"/>
        <v>0.0</v>
      </c>
      <c r="Z89" s="1494">
        <f t="shared" si="48"/>
        <v>0.0</v>
      </c>
      <c r="AA89" s="1494">
        <f t="shared" si="49"/>
        <v>0.0</v>
      </c>
      <c r="AB89" s="1496">
        <f t="shared" si="50"/>
        <v>0.0</v>
      </c>
      <c r="AC89" s="1497" t="str">
        <f t="shared" si="30"/>
        <v/>
      </c>
      <c r="AD89" s="1494" t="str">
        <f t="shared" si="31"/>
        <v/>
      </c>
      <c r="AE89" s="1495" t="str">
        <f t="shared" si="32"/>
        <v/>
      </c>
      <c r="AF89" s="1495" t="str">
        <f t="shared" si="33"/>
        <v/>
      </c>
      <c r="AG89" s="1508"/>
      <c r="AH89" s="1508"/>
      <c r="AI89" s="1496">
        <f t="shared" si="51"/>
        <v>0.0</v>
      </c>
      <c r="AJ89" s="1496">
        <f>IF(OR(W89=0,AF89=0),0,IF(AN89="OLD TAX REGIME",AS89,AY89))</f>
        <v>0.0</v>
      </c>
      <c r="AK89" s="1496">
        <f>IF(OR(W89=0,AF89=0),0,IF(AN89="OLD TAX REGIME",AT89,AZ89))</f>
        <v>0.0</v>
      </c>
      <c r="AL89" s="1496" t="e">
        <f>IF(OR(W89=0,AF89=0),0,IF(AN89="OLD TAX REGIME",AU89,BA89))</f>
        <v>#VALUE!</v>
      </c>
      <c r="AM89" s="1497" t="e">
        <f t="shared" si="52"/>
        <v>#VALUE!</v>
      </c>
      <c r="AN89" s="1499" t="str">
        <f t="shared" si="34"/>
        <v/>
      </c>
      <c r="AO89" s="1500">
        <f t="shared" si="35"/>
        <v>0.0</v>
      </c>
      <c r="AP89" s="1509">
        <f t="shared" si="36"/>
        <v>0.0</v>
      </c>
      <c r="AQ89" s="1502">
        <f t="shared" si="53"/>
        <v>0.0</v>
      </c>
      <c r="AR89" s="1419"/>
      <c r="AS89" s="1501">
        <f>IF($AG$7="INCOME TAX DEDUCT FROM SALARY TILL JAN  2025",0,IF(W89&lt;=12500,0,IF(AI89&gt;W89,0,ROUNDUP((W89-AI89)/3,-3))))</f>
        <v>0.0</v>
      </c>
      <c r="AT89" s="1501">
        <f>IF($AG$7="INCOME TAX DEDUCT FROM SALARY TILL JAN  2025",0,IF(W89&lt;=12500,0,IF(AI89&gt;V89,0,ROUNDUP((W89-AI89)/3,-3))))</f>
        <v>0.0</v>
      </c>
      <c r="AU89" s="1501" t="e">
        <f>IF($AG$7="INCOME TAX DEDUCT FROM SALARY TILL JAN  2025",ROUNDUP((V89-AI89),-3),IF(V89&lt;=12500,0,IF(AI89&gt;V89,0,ROUNDUP((V89-AI89)/3,-3))))</f>
        <v>#VALUE!</v>
      </c>
      <c r="AV89" s="1503" t="e">
        <f t="shared" si="54"/>
        <v>#VALUE!</v>
      </c>
      <c r="AW89" s="1503" t="e">
        <f>AV89+AI89</f>
        <v>#VALUE!</v>
      </c>
      <c r="AX89" s="1501" t="e">
        <f>AW89-W89</f>
        <v>#VALUE!</v>
      </c>
      <c r="AY89" s="1501">
        <f>IF($AG$7="INCOME TAX DEDUCT FROM SALARY TILL JAN  2025",0,IF(AF89&lt;=12500,0,IF(AI89&gt;AF89,0,ROUNDUP((AF89-AI89)/3,-3))))</f>
        <v>0.0</v>
      </c>
      <c r="AZ89" s="1501">
        <f>IF($AG$7="INCOME TAX DEDUCT FROM SALARY TILL JAN  2025",0,IF(AF89&lt;=12500,0,IF(AI89&gt;AF89,0,ROUNDUP((AF89-AI89)/3,-3))))</f>
        <v>0.0</v>
      </c>
      <c r="BA89" s="1501" t="e">
        <f>IF($AG$7="INCOME TAX DEDUCT FROM SALARY TILL JAN  2025",ROUNDUP((AF89-AI89),-3),IF(AF89&lt;=12500,0,IF(AI89&gt;AF89,0,ROUNDUP((AF89-AI89)/3,-3))))</f>
        <v>#VALUE!</v>
      </c>
      <c r="BB89" s="1503" t="e">
        <f t="shared" si="55"/>
        <v>#VALUE!</v>
      </c>
      <c r="BC89" s="1503" t="e">
        <f>BB89+AI89</f>
        <v>#VALUE!</v>
      </c>
      <c r="BD89" s="1501" t="e">
        <f>BC89-AF89</f>
        <v>#VALUE!</v>
      </c>
      <c r="BE89" s="1504"/>
      <c r="BF89" s="1504"/>
      <c r="BG89" s="1504"/>
    </row>
    <row r="90" spans="8:8" ht="13.5" customHeight="1">
      <c r="B90" s="1488">
        <f t="shared" si="37"/>
        <v>0.0</v>
      </c>
      <c r="C90" s="1488">
        <f t="shared" si="28"/>
        <v>0.0</v>
      </c>
      <c r="D90" s="1489"/>
      <c r="E90" s="1505"/>
      <c r="F90" s="1506"/>
      <c r="G90" s="1506"/>
      <c r="H90" s="1507"/>
      <c r="I90" s="1492"/>
      <c r="J90" s="1507"/>
      <c r="K90" s="1507"/>
      <c r="L90" s="1507"/>
      <c r="M90" s="1507"/>
      <c r="N90" s="1492">
        <v>0.0</v>
      </c>
      <c r="O90" s="1493">
        <f t="shared" si="38"/>
        <v>-50000.0</v>
      </c>
      <c r="P90" s="1493">
        <f t="shared" si="39"/>
        <v>-75000.0</v>
      </c>
      <c r="Q90" s="1494">
        <f t="shared" si="40"/>
        <v>0.0</v>
      </c>
      <c r="R90" s="1494">
        <f t="shared" si="41"/>
        <v>0.0</v>
      </c>
      <c r="S90" s="1494">
        <f t="shared" si="42"/>
        <v>0.0</v>
      </c>
      <c r="T90" s="1493" t="str">
        <f t="shared" si="29"/>
        <v/>
      </c>
      <c r="U90" s="1494" t="str">
        <f t="shared" si="43"/>
        <v/>
      </c>
      <c r="V90" s="1495" t="str">
        <f t="shared" si="44"/>
        <v/>
      </c>
      <c r="W90" s="1495" t="str">
        <f t="shared" si="45"/>
        <v/>
      </c>
      <c r="X90" s="1494">
        <f t="shared" si="46"/>
        <v>0.0</v>
      </c>
      <c r="Y90" s="1494">
        <f t="shared" si="47"/>
        <v>0.0</v>
      </c>
      <c r="Z90" s="1494">
        <f t="shared" si="48"/>
        <v>0.0</v>
      </c>
      <c r="AA90" s="1494">
        <f t="shared" si="49"/>
        <v>0.0</v>
      </c>
      <c r="AB90" s="1496">
        <f t="shared" si="50"/>
        <v>0.0</v>
      </c>
      <c r="AC90" s="1497" t="str">
        <f t="shared" si="30"/>
        <v/>
      </c>
      <c r="AD90" s="1494" t="str">
        <f t="shared" si="31"/>
        <v/>
      </c>
      <c r="AE90" s="1495" t="str">
        <f t="shared" si="32"/>
        <v/>
      </c>
      <c r="AF90" s="1495" t="str">
        <f t="shared" si="33"/>
        <v/>
      </c>
      <c r="AG90" s="1508"/>
      <c r="AH90" s="1508"/>
      <c r="AI90" s="1496">
        <f t="shared" si="51"/>
        <v>0.0</v>
      </c>
      <c r="AJ90" s="1496">
        <f>IF(OR(W90=0,AF90=0),0,IF(AN90="OLD TAX REGIME",AS90,AY90))</f>
        <v>0.0</v>
      </c>
      <c r="AK90" s="1496">
        <f>IF(OR(W90=0,AF90=0),0,IF(AN90="OLD TAX REGIME",AT90,AZ90))</f>
        <v>0.0</v>
      </c>
      <c r="AL90" s="1496" t="e">
        <f>IF(OR(W90=0,AF90=0),0,IF(AN90="OLD TAX REGIME",AU90,BA90))</f>
        <v>#VALUE!</v>
      </c>
      <c r="AM90" s="1497" t="e">
        <f t="shared" si="52"/>
        <v>#VALUE!</v>
      </c>
      <c r="AN90" s="1499" t="str">
        <f t="shared" si="34"/>
        <v/>
      </c>
      <c r="AO90" s="1500">
        <f t="shared" si="35"/>
        <v>0.0</v>
      </c>
      <c r="AP90" s="1509">
        <f t="shared" si="36"/>
        <v>0.0</v>
      </c>
      <c r="AQ90" s="1502">
        <f t="shared" si="53"/>
        <v>0.0</v>
      </c>
      <c r="AR90" s="1419"/>
      <c r="AS90" s="1501">
        <f>IF($AG$7="INCOME TAX DEDUCT FROM SALARY TILL JAN  2025",0,IF(W90&lt;=12500,0,IF(AI90&gt;W90,0,ROUNDUP((W90-AI90)/3,-3))))</f>
        <v>0.0</v>
      </c>
      <c r="AT90" s="1501">
        <f>IF($AG$7="INCOME TAX DEDUCT FROM SALARY TILL JAN  2025",0,IF(W90&lt;=12500,0,IF(AI90&gt;V90,0,ROUNDUP((W90-AI90)/3,-3))))</f>
        <v>0.0</v>
      </c>
      <c r="AU90" s="1501" t="e">
        <f>IF($AG$7="INCOME TAX DEDUCT FROM SALARY TILL JAN  2025",ROUNDUP((V90-AI90),-3),IF(V90&lt;=12500,0,IF(AI90&gt;V90,0,ROUNDUP((V90-AI90)/3,-3))))</f>
        <v>#VALUE!</v>
      </c>
      <c r="AV90" s="1503" t="e">
        <f t="shared" si="54"/>
        <v>#VALUE!</v>
      </c>
      <c r="AW90" s="1503" t="e">
        <f>AV90+AI90</f>
        <v>#VALUE!</v>
      </c>
      <c r="AX90" s="1501" t="e">
        <f>AW90-W90</f>
        <v>#VALUE!</v>
      </c>
      <c r="AY90" s="1501">
        <f>IF($AG$7="INCOME TAX DEDUCT FROM SALARY TILL JAN  2025",0,IF(AF90&lt;=12500,0,IF(AI90&gt;AF90,0,ROUNDUP((AF90-AI90)/3,-3))))</f>
        <v>0.0</v>
      </c>
      <c r="AZ90" s="1501">
        <f>IF($AG$7="INCOME TAX DEDUCT FROM SALARY TILL JAN  2025",0,IF(AF90&lt;=12500,0,IF(AI90&gt;AF90,0,ROUNDUP((AF90-AI90)/3,-3))))</f>
        <v>0.0</v>
      </c>
      <c r="BA90" s="1501" t="e">
        <f>IF($AG$7="INCOME TAX DEDUCT FROM SALARY TILL JAN  2025",ROUNDUP((AF90-AI90),-3),IF(AF90&lt;=12500,0,IF(AI90&gt;AF90,0,ROUNDUP((AF90-AI90)/3,-3))))</f>
        <v>#VALUE!</v>
      </c>
      <c r="BB90" s="1503" t="e">
        <f t="shared" si="55"/>
        <v>#VALUE!</v>
      </c>
      <c r="BC90" s="1503" t="e">
        <f>BB90+AI90</f>
        <v>#VALUE!</v>
      </c>
      <c r="BD90" s="1501" t="e">
        <f>BC90-AF90</f>
        <v>#VALUE!</v>
      </c>
      <c r="BE90" s="1504"/>
      <c r="BF90" s="1504"/>
      <c r="BG90" s="1504"/>
    </row>
    <row r="91" spans="8:8" ht="13.5" customHeight="1">
      <c r="B91" s="1488">
        <f t="shared" si="37"/>
        <v>0.0</v>
      </c>
      <c r="C91" s="1488">
        <f t="shared" si="28"/>
        <v>0.0</v>
      </c>
      <c r="D91" s="1489"/>
      <c r="E91" s="1505"/>
      <c r="F91" s="1506"/>
      <c r="G91" s="1506"/>
      <c r="H91" s="1507"/>
      <c r="I91" s="1492"/>
      <c r="J91" s="1507"/>
      <c r="K91" s="1507"/>
      <c r="L91" s="1507"/>
      <c r="M91" s="1507"/>
      <c r="N91" s="1492">
        <v>0.0</v>
      </c>
      <c r="O91" s="1493">
        <f t="shared" si="38"/>
        <v>-50000.0</v>
      </c>
      <c r="P91" s="1493">
        <f t="shared" si="39"/>
        <v>-75000.0</v>
      </c>
      <c r="Q91" s="1494">
        <f t="shared" si="40"/>
        <v>0.0</v>
      </c>
      <c r="R91" s="1494">
        <f t="shared" si="41"/>
        <v>0.0</v>
      </c>
      <c r="S91" s="1494">
        <f t="shared" si="42"/>
        <v>0.0</v>
      </c>
      <c r="T91" s="1493" t="str">
        <f t="shared" si="29"/>
        <v/>
      </c>
      <c r="U91" s="1494" t="str">
        <f t="shared" si="43"/>
        <v/>
      </c>
      <c r="V91" s="1495" t="str">
        <f t="shared" si="44"/>
        <v/>
      </c>
      <c r="W91" s="1495" t="str">
        <f t="shared" si="45"/>
        <v/>
      </c>
      <c r="X91" s="1494">
        <f t="shared" si="46"/>
        <v>0.0</v>
      </c>
      <c r="Y91" s="1494">
        <f t="shared" si="47"/>
        <v>0.0</v>
      </c>
      <c r="Z91" s="1494">
        <f t="shared" si="48"/>
        <v>0.0</v>
      </c>
      <c r="AA91" s="1494">
        <f t="shared" si="49"/>
        <v>0.0</v>
      </c>
      <c r="AB91" s="1496">
        <f t="shared" si="50"/>
        <v>0.0</v>
      </c>
      <c r="AC91" s="1497" t="str">
        <f t="shared" si="30"/>
        <v/>
      </c>
      <c r="AD91" s="1494" t="str">
        <f t="shared" si="31"/>
        <v/>
      </c>
      <c r="AE91" s="1495" t="str">
        <f t="shared" si="32"/>
        <v/>
      </c>
      <c r="AF91" s="1495" t="str">
        <f t="shared" si="33"/>
        <v/>
      </c>
      <c r="AG91" s="1508"/>
      <c r="AH91" s="1508"/>
      <c r="AI91" s="1496">
        <f t="shared" si="51"/>
        <v>0.0</v>
      </c>
      <c r="AJ91" s="1496">
        <f>IF(OR(W91=0,AF91=0),0,IF(AN91="OLD TAX REGIME",AS91,AY91))</f>
        <v>0.0</v>
      </c>
      <c r="AK91" s="1496">
        <f>IF(OR(W91=0,AF91=0),0,IF(AN91="OLD TAX REGIME",AT91,AZ91))</f>
        <v>0.0</v>
      </c>
      <c r="AL91" s="1496" t="e">
        <f>IF(OR(W91=0,AF91=0),0,IF(AN91="OLD TAX REGIME",AU91,BA91))</f>
        <v>#VALUE!</v>
      </c>
      <c r="AM91" s="1497" t="e">
        <f t="shared" si="52"/>
        <v>#VALUE!</v>
      </c>
      <c r="AN91" s="1499" t="str">
        <f t="shared" si="34"/>
        <v/>
      </c>
      <c r="AO91" s="1500">
        <f t="shared" si="35"/>
        <v>0.0</v>
      </c>
      <c r="AP91" s="1509">
        <f t="shared" si="36"/>
        <v>0.0</v>
      </c>
      <c r="AQ91" s="1502">
        <f t="shared" si="53"/>
        <v>0.0</v>
      </c>
      <c r="AR91" s="1419"/>
      <c r="AS91" s="1501">
        <f>IF($AG$7="INCOME TAX DEDUCT FROM SALARY TILL JAN  2025",0,IF(W91&lt;=12500,0,IF(AI91&gt;W91,0,ROUNDUP((W91-AI91)/3,-3))))</f>
        <v>0.0</v>
      </c>
      <c r="AT91" s="1501">
        <f>IF($AG$7="INCOME TAX DEDUCT FROM SALARY TILL JAN  2025",0,IF(W91&lt;=12500,0,IF(AI91&gt;V91,0,ROUNDUP((W91-AI91)/3,-3))))</f>
        <v>0.0</v>
      </c>
      <c r="AU91" s="1501" t="e">
        <f>IF($AG$7="INCOME TAX DEDUCT FROM SALARY TILL JAN  2025",ROUNDUP((V91-AI91),-3),IF(V91&lt;=12500,0,IF(AI91&gt;V91,0,ROUNDUP((V91-AI91)/3,-3))))</f>
        <v>#VALUE!</v>
      </c>
      <c r="AV91" s="1503" t="e">
        <f t="shared" si="54"/>
        <v>#VALUE!</v>
      </c>
      <c r="AW91" s="1503" t="e">
        <f>AV91+AI91</f>
        <v>#VALUE!</v>
      </c>
      <c r="AX91" s="1501" t="e">
        <f>AW91-W91</f>
        <v>#VALUE!</v>
      </c>
      <c r="AY91" s="1501">
        <f>IF($AG$7="INCOME TAX DEDUCT FROM SALARY TILL JAN  2025",0,IF(AF91&lt;=12500,0,IF(AI91&gt;AF91,0,ROUNDUP((AF91-AI91)/3,-3))))</f>
        <v>0.0</v>
      </c>
      <c r="AZ91" s="1501">
        <f>IF($AG$7="INCOME TAX DEDUCT FROM SALARY TILL JAN  2025",0,IF(AF91&lt;=12500,0,IF(AI91&gt;AF91,0,ROUNDUP((AF91-AI91)/3,-3))))</f>
        <v>0.0</v>
      </c>
      <c r="BA91" s="1501" t="e">
        <f>IF($AG$7="INCOME TAX DEDUCT FROM SALARY TILL JAN  2025",ROUNDUP((AF91-AI91),-3),IF(AF91&lt;=12500,0,IF(AI91&gt;AF91,0,ROUNDUP((AF91-AI91)/3,-3))))</f>
        <v>#VALUE!</v>
      </c>
      <c r="BB91" s="1503" t="e">
        <f t="shared" si="55"/>
        <v>#VALUE!</v>
      </c>
      <c r="BC91" s="1503" t="e">
        <f>BB91+AI91</f>
        <v>#VALUE!</v>
      </c>
      <c r="BD91" s="1501" t="e">
        <f>BC91-AF91</f>
        <v>#VALUE!</v>
      </c>
      <c r="BE91" s="1504"/>
      <c r="BF91" s="1504"/>
      <c r="BG91" s="1504"/>
    </row>
    <row r="92" spans="8:8" ht="13.5" customHeight="1">
      <c r="B92" s="1488">
        <f t="shared" si="37"/>
        <v>0.0</v>
      </c>
      <c r="C92" s="1488">
        <f t="shared" si="28"/>
        <v>0.0</v>
      </c>
      <c r="D92" s="1489"/>
      <c r="E92" s="1505"/>
      <c r="F92" s="1506"/>
      <c r="G92" s="1506"/>
      <c r="H92" s="1507"/>
      <c r="I92" s="1492"/>
      <c r="J92" s="1507"/>
      <c r="K92" s="1507"/>
      <c r="L92" s="1507"/>
      <c r="M92" s="1507"/>
      <c r="N92" s="1492">
        <v>0.0</v>
      </c>
      <c r="O92" s="1493">
        <f t="shared" si="38"/>
        <v>-50000.0</v>
      </c>
      <c r="P92" s="1493">
        <f t="shared" si="39"/>
        <v>-75000.0</v>
      </c>
      <c r="Q92" s="1494">
        <f t="shared" si="40"/>
        <v>0.0</v>
      </c>
      <c r="R92" s="1494">
        <f t="shared" si="41"/>
        <v>0.0</v>
      </c>
      <c r="S92" s="1494">
        <f t="shared" si="42"/>
        <v>0.0</v>
      </c>
      <c r="T92" s="1493" t="str">
        <f t="shared" si="29"/>
        <v/>
      </c>
      <c r="U92" s="1494" t="str">
        <f t="shared" si="43"/>
        <v/>
      </c>
      <c r="V92" s="1495" t="str">
        <f t="shared" si="44"/>
        <v/>
      </c>
      <c r="W92" s="1495" t="str">
        <f t="shared" si="45"/>
        <v/>
      </c>
      <c r="X92" s="1494">
        <f t="shared" si="46"/>
        <v>0.0</v>
      </c>
      <c r="Y92" s="1494">
        <f t="shared" si="47"/>
        <v>0.0</v>
      </c>
      <c r="Z92" s="1494">
        <f t="shared" si="48"/>
        <v>0.0</v>
      </c>
      <c r="AA92" s="1494">
        <f t="shared" si="49"/>
        <v>0.0</v>
      </c>
      <c r="AB92" s="1496">
        <f t="shared" si="50"/>
        <v>0.0</v>
      </c>
      <c r="AC92" s="1497" t="str">
        <f t="shared" si="30"/>
        <v/>
      </c>
      <c r="AD92" s="1494" t="str">
        <f t="shared" si="31"/>
        <v/>
      </c>
      <c r="AE92" s="1495" t="str">
        <f t="shared" si="32"/>
        <v/>
      </c>
      <c r="AF92" s="1495" t="str">
        <f t="shared" si="33"/>
        <v/>
      </c>
      <c r="AG92" s="1508"/>
      <c r="AH92" s="1508"/>
      <c r="AI92" s="1496">
        <f t="shared" si="51"/>
        <v>0.0</v>
      </c>
      <c r="AJ92" s="1496">
        <f>IF(OR(W92=0,AF92=0),0,IF(AN92="OLD TAX REGIME",AS92,AY92))</f>
        <v>0.0</v>
      </c>
      <c r="AK92" s="1496">
        <f>IF(OR(W92=0,AF92=0),0,IF(AN92="OLD TAX REGIME",AT92,AZ92))</f>
        <v>0.0</v>
      </c>
      <c r="AL92" s="1496" t="e">
        <f>IF(OR(W92=0,AF92=0),0,IF(AN92="OLD TAX REGIME",AU92,BA92))</f>
        <v>#VALUE!</v>
      </c>
      <c r="AM92" s="1497" t="e">
        <f t="shared" si="52"/>
        <v>#VALUE!</v>
      </c>
      <c r="AN92" s="1499" t="str">
        <f t="shared" si="34"/>
        <v/>
      </c>
      <c r="AO92" s="1500">
        <f t="shared" si="35"/>
        <v>0.0</v>
      </c>
      <c r="AP92" s="1509">
        <f t="shared" si="36"/>
        <v>0.0</v>
      </c>
      <c r="AQ92" s="1502">
        <f t="shared" si="53"/>
        <v>0.0</v>
      </c>
      <c r="AR92" s="1419"/>
      <c r="AS92" s="1501">
        <f>IF($AG$7="INCOME TAX DEDUCT FROM SALARY TILL JAN  2025",0,IF(W92&lt;=12500,0,IF(AI92&gt;W92,0,ROUNDUP((W92-AI92)/3,-3))))</f>
        <v>0.0</v>
      </c>
      <c r="AT92" s="1501">
        <f>IF($AG$7="INCOME TAX DEDUCT FROM SALARY TILL JAN  2025",0,IF(W92&lt;=12500,0,IF(AI92&gt;V92,0,ROUNDUP((W92-AI92)/3,-3))))</f>
        <v>0.0</v>
      </c>
      <c r="AU92" s="1501" t="e">
        <f>IF($AG$7="INCOME TAX DEDUCT FROM SALARY TILL JAN  2025",ROUNDUP((V92-AI92),-3),IF(V92&lt;=12500,0,IF(AI92&gt;V92,0,ROUNDUP((V92-AI92)/3,-3))))</f>
        <v>#VALUE!</v>
      </c>
      <c r="AV92" s="1503" t="e">
        <f t="shared" si="54"/>
        <v>#VALUE!</v>
      </c>
      <c r="AW92" s="1503" t="e">
        <f>AV92+AI92</f>
        <v>#VALUE!</v>
      </c>
      <c r="AX92" s="1501" t="e">
        <f>AW92-W92</f>
        <v>#VALUE!</v>
      </c>
      <c r="AY92" s="1501">
        <f>IF($AG$7="INCOME TAX DEDUCT FROM SALARY TILL JAN  2025",0,IF(AF92&lt;=12500,0,IF(AI92&gt;AF92,0,ROUNDUP((AF92-AI92)/3,-3))))</f>
        <v>0.0</v>
      </c>
      <c r="AZ92" s="1501">
        <f>IF($AG$7="INCOME TAX DEDUCT FROM SALARY TILL JAN  2025",0,IF(AF92&lt;=12500,0,IF(AI92&gt;AF92,0,ROUNDUP((AF92-AI92)/3,-3))))</f>
        <v>0.0</v>
      </c>
      <c r="BA92" s="1501" t="e">
        <f>IF($AG$7="INCOME TAX DEDUCT FROM SALARY TILL JAN  2025",ROUNDUP((AF92-AI92),-3),IF(AF92&lt;=12500,0,IF(AI92&gt;AF92,0,ROUNDUP((AF92-AI92)/3,-3))))</f>
        <v>#VALUE!</v>
      </c>
      <c r="BB92" s="1503" t="e">
        <f t="shared" si="55"/>
        <v>#VALUE!</v>
      </c>
      <c r="BC92" s="1503" t="e">
        <f>BB92+AI92</f>
        <v>#VALUE!</v>
      </c>
      <c r="BD92" s="1501" t="e">
        <f>BC92-AF92</f>
        <v>#VALUE!</v>
      </c>
      <c r="BE92" s="1504"/>
      <c r="BF92" s="1504"/>
      <c r="BG92" s="1504"/>
    </row>
    <row r="93" spans="8:8" ht="13.5" customHeight="1">
      <c r="B93" s="1488">
        <f t="shared" si="37"/>
        <v>0.0</v>
      </c>
      <c r="C93" s="1488">
        <f t="shared" si="28"/>
        <v>0.0</v>
      </c>
      <c r="D93" s="1489"/>
      <c r="E93" s="1505"/>
      <c r="F93" s="1506"/>
      <c r="G93" s="1506"/>
      <c r="H93" s="1507"/>
      <c r="I93" s="1492"/>
      <c r="J93" s="1507"/>
      <c r="K93" s="1507"/>
      <c r="L93" s="1507"/>
      <c r="M93" s="1507"/>
      <c r="N93" s="1492">
        <v>0.0</v>
      </c>
      <c r="O93" s="1493">
        <f t="shared" si="38"/>
        <v>-50000.0</v>
      </c>
      <c r="P93" s="1493">
        <f t="shared" si="39"/>
        <v>-75000.0</v>
      </c>
      <c r="Q93" s="1494">
        <f t="shared" si="40"/>
        <v>0.0</v>
      </c>
      <c r="R93" s="1494">
        <f t="shared" si="41"/>
        <v>0.0</v>
      </c>
      <c r="S93" s="1494">
        <f t="shared" si="42"/>
        <v>0.0</v>
      </c>
      <c r="T93" s="1493" t="str">
        <f t="shared" si="29"/>
        <v/>
      </c>
      <c r="U93" s="1494" t="str">
        <f t="shared" si="43"/>
        <v/>
      </c>
      <c r="V93" s="1495" t="str">
        <f t="shared" si="44"/>
        <v/>
      </c>
      <c r="W93" s="1495" t="str">
        <f t="shared" si="45"/>
        <v/>
      </c>
      <c r="X93" s="1494">
        <f t="shared" si="46"/>
        <v>0.0</v>
      </c>
      <c r="Y93" s="1494">
        <f t="shared" si="47"/>
        <v>0.0</v>
      </c>
      <c r="Z93" s="1494">
        <f t="shared" si="48"/>
        <v>0.0</v>
      </c>
      <c r="AA93" s="1494">
        <f t="shared" si="49"/>
        <v>0.0</v>
      </c>
      <c r="AB93" s="1496">
        <f t="shared" si="50"/>
        <v>0.0</v>
      </c>
      <c r="AC93" s="1497" t="str">
        <f t="shared" si="30"/>
        <v/>
      </c>
      <c r="AD93" s="1494" t="str">
        <f t="shared" si="31"/>
        <v/>
      </c>
      <c r="AE93" s="1495" t="str">
        <f t="shared" si="32"/>
        <v/>
      </c>
      <c r="AF93" s="1495" t="str">
        <f t="shared" si="33"/>
        <v/>
      </c>
      <c r="AG93" s="1508"/>
      <c r="AH93" s="1508"/>
      <c r="AI93" s="1496">
        <f t="shared" si="51"/>
        <v>0.0</v>
      </c>
      <c r="AJ93" s="1496">
        <f>IF(OR(W93=0,AF93=0),0,IF(AN93="OLD TAX REGIME",AS93,AY93))</f>
        <v>0.0</v>
      </c>
      <c r="AK93" s="1496">
        <f>IF(OR(W93=0,AF93=0),0,IF(AN93="OLD TAX REGIME",AT93,AZ93))</f>
        <v>0.0</v>
      </c>
      <c r="AL93" s="1496" t="e">
        <f>IF(OR(W93=0,AF93=0),0,IF(AN93="OLD TAX REGIME",AU93,BA93))</f>
        <v>#VALUE!</v>
      </c>
      <c r="AM93" s="1497" t="e">
        <f t="shared" si="52"/>
        <v>#VALUE!</v>
      </c>
      <c r="AN93" s="1499" t="str">
        <f t="shared" si="34"/>
        <v/>
      </c>
      <c r="AO93" s="1500">
        <f t="shared" si="35"/>
        <v>0.0</v>
      </c>
      <c r="AP93" s="1509">
        <f t="shared" si="36"/>
        <v>0.0</v>
      </c>
      <c r="AQ93" s="1502">
        <f t="shared" si="53"/>
        <v>0.0</v>
      </c>
      <c r="AR93" s="1419"/>
      <c r="AS93" s="1501">
        <f>IF($AG$7="INCOME TAX DEDUCT FROM SALARY TILL JAN  2025",0,IF(W93&lt;=12500,0,IF(AI93&gt;W93,0,ROUNDUP((W93-AI93)/3,-3))))</f>
        <v>0.0</v>
      </c>
      <c r="AT93" s="1501">
        <f>IF($AG$7="INCOME TAX DEDUCT FROM SALARY TILL JAN  2025",0,IF(W93&lt;=12500,0,IF(AI93&gt;V93,0,ROUNDUP((W93-AI93)/3,-3))))</f>
        <v>0.0</v>
      </c>
      <c r="AU93" s="1501" t="e">
        <f>IF($AG$7="INCOME TAX DEDUCT FROM SALARY TILL JAN  2025",ROUNDUP((V93-AI93),-3),IF(V93&lt;=12500,0,IF(AI93&gt;V93,0,ROUNDUP((V93-AI93)/3,-3))))</f>
        <v>#VALUE!</v>
      </c>
      <c r="AV93" s="1503" t="e">
        <f t="shared" si="54"/>
        <v>#VALUE!</v>
      </c>
      <c r="AW93" s="1503" t="e">
        <f>AV93+AI93</f>
        <v>#VALUE!</v>
      </c>
      <c r="AX93" s="1501" t="e">
        <f>AW93-W93</f>
        <v>#VALUE!</v>
      </c>
      <c r="AY93" s="1501">
        <f>IF($AG$7="INCOME TAX DEDUCT FROM SALARY TILL JAN  2025",0,IF(AF93&lt;=12500,0,IF(AI93&gt;AF93,0,ROUNDUP((AF93-AI93)/3,-3))))</f>
        <v>0.0</v>
      </c>
      <c r="AZ93" s="1501">
        <f>IF($AG$7="INCOME TAX DEDUCT FROM SALARY TILL JAN  2025",0,IF(AF93&lt;=12500,0,IF(AI93&gt;AF93,0,ROUNDUP((AF93-AI93)/3,-3))))</f>
        <v>0.0</v>
      </c>
      <c r="BA93" s="1501" t="e">
        <f>IF($AG$7="INCOME TAX DEDUCT FROM SALARY TILL JAN  2025",ROUNDUP((AF93-AI93),-3),IF(AF93&lt;=12500,0,IF(AI93&gt;AF93,0,ROUNDUP((AF93-AI93)/3,-3))))</f>
        <v>#VALUE!</v>
      </c>
      <c r="BB93" s="1503" t="e">
        <f t="shared" si="55"/>
        <v>#VALUE!</v>
      </c>
      <c r="BC93" s="1503" t="e">
        <f>BB93+AI93</f>
        <v>#VALUE!</v>
      </c>
      <c r="BD93" s="1501" t="e">
        <f>BC93-AF93</f>
        <v>#VALUE!</v>
      </c>
      <c r="BE93" s="1504"/>
      <c r="BF93" s="1504"/>
      <c r="BG93" s="1504"/>
    </row>
    <row r="94" spans="8:8" ht="13.5" customHeight="1">
      <c r="B94" s="1488">
        <f t="shared" si="37"/>
        <v>0.0</v>
      </c>
      <c r="C94" s="1488">
        <f t="shared" si="28"/>
        <v>0.0</v>
      </c>
      <c r="D94" s="1489"/>
      <c r="E94" s="1505"/>
      <c r="F94" s="1506"/>
      <c r="G94" s="1506"/>
      <c r="H94" s="1507"/>
      <c r="I94" s="1492"/>
      <c r="J94" s="1507"/>
      <c r="K94" s="1507"/>
      <c r="L94" s="1507"/>
      <c r="M94" s="1507"/>
      <c r="N94" s="1492">
        <v>0.0</v>
      </c>
      <c r="O94" s="1493">
        <f t="shared" si="38"/>
        <v>-50000.0</v>
      </c>
      <c r="P94" s="1493">
        <f t="shared" si="39"/>
        <v>-75000.0</v>
      </c>
      <c r="Q94" s="1494">
        <f t="shared" si="40"/>
        <v>0.0</v>
      </c>
      <c r="R94" s="1494">
        <f t="shared" si="41"/>
        <v>0.0</v>
      </c>
      <c r="S94" s="1494">
        <f t="shared" si="42"/>
        <v>0.0</v>
      </c>
      <c r="T94" s="1493" t="str">
        <f t="shared" si="29"/>
        <v/>
      </c>
      <c r="U94" s="1494" t="str">
        <f t="shared" si="43"/>
        <v/>
      </c>
      <c r="V94" s="1495" t="str">
        <f t="shared" si="44"/>
        <v/>
      </c>
      <c r="W94" s="1495" t="str">
        <f t="shared" si="45"/>
        <v/>
      </c>
      <c r="X94" s="1494">
        <f t="shared" si="46"/>
        <v>0.0</v>
      </c>
      <c r="Y94" s="1494">
        <f t="shared" si="47"/>
        <v>0.0</v>
      </c>
      <c r="Z94" s="1494">
        <f t="shared" si="48"/>
        <v>0.0</v>
      </c>
      <c r="AA94" s="1494">
        <f t="shared" si="49"/>
        <v>0.0</v>
      </c>
      <c r="AB94" s="1496">
        <f t="shared" si="50"/>
        <v>0.0</v>
      </c>
      <c r="AC94" s="1497" t="str">
        <f t="shared" si="30"/>
        <v/>
      </c>
      <c r="AD94" s="1494" t="str">
        <f t="shared" si="31"/>
        <v/>
      </c>
      <c r="AE94" s="1495" t="str">
        <f t="shared" si="32"/>
        <v/>
      </c>
      <c r="AF94" s="1495" t="str">
        <f t="shared" si="33"/>
        <v/>
      </c>
      <c r="AG94" s="1508"/>
      <c r="AH94" s="1508"/>
      <c r="AI94" s="1496">
        <f t="shared" si="51"/>
        <v>0.0</v>
      </c>
      <c r="AJ94" s="1496">
        <f>IF(OR(W94=0,AF94=0),0,IF(AN94="OLD TAX REGIME",AS94,AY94))</f>
        <v>0.0</v>
      </c>
      <c r="AK94" s="1496">
        <f>IF(OR(W94=0,AF94=0),0,IF(AN94="OLD TAX REGIME",AT94,AZ94))</f>
        <v>0.0</v>
      </c>
      <c r="AL94" s="1496" t="e">
        <f>IF(OR(W94=0,AF94=0),0,IF(AN94="OLD TAX REGIME",AU94,BA94))</f>
        <v>#VALUE!</v>
      </c>
      <c r="AM94" s="1497" t="e">
        <f t="shared" si="52"/>
        <v>#VALUE!</v>
      </c>
      <c r="AN94" s="1499" t="str">
        <f t="shared" si="34"/>
        <v/>
      </c>
      <c r="AO94" s="1500">
        <f t="shared" si="35"/>
        <v>0.0</v>
      </c>
      <c r="AP94" s="1509">
        <f t="shared" si="36"/>
        <v>0.0</v>
      </c>
      <c r="AQ94" s="1502">
        <f t="shared" si="53"/>
        <v>0.0</v>
      </c>
      <c r="AR94" s="1419"/>
      <c r="AS94" s="1501">
        <f>IF($AG$7="INCOME TAX DEDUCT FROM SALARY TILL JAN  2025",0,IF(W94&lt;=12500,0,IF(AI94&gt;W94,0,ROUNDUP((W94-AI94)/3,-3))))</f>
        <v>0.0</v>
      </c>
      <c r="AT94" s="1501">
        <f>IF($AG$7="INCOME TAX DEDUCT FROM SALARY TILL JAN  2025",0,IF(W94&lt;=12500,0,IF(AI94&gt;V94,0,ROUNDUP((W94-AI94)/3,-3))))</f>
        <v>0.0</v>
      </c>
      <c r="AU94" s="1501" t="e">
        <f>IF($AG$7="INCOME TAX DEDUCT FROM SALARY TILL JAN  2025",ROUNDUP((V94-AI94),-3),IF(V94&lt;=12500,0,IF(AI94&gt;V94,0,ROUNDUP((V94-AI94)/3,-3))))</f>
        <v>#VALUE!</v>
      </c>
      <c r="AV94" s="1503" t="e">
        <f t="shared" si="54"/>
        <v>#VALUE!</v>
      </c>
      <c r="AW94" s="1503" t="e">
        <f>AV94+AI94</f>
        <v>#VALUE!</v>
      </c>
      <c r="AX94" s="1501" t="e">
        <f>AW94-W94</f>
        <v>#VALUE!</v>
      </c>
      <c r="AY94" s="1501">
        <f>IF($AG$7="INCOME TAX DEDUCT FROM SALARY TILL JAN  2025",0,IF(AF94&lt;=12500,0,IF(AI94&gt;AF94,0,ROUNDUP((AF94-AI94)/3,-3))))</f>
        <v>0.0</v>
      </c>
      <c r="AZ94" s="1501">
        <f>IF($AG$7="INCOME TAX DEDUCT FROM SALARY TILL JAN  2025",0,IF(AF94&lt;=12500,0,IF(AI94&gt;AF94,0,ROUNDUP((AF94-AI94)/3,-3))))</f>
        <v>0.0</v>
      </c>
      <c r="BA94" s="1501" t="e">
        <f>IF($AG$7="INCOME TAX DEDUCT FROM SALARY TILL JAN  2025",ROUNDUP((AF94-AI94),-3),IF(AF94&lt;=12500,0,IF(AI94&gt;AF94,0,ROUNDUP((AF94-AI94)/3,-3))))</f>
        <v>#VALUE!</v>
      </c>
      <c r="BB94" s="1503" t="e">
        <f t="shared" si="55"/>
        <v>#VALUE!</v>
      </c>
      <c r="BC94" s="1503" t="e">
        <f>BB94+AI94</f>
        <v>#VALUE!</v>
      </c>
      <c r="BD94" s="1501" t="e">
        <f>BC94-AF94</f>
        <v>#VALUE!</v>
      </c>
      <c r="BE94" s="1504"/>
      <c r="BF94" s="1504"/>
      <c r="BG94" s="1504"/>
    </row>
    <row r="95" spans="8:8" ht="13.5" customHeight="1">
      <c r="B95" s="1488">
        <f t="shared" si="37"/>
        <v>0.0</v>
      </c>
      <c r="C95" s="1488">
        <f t="shared" si="28"/>
        <v>0.0</v>
      </c>
      <c r="D95" s="1489"/>
      <c r="E95" s="1505"/>
      <c r="F95" s="1506"/>
      <c r="G95" s="1506"/>
      <c r="H95" s="1507"/>
      <c r="I95" s="1492"/>
      <c r="J95" s="1507"/>
      <c r="K95" s="1507"/>
      <c r="L95" s="1507"/>
      <c r="M95" s="1507"/>
      <c r="N95" s="1492">
        <v>0.0</v>
      </c>
      <c r="O95" s="1493">
        <f t="shared" si="38"/>
        <v>-50000.0</v>
      </c>
      <c r="P95" s="1493">
        <f t="shared" si="39"/>
        <v>-75000.0</v>
      </c>
      <c r="Q95" s="1494">
        <f t="shared" si="40"/>
        <v>0.0</v>
      </c>
      <c r="R95" s="1494">
        <f t="shared" si="41"/>
        <v>0.0</v>
      </c>
      <c r="S95" s="1494">
        <f t="shared" si="42"/>
        <v>0.0</v>
      </c>
      <c r="T95" s="1493" t="str">
        <f t="shared" si="29"/>
        <v/>
      </c>
      <c r="U95" s="1494" t="str">
        <f t="shared" si="43"/>
        <v/>
      </c>
      <c r="V95" s="1495" t="str">
        <f t="shared" si="44"/>
        <v/>
      </c>
      <c r="W95" s="1495" t="str">
        <f t="shared" si="45"/>
        <v/>
      </c>
      <c r="X95" s="1494">
        <f t="shared" si="46"/>
        <v>0.0</v>
      </c>
      <c r="Y95" s="1494">
        <f t="shared" si="47"/>
        <v>0.0</v>
      </c>
      <c r="Z95" s="1494">
        <f t="shared" si="48"/>
        <v>0.0</v>
      </c>
      <c r="AA95" s="1494">
        <f t="shared" si="49"/>
        <v>0.0</v>
      </c>
      <c r="AB95" s="1496">
        <f t="shared" si="50"/>
        <v>0.0</v>
      </c>
      <c r="AC95" s="1497" t="str">
        <f t="shared" si="30"/>
        <v/>
      </c>
      <c r="AD95" s="1494" t="str">
        <f t="shared" si="31"/>
        <v/>
      </c>
      <c r="AE95" s="1495" t="str">
        <f t="shared" si="32"/>
        <v/>
      </c>
      <c r="AF95" s="1495" t="str">
        <f t="shared" si="33"/>
        <v/>
      </c>
      <c r="AG95" s="1508"/>
      <c r="AH95" s="1508"/>
      <c r="AI95" s="1496">
        <f t="shared" si="51"/>
        <v>0.0</v>
      </c>
      <c r="AJ95" s="1496">
        <f>IF(OR(W95=0,AF95=0),0,IF(AN95="OLD TAX REGIME",AS95,AY95))</f>
        <v>0.0</v>
      </c>
      <c r="AK95" s="1496">
        <f>IF(OR(W95=0,AF95=0),0,IF(AN95="OLD TAX REGIME",AT95,AZ95))</f>
        <v>0.0</v>
      </c>
      <c r="AL95" s="1496" t="e">
        <f>IF(OR(W95=0,AF95=0),0,IF(AN95="OLD TAX REGIME",AU95,BA95))</f>
        <v>#VALUE!</v>
      </c>
      <c r="AM95" s="1497" t="e">
        <f t="shared" si="52"/>
        <v>#VALUE!</v>
      </c>
      <c r="AN95" s="1499" t="str">
        <f t="shared" si="34"/>
        <v/>
      </c>
      <c r="AO95" s="1500">
        <f t="shared" si="35"/>
        <v>0.0</v>
      </c>
      <c r="AP95" s="1509">
        <f t="shared" si="36"/>
        <v>0.0</v>
      </c>
      <c r="AQ95" s="1502">
        <f t="shared" si="53"/>
        <v>0.0</v>
      </c>
      <c r="AR95" s="1419"/>
      <c r="AS95" s="1501">
        <f>IF($AG$7="INCOME TAX DEDUCT FROM SALARY TILL JAN  2025",0,IF(W95&lt;=12500,0,IF(AI95&gt;W95,0,ROUNDUP((W95-AI95)/3,-3))))</f>
        <v>0.0</v>
      </c>
      <c r="AT95" s="1501">
        <f>IF($AG$7="INCOME TAX DEDUCT FROM SALARY TILL JAN  2025",0,IF(W95&lt;=12500,0,IF(AI95&gt;V95,0,ROUNDUP((W95-AI95)/3,-3))))</f>
        <v>0.0</v>
      </c>
      <c r="AU95" s="1501" t="e">
        <f>IF($AG$7="INCOME TAX DEDUCT FROM SALARY TILL JAN  2025",ROUNDUP((V95-AI95),-3),IF(V95&lt;=12500,0,IF(AI95&gt;V95,0,ROUNDUP((V95-AI95)/3,-3))))</f>
        <v>#VALUE!</v>
      </c>
      <c r="AV95" s="1503" t="e">
        <f t="shared" si="54"/>
        <v>#VALUE!</v>
      </c>
      <c r="AW95" s="1503" t="e">
        <f>AV95+AI95</f>
        <v>#VALUE!</v>
      </c>
      <c r="AX95" s="1501" t="e">
        <f>AW95-W95</f>
        <v>#VALUE!</v>
      </c>
      <c r="AY95" s="1501">
        <f>IF($AG$7="INCOME TAX DEDUCT FROM SALARY TILL JAN  2025",0,IF(AF95&lt;=12500,0,IF(AI95&gt;AF95,0,ROUNDUP((AF95-AI95)/3,-3))))</f>
        <v>0.0</v>
      </c>
      <c r="AZ95" s="1501">
        <f>IF($AG$7="INCOME TAX DEDUCT FROM SALARY TILL JAN  2025",0,IF(AF95&lt;=12500,0,IF(AI95&gt;AF95,0,ROUNDUP((AF95-AI95)/3,-3))))</f>
        <v>0.0</v>
      </c>
      <c r="BA95" s="1501" t="e">
        <f>IF($AG$7="INCOME TAX DEDUCT FROM SALARY TILL JAN  2025",ROUNDUP((AF95-AI95),-3),IF(AF95&lt;=12500,0,IF(AI95&gt;AF95,0,ROUNDUP((AF95-AI95)/3,-3))))</f>
        <v>#VALUE!</v>
      </c>
      <c r="BB95" s="1503" t="e">
        <f t="shared" si="55"/>
        <v>#VALUE!</v>
      </c>
      <c r="BC95" s="1503" t="e">
        <f>BB95+AI95</f>
        <v>#VALUE!</v>
      </c>
      <c r="BD95" s="1501" t="e">
        <f>BC95-AF95</f>
        <v>#VALUE!</v>
      </c>
      <c r="BE95" s="1504"/>
      <c r="BF95" s="1504"/>
      <c r="BG95" s="1504"/>
    </row>
    <row r="96" spans="8:8" ht="13.5" customHeight="1">
      <c r="B96" s="1488">
        <f t="shared" si="37"/>
        <v>0.0</v>
      </c>
      <c r="C96" s="1488">
        <f t="shared" si="28"/>
        <v>0.0</v>
      </c>
      <c r="D96" s="1489"/>
      <c r="E96" s="1505"/>
      <c r="F96" s="1506"/>
      <c r="G96" s="1506"/>
      <c r="H96" s="1507"/>
      <c r="I96" s="1492"/>
      <c r="J96" s="1507"/>
      <c r="K96" s="1507"/>
      <c r="L96" s="1507"/>
      <c r="M96" s="1507"/>
      <c r="N96" s="1492">
        <v>0.0</v>
      </c>
      <c r="O96" s="1493">
        <f t="shared" si="38"/>
        <v>-50000.0</v>
      </c>
      <c r="P96" s="1493">
        <f t="shared" si="39"/>
        <v>-75000.0</v>
      </c>
      <c r="Q96" s="1494">
        <f t="shared" si="40"/>
        <v>0.0</v>
      </c>
      <c r="R96" s="1494">
        <f t="shared" si="41"/>
        <v>0.0</v>
      </c>
      <c r="S96" s="1494">
        <f t="shared" si="42"/>
        <v>0.0</v>
      </c>
      <c r="T96" s="1493" t="str">
        <f t="shared" si="29"/>
        <v/>
      </c>
      <c r="U96" s="1494" t="str">
        <f t="shared" si="43"/>
        <v/>
      </c>
      <c r="V96" s="1495" t="str">
        <f t="shared" si="44"/>
        <v/>
      </c>
      <c r="W96" s="1495" t="str">
        <f t="shared" si="45"/>
        <v/>
      </c>
      <c r="X96" s="1494">
        <f t="shared" si="46"/>
        <v>0.0</v>
      </c>
      <c r="Y96" s="1494">
        <f t="shared" si="47"/>
        <v>0.0</v>
      </c>
      <c r="Z96" s="1494">
        <f t="shared" si="48"/>
        <v>0.0</v>
      </c>
      <c r="AA96" s="1494">
        <f t="shared" si="49"/>
        <v>0.0</v>
      </c>
      <c r="AB96" s="1496">
        <f t="shared" si="50"/>
        <v>0.0</v>
      </c>
      <c r="AC96" s="1497" t="str">
        <f t="shared" si="30"/>
        <v/>
      </c>
      <c r="AD96" s="1494" t="str">
        <f t="shared" si="31"/>
        <v/>
      </c>
      <c r="AE96" s="1495" t="str">
        <f t="shared" si="32"/>
        <v/>
      </c>
      <c r="AF96" s="1495" t="str">
        <f t="shared" si="33"/>
        <v/>
      </c>
      <c r="AG96" s="1508"/>
      <c r="AH96" s="1508"/>
      <c r="AI96" s="1496">
        <f t="shared" si="51"/>
        <v>0.0</v>
      </c>
      <c r="AJ96" s="1496">
        <f>IF(OR(W96=0,AF96=0),0,IF(AN96="OLD TAX REGIME",AS96,AY96))</f>
        <v>0.0</v>
      </c>
      <c r="AK96" s="1496">
        <f>IF(OR(W96=0,AF96=0),0,IF(AN96="OLD TAX REGIME",AT96,AZ96))</f>
        <v>0.0</v>
      </c>
      <c r="AL96" s="1496" t="e">
        <f>IF(OR(W96=0,AF96=0),0,IF(AN96="OLD TAX REGIME",AU96,BA96))</f>
        <v>#VALUE!</v>
      </c>
      <c r="AM96" s="1497" t="e">
        <f t="shared" si="52"/>
        <v>#VALUE!</v>
      </c>
      <c r="AN96" s="1499" t="str">
        <f t="shared" si="34"/>
        <v/>
      </c>
      <c r="AO96" s="1500">
        <f t="shared" si="35"/>
        <v>0.0</v>
      </c>
      <c r="AP96" s="1509">
        <f t="shared" si="36"/>
        <v>0.0</v>
      </c>
      <c r="AQ96" s="1502">
        <f t="shared" si="53"/>
        <v>0.0</v>
      </c>
      <c r="AR96" s="1419"/>
      <c r="AS96" s="1501">
        <f>IF($AG$7="INCOME TAX DEDUCT FROM SALARY TILL JAN  2025",0,IF(W96&lt;=12500,0,IF(AI96&gt;W96,0,ROUNDUP((W96-AI96)/3,-3))))</f>
        <v>0.0</v>
      </c>
      <c r="AT96" s="1501">
        <f>IF($AG$7="INCOME TAX DEDUCT FROM SALARY TILL JAN  2025",0,IF(W96&lt;=12500,0,IF(AI96&gt;V96,0,ROUNDUP((W96-AI96)/3,-3))))</f>
        <v>0.0</v>
      </c>
      <c r="AU96" s="1501" t="e">
        <f>IF($AG$7="INCOME TAX DEDUCT FROM SALARY TILL JAN  2025",ROUNDUP((V96-AI96),-3),IF(V96&lt;=12500,0,IF(AI96&gt;V96,0,ROUNDUP((V96-AI96)/3,-3))))</f>
        <v>#VALUE!</v>
      </c>
      <c r="AV96" s="1503" t="e">
        <f t="shared" si="54"/>
        <v>#VALUE!</v>
      </c>
      <c r="AW96" s="1503" t="e">
        <f>AV96+AI96</f>
        <v>#VALUE!</v>
      </c>
      <c r="AX96" s="1501" t="e">
        <f>AW96-W96</f>
        <v>#VALUE!</v>
      </c>
      <c r="AY96" s="1501">
        <f>IF($AG$7="INCOME TAX DEDUCT FROM SALARY TILL JAN  2025",0,IF(AF96&lt;=12500,0,IF(AI96&gt;AF96,0,ROUNDUP((AF96-AI96)/3,-3))))</f>
        <v>0.0</v>
      </c>
      <c r="AZ96" s="1501">
        <f>IF($AG$7="INCOME TAX DEDUCT FROM SALARY TILL JAN  2025",0,IF(AF96&lt;=12500,0,IF(AI96&gt;AF96,0,ROUNDUP((AF96-AI96)/3,-3))))</f>
        <v>0.0</v>
      </c>
      <c r="BA96" s="1501" t="e">
        <f>IF($AG$7="INCOME TAX DEDUCT FROM SALARY TILL JAN  2025",ROUNDUP((AF96-AI96),-3),IF(AF96&lt;=12500,0,IF(AI96&gt;AF96,0,ROUNDUP((AF96-AI96)/3,-3))))</f>
        <v>#VALUE!</v>
      </c>
      <c r="BB96" s="1503" t="e">
        <f t="shared" si="55"/>
        <v>#VALUE!</v>
      </c>
      <c r="BC96" s="1503" t="e">
        <f>BB96+AI96</f>
        <v>#VALUE!</v>
      </c>
      <c r="BD96" s="1501" t="e">
        <f>BC96-AF96</f>
        <v>#VALUE!</v>
      </c>
      <c r="BE96" s="1504"/>
      <c r="BF96" s="1504"/>
      <c r="BG96" s="1504"/>
    </row>
    <row r="97" spans="8:8" ht="13.5" customHeight="1">
      <c r="B97" s="1488">
        <f t="shared" si="37"/>
        <v>0.0</v>
      </c>
      <c r="C97" s="1488">
        <f t="shared" si="28"/>
        <v>0.0</v>
      </c>
      <c r="D97" s="1489"/>
      <c r="E97" s="1505"/>
      <c r="F97" s="1506"/>
      <c r="G97" s="1506"/>
      <c r="H97" s="1507"/>
      <c r="I97" s="1492"/>
      <c r="J97" s="1507"/>
      <c r="K97" s="1507"/>
      <c r="L97" s="1507"/>
      <c r="M97" s="1507"/>
      <c r="N97" s="1492">
        <v>0.0</v>
      </c>
      <c r="O97" s="1493">
        <f t="shared" si="38"/>
        <v>-50000.0</v>
      </c>
      <c r="P97" s="1493">
        <f t="shared" si="39"/>
        <v>-75000.0</v>
      </c>
      <c r="Q97" s="1494">
        <f t="shared" si="40"/>
        <v>0.0</v>
      </c>
      <c r="R97" s="1494">
        <f t="shared" si="41"/>
        <v>0.0</v>
      </c>
      <c r="S97" s="1494">
        <f t="shared" si="42"/>
        <v>0.0</v>
      </c>
      <c r="T97" s="1493" t="str">
        <f t="shared" si="29"/>
        <v/>
      </c>
      <c r="U97" s="1494" t="str">
        <f t="shared" si="43"/>
        <v/>
      </c>
      <c r="V97" s="1495" t="str">
        <f t="shared" si="44"/>
        <v/>
      </c>
      <c r="W97" s="1495" t="str">
        <f t="shared" si="45"/>
        <v/>
      </c>
      <c r="X97" s="1494">
        <f t="shared" si="46"/>
        <v>0.0</v>
      </c>
      <c r="Y97" s="1494">
        <f t="shared" si="47"/>
        <v>0.0</v>
      </c>
      <c r="Z97" s="1494">
        <f t="shared" si="48"/>
        <v>0.0</v>
      </c>
      <c r="AA97" s="1494">
        <f t="shared" si="49"/>
        <v>0.0</v>
      </c>
      <c r="AB97" s="1496">
        <f t="shared" si="50"/>
        <v>0.0</v>
      </c>
      <c r="AC97" s="1497" t="str">
        <f t="shared" si="30"/>
        <v/>
      </c>
      <c r="AD97" s="1494" t="str">
        <f t="shared" si="31"/>
        <v/>
      </c>
      <c r="AE97" s="1495" t="str">
        <f t="shared" si="32"/>
        <v/>
      </c>
      <c r="AF97" s="1495" t="str">
        <f t="shared" si="33"/>
        <v/>
      </c>
      <c r="AG97" s="1508"/>
      <c r="AH97" s="1508"/>
      <c r="AI97" s="1496">
        <f t="shared" si="51"/>
        <v>0.0</v>
      </c>
      <c r="AJ97" s="1496">
        <f>IF(OR(W97=0,AF97=0),0,IF(AN97="OLD TAX REGIME",AS97,AY97))</f>
        <v>0.0</v>
      </c>
      <c r="AK97" s="1496">
        <f>IF(OR(W97=0,AF97=0),0,IF(AN97="OLD TAX REGIME",AT97,AZ97))</f>
        <v>0.0</v>
      </c>
      <c r="AL97" s="1496" t="e">
        <f>IF(OR(W97=0,AF97=0),0,IF(AN97="OLD TAX REGIME",AU97,BA97))</f>
        <v>#VALUE!</v>
      </c>
      <c r="AM97" s="1497" t="e">
        <f t="shared" si="52"/>
        <v>#VALUE!</v>
      </c>
      <c r="AN97" s="1499" t="str">
        <f t="shared" si="34"/>
        <v/>
      </c>
      <c r="AO97" s="1500">
        <f t="shared" si="35"/>
        <v>0.0</v>
      </c>
      <c r="AP97" s="1509">
        <f t="shared" si="36"/>
        <v>0.0</v>
      </c>
      <c r="AQ97" s="1502">
        <f t="shared" si="53"/>
        <v>0.0</v>
      </c>
      <c r="AR97" s="1419"/>
      <c r="AS97" s="1501">
        <f>IF($AG$7="INCOME TAX DEDUCT FROM SALARY TILL JAN  2025",0,IF(W97&lt;=12500,0,IF(AI97&gt;W97,0,ROUNDUP((W97-AI97)/3,-3))))</f>
        <v>0.0</v>
      </c>
      <c r="AT97" s="1501">
        <f>IF($AG$7="INCOME TAX DEDUCT FROM SALARY TILL JAN  2025",0,IF(W97&lt;=12500,0,IF(AI97&gt;V97,0,ROUNDUP((W97-AI97)/3,-3))))</f>
        <v>0.0</v>
      </c>
      <c r="AU97" s="1501" t="e">
        <f>IF($AG$7="INCOME TAX DEDUCT FROM SALARY TILL JAN  2025",ROUNDUP((V97-AI97),-3),IF(V97&lt;=12500,0,IF(AI97&gt;V97,0,ROUNDUP((V97-AI97)/3,-3))))</f>
        <v>#VALUE!</v>
      </c>
      <c r="AV97" s="1503" t="e">
        <f t="shared" si="54"/>
        <v>#VALUE!</v>
      </c>
      <c r="AW97" s="1503" t="e">
        <f>AV97+AI97</f>
        <v>#VALUE!</v>
      </c>
      <c r="AX97" s="1501" t="e">
        <f>AW97-W97</f>
        <v>#VALUE!</v>
      </c>
      <c r="AY97" s="1501">
        <f>IF($AG$7="INCOME TAX DEDUCT FROM SALARY TILL JAN  2025",0,IF(AF97&lt;=12500,0,IF(AI97&gt;AF97,0,ROUNDUP((AF97-AI97)/3,-3))))</f>
        <v>0.0</v>
      </c>
      <c r="AZ97" s="1501">
        <f>IF($AG$7="INCOME TAX DEDUCT FROM SALARY TILL JAN  2025",0,IF(AF97&lt;=12500,0,IF(AI97&gt;AF97,0,ROUNDUP((AF97-AI97)/3,-3))))</f>
        <v>0.0</v>
      </c>
      <c r="BA97" s="1501" t="e">
        <f>IF($AG$7="INCOME TAX DEDUCT FROM SALARY TILL JAN  2025",ROUNDUP((AF97-AI97),-3),IF(AF97&lt;=12500,0,IF(AI97&gt;AF97,0,ROUNDUP((AF97-AI97)/3,-3))))</f>
        <v>#VALUE!</v>
      </c>
      <c r="BB97" s="1503" t="e">
        <f t="shared" si="55"/>
        <v>#VALUE!</v>
      </c>
      <c r="BC97" s="1503" t="e">
        <f>BB97+AI97</f>
        <v>#VALUE!</v>
      </c>
      <c r="BD97" s="1501" t="e">
        <f>BC97-AF97</f>
        <v>#VALUE!</v>
      </c>
      <c r="BE97" s="1504"/>
      <c r="BF97" s="1504"/>
      <c r="BG97" s="1504"/>
    </row>
    <row r="98" spans="8:8" ht="13.5" customHeight="1">
      <c r="B98" s="1488">
        <f t="shared" si="37"/>
        <v>0.0</v>
      </c>
      <c r="C98" s="1488">
        <f t="shared" si="28"/>
        <v>0.0</v>
      </c>
      <c r="D98" s="1489"/>
      <c r="E98" s="1505"/>
      <c r="F98" s="1506"/>
      <c r="G98" s="1506"/>
      <c r="H98" s="1507"/>
      <c r="I98" s="1492"/>
      <c r="J98" s="1507"/>
      <c r="K98" s="1507"/>
      <c r="L98" s="1507"/>
      <c r="M98" s="1507"/>
      <c r="N98" s="1492">
        <v>0.0</v>
      </c>
      <c r="O98" s="1493">
        <f t="shared" si="38"/>
        <v>-50000.0</v>
      </c>
      <c r="P98" s="1493">
        <f t="shared" si="39"/>
        <v>-75000.0</v>
      </c>
      <c r="Q98" s="1494">
        <f t="shared" si="40"/>
        <v>0.0</v>
      </c>
      <c r="R98" s="1494">
        <f t="shared" si="41"/>
        <v>0.0</v>
      </c>
      <c r="S98" s="1494">
        <f t="shared" si="42"/>
        <v>0.0</v>
      </c>
      <c r="T98" s="1493" t="str">
        <f t="shared" si="29"/>
        <v/>
      </c>
      <c r="U98" s="1494" t="str">
        <f t="shared" si="43"/>
        <v/>
      </c>
      <c r="V98" s="1495" t="str">
        <f t="shared" si="44"/>
        <v/>
      </c>
      <c r="W98" s="1495" t="str">
        <f t="shared" si="45"/>
        <v/>
      </c>
      <c r="X98" s="1494">
        <f t="shared" si="46"/>
        <v>0.0</v>
      </c>
      <c r="Y98" s="1494">
        <f t="shared" si="47"/>
        <v>0.0</v>
      </c>
      <c r="Z98" s="1494">
        <f t="shared" si="48"/>
        <v>0.0</v>
      </c>
      <c r="AA98" s="1494">
        <f t="shared" si="49"/>
        <v>0.0</v>
      </c>
      <c r="AB98" s="1496">
        <f t="shared" si="50"/>
        <v>0.0</v>
      </c>
      <c r="AC98" s="1497" t="str">
        <f t="shared" si="30"/>
        <v/>
      </c>
      <c r="AD98" s="1494" t="str">
        <f t="shared" si="31"/>
        <v/>
      </c>
      <c r="AE98" s="1495" t="str">
        <f t="shared" si="32"/>
        <v/>
      </c>
      <c r="AF98" s="1495" t="str">
        <f t="shared" si="33"/>
        <v/>
      </c>
      <c r="AG98" s="1508"/>
      <c r="AH98" s="1508"/>
      <c r="AI98" s="1496">
        <f t="shared" si="51"/>
        <v>0.0</v>
      </c>
      <c r="AJ98" s="1496">
        <f>IF(OR(W98=0,AF98=0),0,IF(AN98="OLD TAX REGIME",AS98,AY98))</f>
        <v>0.0</v>
      </c>
      <c r="AK98" s="1496">
        <f>IF(OR(W98=0,AF98=0),0,IF(AN98="OLD TAX REGIME",AT98,AZ98))</f>
        <v>0.0</v>
      </c>
      <c r="AL98" s="1496" t="e">
        <f>IF(OR(W98=0,AF98=0),0,IF(AN98="OLD TAX REGIME",AU98,BA98))</f>
        <v>#VALUE!</v>
      </c>
      <c r="AM98" s="1497" t="e">
        <f t="shared" si="52"/>
        <v>#VALUE!</v>
      </c>
      <c r="AN98" s="1499" t="str">
        <f t="shared" si="34"/>
        <v/>
      </c>
      <c r="AO98" s="1500">
        <f t="shared" si="35"/>
        <v>0.0</v>
      </c>
      <c r="AP98" s="1509">
        <f t="shared" si="36"/>
        <v>0.0</v>
      </c>
      <c r="AQ98" s="1502">
        <f t="shared" si="53"/>
        <v>0.0</v>
      </c>
      <c r="AR98" s="1419"/>
      <c r="AS98" s="1501">
        <f>IF($AG$7="INCOME TAX DEDUCT FROM SALARY TILL JAN  2025",0,IF(W98&lt;=12500,0,IF(AI98&gt;W98,0,ROUNDUP((W98-AI98)/3,-3))))</f>
        <v>0.0</v>
      </c>
      <c r="AT98" s="1501">
        <f>IF($AG$7="INCOME TAX DEDUCT FROM SALARY TILL JAN  2025",0,IF(W98&lt;=12500,0,IF(AI98&gt;V98,0,ROUNDUP((W98-AI98)/3,-3))))</f>
        <v>0.0</v>
      </c>
      <c r="AU98" s="1501" t="e">
        <f>IF($AG$7="INCOME TAX DEDUCT FROM SALARY TILL JAN  2025",ROUNDUP((V98-AI98),-3),IF(V98&lt;=12500,0,IF(AI98&gt;V98,0,ROUNDUP((V98-AI98)/3,-3))))</f>
        <v>#VALUE!</v>
      </c>
      <c r="AV98" s="1503" t="e">
        <f t="shared" si="54"/>
        <v>#VALUE!</v>
      </c>
      <c r="AW98" s="1503" t="e">
        <f>AV98+AI98</f>
        <v>#VALUE!</v>
      </c>
      <c r="AX98" s="1501" t="e">
        <f>AW98-W98</f>
        <v>#VALUE!</v>
      </c>
      <c r="AY98" s="1501">
        <f>IF($AG$7="INCOME TAX DEDUCT FROM SALARY TILL JAN  2025",0,IF(AF98&lt;=12500,0,IF(AI98&gt;AF98,0,ROUNDUP((AF98-AI98)/3,-3))))</f>
        <v>0.0</v>
      </c>
      <c r="AZ98" s="1501">
        <f>IF($AG$7="INCOME TAX DEDUCT FROM SALARY TILL JAN  2025",0,IF(AF98&lt;=12500,0,IF(AI98&gt;AF98,0,ROUNDUP((AF98-AI98)/3,-3))))</f>
        <v>0.0</v>
      </c>
      <c r="BA98" s="1501" t="e">
        <f>IF($AG$7="INCOME TAX DEDUCT FROM SALARY TILL JAN  2025",ROUNDUP((AF98-AI98),-3),IF(AF98&lt;=12500,0,IF(AI98&gt;AF98,0,ROUNDUP((AF98-AI98)/3,-3))))</f>
        <v>#VALUE!</v>
      </c>
      <c r="BB98" s="1503" t="e">
        <f t="shared" si="55"/>
        <v>#VALUE!</v>
      </c>
      <c r="BC98" s="1503" t="e">
        <f>BB98+AI98</f>
        <v>#VALUE!</v>
      </c>
      <c r="BD98" s="1501" t="e">
        <f>BC98-AF98</f>
        <v>#VALUE!</v>
      </c>
      <c r="BE98" s="1504"/>
      <c r="BF98" s="1504"/>
      <c r="BG98" s="1504"/>
    </row>
    <row r="99" spans="8:8" ht="13.5" customHeight="1">
      <c r="B99" s="1488">
        <f t="shared" si="37"/>
        <v>0.0</v>
      </c>
      <c r="C99" s="1488">
        <f t="shared" si="28"/>
        <v>0.0</v>
      </c>
      <c r="D99" s="1489"/>
      <c r="E99" s="1505"/>
      <c r="F99" s="1506"/>
      <c r="G99" s="1506"/>
      <c r="H99" s="1507"/>
      <c r="I99" s="1492"/>
      <c r="J99" s="1507"/>
      <c r="K99" s="1507"/>
      <c r="L99" s="1507"/>
      <c r="M99" s="1507"/>
      <c r="N99" s="1492">
        <v>0.0</v>
      </c>
      <c r="O99" s="1493">
        <f t="shared" si="38"/>
        <v>-50000.0</v>
      </c>
      <c r="P99" s="1493">
        <f t="shared" si="39"/>
        <v>-75000.0</v>
      </c>
      <c r="Q99" s="1494">
        <f t="shared" si="40"/>
        <v>0.0</v>
      </c>
      <c r="R99" s="1494">
        <f t="shared" si="41"/>
        <v>0.0</v>
      </c>
      <c r="S99" s="1494">
        <f t="shared" si="42"/>
        <v>0.0</v>
      </c>
      <c r="T99" s="1493" t="str">
        <f t="shared" si="29"/>
        <v/>
      </c>
      <c r="U99" s="1494" t="str">
        <f t="shared" si="43"/>
        <v/>
      </c>
      <c r="V99" s="1495" t="str">
        <f t="shared" si="44"/>
        <v/>
      </c>
      <c r="W99" s="1495" t="str">
        <f t="shared" si="45"/>
        <v/>
      </c>
      <c r="X99" s="1494">
        <f t="shared" si="46"/>
        <v>0.0</v>
      </c>
      <c r="Y99" s="1494">
        <f t="shared" si="47"/>
        <v>0.0</v>
      </c>
      <c r="Z99" s="1494">
        <f t="shared" si="48"/>
        <v>0.0</v>
      </c>
      <c r="AA99" s="1494">
        <f t="shared" si="49"/>
        <v>0.0</v>
      </c>
      <c r="AB99" s="1496">
        <f t="shared" si="50"/>
        <v>0.0</v>
      </c>
      <c r="AC99" s="1497" t="str">
        <f t="shared" si="30"/>
        <v/>
      </c>
      <c r="AD99" s="1494" t="str">
        <f t="shared" si="31"/>
        <v/>
      </c>
      <c r="AE99" s="1495" t="str">
        <f t="shared" si="32"/>
        <v/>
      </c>
      <c r="AF99" s="1495" t="str">
        <f t="shared" si="33"/>
        <v/>
      </c>
      <c r="AG99" s="1508"/>
      <c r="AH99" s="1508"/>
      <c r="AI99" s="1496">
        <f t="shared" si="51"/>
        <v>0.0</v>
      </c>
      <c r="AJ99" s="1496">
        <f>IF(OR(W99=0,AF99=0),0,IF(AN99="OLD TAX REGIME",AS99,AY99))</f>
        <v>0.0</v>
      </c>
      <c r="AK99" s="1496">
        <f>IF(OR(W99=0,AF99=0),0,IF(AN99="OLD TAX REGIME",AT99,AZ99))</f>
        <v>0.0</v>
      </c>
      <c r="AL99" s="1496" t="e">
        <f>IF(OR(W99=0,AF99=0),0,IF(AN99="OLD TAX REGIME",AU99,BA99))</f>
        <v>#VALUE!</v>
      </c>
      <c r="AM99" s="1497" t="e">
        <f t="shared" si="52"/>
        <v>#VALUE!</v>
      </c>
      <c r="AN99" s="1499" t="str">
        <f t="shared" si="34"/>
        <v/>
      </c>
      <c r="AO99" s="1500">
        <f t="shared" si="35"/>
        <v>0.0</v>
      </c>
      <c r="AP99" s="1509">
        <f t="shared" si="36"/>
        <v>0.0</v>
      </c>
      <c r="AQ99" s="1502">
        <f t="shared" si="53"/>
        <v>0.0</v>
      </c>
      <c r="AR99" s="1419"/>
      <c r="AS99" s="1501">
        <f>IF($AG$7="INCOME TAX DEDUCT FROM SALARY TILL JAN  2025",0,IF(W99&lt;=12500,0,IF(AI99&gt;W99,0,ROUNDUP((W99-AI99)/3,-3))))</f>
        <v>0.0</v>
      </c>
      <c r="AT99" s="1501">
        <f>IF($AG$7="INCOME TAX DEDUCT FROM SALARY TILL JAN  2025",0,IF(W99&lt;=12500,0,IF(AI99&gt;V99,0,ROUNDUP((W99-AI99)/3,-3))))</f>
        <v>0.0</v>
      </c>
      <c r="AU99" s="1501" t="e">
        <f>IF($AG$7="INCOME TAX DEDUCT FROM SALARY TILL JAN  2025",ROUNDUP((V99-AI99),-3),IF(V99&lt;=12500,0,IF(AI99&gt;V99,0,ROUNDUP((V99-AI99)/3,-3))))</f>
        <v>#VALUE!</v>
      </c>
      <c r="AV99" s="1503" t="e">
        <f t="shared" si="54"/>
        <v>#VALUE!</v>
      </c>
      <c r="AW99" s="1503" t="e">
        <f>AV99+AI99</f>
        <v>#VALUE!</v>
      </c>
      <c r="AX99" s="1501" t="e">
        <f>AW99-W99</f>
        <v>#VALUE!</v>
      </c>
      <c r="AY99" s="1501">
        <f>IF($AG$7="INCOME TAX DEDUCT FROM SALARY TILL JAN  2025",0,IF(AF99&lt;=12500,0,IF(AI99&gt;AF99,0,ROUNDUP((AF99-AI99)/3,-3))))</f>
        <v>0.0</v>
      </c>
      <c r="AZ99" s="1501">
        <f>IF($AG$7="INCOME TAX DEDUCT FROM SALARY TILL JAN  2025",0,IF(AF99&lt;=12500,0,IF(AI99&gt;AF99,0,ROUNDUP((AF99-AI99)/3,-3))))</f>
        <v>0.0</v>
      </c>
      <c r="BA99" s="1501" t="e">
        <f>IF($AG$7="INCOME TAX DEDUCT FROM SALARY TILL JAN  2025",ROUNDUP((AF99-AI99),-3),IF(AF99&lt;=12500,0,IF(AI99&gt;AF99,0,ROUNDUP((AF99-AI99)/3,-3))))</f>
        <v>#VALUE!</v>
      </c>
      <c r="BB99" s="1503" t="e">
        <f t="shared" si="55"/>
        <v>#VALUE!</v>
      </c>
      <c r="BC99" s="1503" t="e">
        <f>BB99+AI99</f>
        <v>#VALUE!</v>
      </c>
      <c r="BD99" s="1501" t="e">
        <f>BC99-AF99</f>
        <v>#VALUE!</v>
      </c>
      <c r="BE99" s="1504"/>
      <c r="BF99" s="1504"/>
      <c r="BG99" s="1504"/>
    </row>
    <row r="100" spans="8:8" ht="13.5" customHeight="1">
      <c r="B100" s="1488">
        <f t="shared" si="37"/>
        <v>0.0</v>
      </c>
      <c r="C100" s="1488">
        <f t="shared" si="28"/>
        <v>0.0</v>
      </c>
      <c r="D100" s="1489"/>
      <c r="E100" s="1505"/>
      <c r="F100" s="1506"/>
      <c r="G100" s="1506"/>
      <c r="H100" s="1507"/>
      <c r="I100" s="1492"/>
      <c r="J100" s="1507"/>
      <c r="K100" s="1507"/>
      <c r="L100" s="1507"/>
      <c r="M100" s="1507"/>
      <c r="N100" s="1492">
        <v>0.0</v>
      </c>
      <c r="O100" s="1493">
        <f t="shared" si="38"/>
        <v>-50000.0</v>
      </c>
      <c r="P100" s="1493">
        <f t="shared" si="39"/>
        <v>-75000.0</v>
      </c>
      <c r="Q100" s="1494">
        <f t="shared" si="40"/>
        <v>0.0</v>
      </c>
      <c r="R100" s="1494">
        <f t="shared" si="41"/>
        <v>0.0</v>
      </c>
      <c r="S100" s="1494">
        <f t="shared" si="42"/>
        <v>0.0</v>
      </c>
      <c r="T100" s="1493" t="str">
        <f t="shared" si="29"/>
        <v/>
      </c>
      <c r="U100" s="1494" t="str">
        <f t="shared" si="43"/>
        <v/>
      </c>
      <c r="V100" s="1495" t="str">
        <f t="shared" si="44"/>
        <v/>
      </c>
      <c r="W100" s="1495" t="str">
        <f t="shared" si="45"/>
        <v/>
      </c>
      <c r="X100" s="1494">
        <f t="shared" si="46"/>
        <v>0.0</v>
      </c>
      <c r="Y100" s="1494">
        <f t="shared" si="47"/>
        <v>0.0</v>
      </c>
      <c r="Z100" s="1494">
        <f t="shared" si="48"/>
        <v>0.0</v>
      </c>
      <c r="AA100" s="1494">
        <f t="shared" si="49"/>
        <v>0.0</v>
      </c>
      <c r="AB100" s="1496">
        <f t="shared" si="50"/>
        <v>0.0</v>
      </c>
      <c r="AC100" s="1497" t="str">
        <f t="shared" si="30"/>
        <v/>
      </c>
      <c r="AD100" s="1494" t="str">
        <f t="shared" si="31"/>
        <v/>
      </c>
      <c r="AE100" s="1495" t="str">
        <f t="shared" si="32"/>
        <v/>
      </c>
      <c r="AF100" s="1495" t="str">
        <f t="shared" si="33"/>
        <v/>
      </c>
      <c r="AG100" s="1508"/>
      <c r="AH100" s="1508"/>
      <c r="AI100" s="1496">
        <f t="shared" si="51"/>
        <v>0.0</v>
      </c>
      <c r="AJ100" s="1496">
        <f>IF(OR(W100=0,AF100=0),0,IF(AN100="OLD TAX REGIME",AS100,AY100))</f>
        <v>0.0</v>
      </c>
      <c r="AK100" s="1496">
        <f>IF(OR(W100=0,AF100=0),0,IF(AN100="OLD TAX REGIME",AT100,AZ100))</f>
        <v>0.0</v>
      </c>
      <c r="AL100" s="1496" t="e">
        <f>IF(OR(W100=0,AF100=0),0,IF(AN100="OLD TAX REGIME",AU100,BA100))</f>
        <v>#VALUE!</v>
      </c>
      <c r="AM100" s="1497" t="e">
        <f t="shared" si="52"/>
        <v>#VALUE!</v>
      </c>
      <c r="AN100" s="1499" t="str">
        <f t="shared" si="34"/>
        <v/>
      </c>
      <c r="AO100" s="1500">
        <f t="shared" si="35"/>
        <v>0.0</v>
      </c>
      <c r="AP100" s="1509">
        <f t="shared" si="36"/>
        <v>0.0</v>
      </c>
      <c r="AQ100" s="1502">
        <f t="shared" si="53"/>
        <v>0.0</v>
      </c>
      <c r="AR100" s="1419"/>
      <c r="AS100" s="1501">
        <f>IF($AG$7="INCOME TAX DEDUCT FROM SALARY TILL JAN  2025",0,IF(W100&lt;=12500,0,IF(AI100&gt;W100,0,ROUNDUP((W100-AI100)/3,-3))))</f>
        <v>0.0</v>
      </c>
      <c r="AT100" s="1501">
        <f>IF($AG$7="INCOME TAX DEDUCT FROM SALARY TILL JAN  2025",0,IF(W100&lt;=12500,0,IF(AI100&gt;V100,0,ROUNDUP((W100-AI100)/3,-3))))</f>
        <v>0.0</v>
      </c>
      <c r="AU100" s="1501" t="e">
        <f>IF($AG$7="INCOME TAX DEDUCT FROM SALARY TILL JAN  2025",ROUNDUP((V100-AI100),-3),IF(V100&lt;=12500,0,IF(AI100&gt;V100,0,ROUNDUP((V100-AI100)/3,-3))))</f>
        <v>#VALUE!</v>
      </c>
      <c r="AV100" s="1503" t="e">
        <f t="shared" si="54"/>
        <v>#VALUE!</v>
      </c>
      <c r="AW100" s="1503" t="e">
        <f>AV100+AI100</f>
        <v>#VALUE!</v>
      </c>
      <c r="AX100" s="1501" t="e">
        <f>AW100-W100</f>
        <v>#VALUE!</v>
      </c>
      <c r="AY100" s="1501">
        <f>IF($AG$7="INCOME TAX DEDUCT FROM SALARY TILL JAN  2025",0,IF(AF100&lt;=12500,0,IF(AI100&gt;AF100,0,ROUNDUP((AF100-AI100)/3,-3))))</f>
        <v>0.0</v>
      </c>
      <c r="AZ100" s="1501">
        <f>IF($AG$7="INCOME TAX DEDUCT FROM SALARY TILL JAN  2025",0,IF(AF100&lt;=12500,0,IF(AI100&gt;AF100,0,ROUNDUP((AF100-AI100)/3,-3))))</f>
        <v>0.0</v>
      </c>
      <c r="BA100" s="1501" t="e">
        <f>IF($AG$7="INCOME TAX DEDUCT FROM SALARY TILL JAN  2025",ROUNDUP((AF100-AI100),-3),IF(AF100&lt;=12500,0,IF(AI100&gt;AF100,0,ROUNDUP((AF100-AI100)/3,-3))))</f>
        <v>#VALUE!</v>
      </c>
      <c r="BB100" s="1503" t="e">
        <f t="shared" si="55"/>
        <v>#VALUE!</v>
      </c>
      <c r="BC100" s="1503" t="e">
        <f>BB100+AI100</f>
        <v>#VALUE!</v>
      </c>
      <c r="BD100" s="1501" t="e">
        <f>BC100-AF100</f>
        <v>#VALUE!</v>
      </c>
      <c r="BE100" s="1504"/>
      <c r="BF100" s="1504"/>
      <c r="BG100" s="1504"/>
    </row>
    <row r="101" spans="8:8" ht="13.5" customHeight="1">
      <c r="B101" s="1488">
        <f t="shared" si="37"/>
        <v>0.0</v>
      </c>
      <c r="C101" s="1488">
        <f t="shared" si="28"/>
        <v>0.0</v>
      </c>
      <c r="D101" s="1489"/>
      <c r="E101" s="1505"/>
      <c r="F101" s="1506"/>
      <c r="G101" s="1506"/>
      <c r="H101" s="1507"/>
      <c r="I101" s="1492"/>
      <c r="J101" s="1507"/>
      <c r="K101" s="1507"/>
      <c r="L101" s="1507"/>
      <c r="M101" s="1507"/>
      <c r="N101" s="1492">
        <v>0.0</v>
      </c>
      <c r="O101" s="1493">
        <f t="shared" si="38"/>
        <v>-50000.0</v>
      </c>
      <c r="P101" s="1493">
        <f t="shared" si="39"/>
        <v>-75000.0</v>
      </c>
      <c r="Q101" s="1494">
        <f t="shared" si="40"/>
        <v>0.0</v>
      </c>
      <c r="R101" s="1494">
        <f t="shared" si="41"/>
        <v>0.0</v>
      </c>
      <c r="S101" s="1494">
        <f t="shared" si="42"/>
        <v>0.0</v>
      </c>
      <c r="T101" s="1493" t="str">
        <f t="shared" si="29"/>
        <v/>
      </c>
      <c r="U101" s="1494" t="str">
        <f t="shared" si="43"/>
        <v/>
      </c>
      <c r="V101" s="1495" t="str">
        <f t="shared" si="44"/>
        <v/>
      </c>
      <c r="W101" s="1495" t="str">
        <f t="shared" si="45"/>
        <v/>
      </c>
      <c r="X101" s="1494">
        <f t="shared" si="46"/>
        <v>0.0</v>
      </c>
      <c r="Y101" s="1494">
        <f t="shared" si="47"/>
        <v>0.0</v>
      </c>
      <c r="Z101" s="1494">
        <f t="shared" si="48"/>
        <v>0.0</v>
      </c>
      <c r="AA101" s="1494">
        <f t="shared" si="49"/>
        <v>0.0</v>
      </c>
      <c r="AB101" s="1496">
        <f t="shared" si="50"/>
        <v>0.0</v>
      </c>
      <c r="AC101" s="1497" t="str">
        <f t="shared" si="30"/>
        <v/>
      </c>
      <c r="AD101" s="1494" t="str">
        <f t="shared" si="31"/>
        <v/>
      </c>
      <c r="AE101" s="1495" t="str">
        <f t="shared" si="32"/>
        <v/>
      </c>
      <c r="AF101" s="1495" t="str">
        <f t="shared" si="33"/>
        <v/>
      </c>
      <c r="AG101" s="1508"/>
      <c r="AH101" s="1508"/>
      <c r="AI101" s="1496">
        <f t="shared" si="51"/>
        <v>0.0</v>
      </c>
      <c r="AJ101" s="1496">
        <f>IF(OR(W101=0,AF101=0),0,IF(AN101="OLD TAX REGIME",AS101,AY101))</f>
        <v>0.0</v>
      </c>
      <c r="AK101" s="1496">
        <f>IF(OR(W101=0,AF101=0),0,IF(AN101="OLD TAX REGIME",AT101,AZ101))</f>
        <v>0.0</v>
      </c>
      <c r="AL101" s="1496" t="e">
        <f>IF(OR(W101=0,AF101=0),0,IF(AN101="OLD TAX REGIME",AU101,BA101))</f>
        <v>#VALUE!</v>
      </c>
      <c r="AM101" s="1497" t="e">
        <f t="shared" si="52"/>
        <v>#VALUE!</v>
      </c>
      <c r="AN101" s="1499" t="str">
        <f t="shared" si="34"/>
        <v/>
      </c>
      <c r="AO101" s="1500">
        <f t="shared" si="35"/>
        <v>0.0</v>
      </c>
      <c r="AP101" s="1509">
        <f t="shared" si="36"/>
        <v>0.0</v>
      </c>
      <c r="AQ101" s="1502">
        <f t="shared" si="53"/>
        <v>0.0</v>
      </c>
      <c r="AR101" s="1419"/>
      <c r="AS101" s="1501">
        <f>IF($AG$7="INCOME TAX DEDUCT FROM SALARY TILL JAN  2025",0,IF(W101&lt;=12500,0,IF(AI101&gt;W101,0,ROUNDUP((W101-AI101)/3,-3))))</f>
        <v>0.0</v>
      </c>
      <c r="AT101" s="1501">
        <f>IF($AG$7="INCOME TAX DEDUCT FROM SALARY TILL JAN  2025",0,IF(W101&lt;=12500,0,IF(AI101&gt;V101,0,ROUNDUP((W101-AI101)/3,-3))))</f>
        <v>0.0</v>
      </c>
      <c r="AU101" s="1501" t="e">
        <f>IF($AG$7="INCOME TAX DEDUCT FROM SALARY TILL JAN  2025",ROUNDUP((V101-AI101),-3),IF(V101&lt;=12500,0,IF(AI101&gt;V101,0,ROUNDUP((V101-AI101)/3,-3))))</f>
        <v>#VALUE!</v>
      </c>
      <c r="AV101" s="1503" t="e">
        <f t="shared" si="54"/>
        <v>#VALUE!</v>
      </c>
      <c r="AW101" s="1503" t="e">
        <f>AV101+AI101</f>
        <v>#VALUE!</v>
      </c>
      <c r="AX101" s="1501" t="e">
        <f>AW101-W101</f>
        <v>#VALUE!</v>
      </c>
      <c r="AY101" s="1501">
        <f>IF($AG$7="INCOME TAX DEDUCT FROM SALARY TILL JAN  2025",0,IF(AF101&lt;=12500,0,IF(AI101&gt;AF101,0,ROUNDUP((AF101-AI101)/3,-3))))</f>
        <v>0.0</v>
      </c>
      <c r="AZ101" s="1501">
        <f>IF($AG$7="INCOME TAX DEDUCT FROM SALARY TILL JAN  2025",0,IF(AF101&lt;=12500,0,IF(AI101&gt;AF101,0,ROUNDUP((AF101-AI101)/3,-3))))</f>
        <v>0.0</v>
      </c>
      <c r="BA101" s="1501" t="e">
        <f>IF($AG$7="INCOME TAX DEDUCT FROM SALARY TILL JAN  2025",ROUNDUP((AF101-AI101),-3),IF(AF101&lt;=12500,0,IF(AI101&gt;AF101,0,ROUNDUP((AF101-AI101)/3,-3))))</f>
        <v>#VALUE!</v>
      </c>
      <c r="BB101" s="1503" t="e">
        <f t="shared" si="55"/>
        <v>#VALUE!</v>
      </c>
      <c r="BC101" s="1503" t="e">
        <f>BB101+AI101</f>
        <v>#VALUE!</v>
      </c>
      <c r="BD101" s="1501" t="e">
        <f>BC101-AF101</f>
        <v>#VALUE!</v>
      </c>
      <c r="BE101" s="1504"/>
      <c r="BF101" s="1504"/>
      <c r="BG101" s="1504"/>
    </row>
    <row r="102" spans="8:8" ht="13.5" customHeight="1">
      <c r="B102" s="1488">
        <f t="shared" si="37"/>
        <v>0.0</v>
      </c>
      <c r="C102" s="1488">
        <f t="shared" si="28"/>
        <v>0.0</v>
      </c>
      <c r="D102" s="1489"/>
      <c r="E102" s="1505"/>
      <c r="F102" s="1506"/>
      <c r="G102" s="1506"/>
      <c r="H102" s="1507"/>
      <c r="I102" s="1492"/>
      <c r="J102" s="1507"/>
      <c r="K102" s="1507"/>
      <c r="L102" s="1507"/>
      <c r="M102" s="1507"/>
      <c r="N102" s="1492">
        <v>0.0</v>
      </c>
      <c r="O102" s="1493">
        <f t="shared" si="38"/>
        <v>-50000.0</v>
      </c>
      <c r="P102" s="1493">
        <f t="shared" si="39"/>
        <v>-75000.0</v>
      </c>
      <c r="Q102" s="1494">
        <f t="shared" si="40"/>
        <v>0.0</v>
      </c>
      <c r="R102" s="1494">
        <f t="shared" si="41"/>
        <v>0.0</v>
      </c>
      <c r="S102" s="1494">
        <f t="shared" si="42"/>
        <v>0.0</v>
      </c>
      <c r="T102" s="1493" t="str">
        <f t="shared" si="29"/>
        <v/>
      </c>
      <c r="U102" s="1494" t="str">
        <f t="shared" si="43"/>
        <v/>
      </c>
      <c r="V102" s="1495" t="str">
        <f t="shared" si="44"/>
        <v/>
      </c>
      <c r="W102" s="1495" t="str">
        <f t="shared" si="45"/>
        <v/>
      </c>
      <c r="X102" s="1494">
        <f t="shared" si="46"/>
        <v>0.0</v>
      </c>
      <c r="Y102" s="1494">
        <f t="shared" si="47"/>
        <v>0.0</v>
      </c>
      <c r="Z102" s="1494">
        <f t="shared" si="48"/>
        <v>0.0</v>
      </c>
      <c r="AA102" s="1494">
        <f t="shared" si="49"/>
        <v>0.0</v>
      </c>
      <c r="AB102" s="1496">
        <f t="shared" si="50"/>
        <v>0.0</v>
      </c>
      <c r="AC102" s="1497" t="str">
        <f t="shared" si="30"/>
        <v/>
      </c>
      <c r="AD102" s="1494" t="str">
        <f t="shared" si="31"/>
        <v/>
      </c>
      <c r="AE102" s="1495" t="str">
        <f t="shared" si="32"/>
        <v/>
      </c>
      <c r="AF102" s="1495" t="str">
        <f t="shared" si="33"/>
        <v/>
      </c>
      <c r="AG102" s="1508"/>
      <c r="AH102" s="1508"/>
      <c r="AI102" s="1496">
        <f t="shared" si="51"/>
        <v>0.0</v>
      </c>
      <c r="AJ102" s="1496">
        <f>IF(OR(W102=0,AF102=0),0,IF(AN102="OLD TAX REGIME",AS102,AY102))</f>
        <v>0.0</v>
      </c>
      <c r="AK102" s="1496">
        <f>IF(OR(W102=0,AF102=0),0,IF(AN102="OLD TAX REGIME",AT102,AZ102))</f>
        <v>0.0</v>
      </c>
      <c r="AL102" s="1496" t="e">
        <f>IF(OR(W102=0,AF102=0),0,IF(AN102="OLD TAX REGIME",AU102,BA102))</f>
        <v>#VALUE!</v>
      </c>
      <c r="AM102" s="1497" t="e">
        <f t="shared" si="52"/>
        <v>#VALUE!</v>
      </c>
      <c r="AN102" s="1499" t="str">
        <f t="shared" si="34"/>
        <v/>
      </c>
      <c r="AO102" s="1500">
        <f t="shared" si="35"/>
        <v>0.0</v>
      </c>
      <c r="AP102" s="1509">
        <f t="shared" si="36"/>
        <v>0.0</v>
      </c>
      <c r="AQ102" s="1502">
        <f t="shared" si="53"/>
        <v>0.0</v>
      </c>
      <c r="AR102" s="1419"/>
      <c r="AS102" s="1501">
        <f>IF($AG$7="INCOME TAX DEDUCT FROM SALARY TILL JAN  2025",0,IF(W102&lt;=12500,0,IF(AI102&gt;W102,0,ROUNDUP((W102-AI102)/3,-3))))</f>
        <v>0.0</v>
      </c>
      <c r="AT102" s="1501">
        <f>IF($AG$7="INCOME TAX DEDUCT FROM SALARY TILL JAN  2025",0,IF(W102&lt;=12500,0,IF(AI102&gt;V102,0,ROUNDUP((W102-AI102)/3,-3))))</f>
        <v>0.0</v>
      </c>
      <c r="AU102" s="1501" t="e">
        <f>IF($AG$7="INCOME TAX DEDUCT FROM SALARY TILL JAN  2025",ROUNDUP((V102-AI102),-3),IF(V102&lt;=12500,0,IF(AI102&gt;V102,0,ROUNDUP((V102-AI102)/3,-3))))</f>
        <v>#VALUE!</v>
      </c>
      <c r="AV102" s="1503" t="e">
        <f t="shared" si="54"/>
        <v>#VALUE!</v>
      </c>
      <c r="AW102" s="1503" t="e">
        <f>AV102+AI102</f>
        <v>#VALUE!</v>
      </c>
      <c r="AX102" s="1501" t="e">
        <f>AW102-W102</f>
        <v>#VALUE!</v>
      </c>
      <c r="AY102" s="1501">
        <f>IF($AG$7="INCOME TAX DEDUCT FROM SALARY TILL JAN  2025",0,IF(AF102&lt;=12500,0,IF(AI102&gt;AF102,0,ROUNDUP((AF102-AI102)/3,-3))))</f>
        <v>0.0</v>
      </c>
      <c r="AZ102" s="1501">
        <f>IF($AG$7="INCOME TAX DEDUCT FROM SALARY TILL JAN  2025",0,IF(AF102&lt;=12500,0,IF(AI102&gt;AF102,0,ROUNDUP((AF102-AI102)/3,-3))))</f>
        <v>0.0</v>
      </c>
      <c r="BA102" s="1501" t="e">
        <f>IF($AG$7="INCOME TAX DEDUCT FROM SALARY TILL JAN  2025",ROUNDUP((AF102-AI102),-3),IF(AF102&lt;=12500,0,IF(AI102&gt;AF102,0,ROUNDUP((AF102-AI102)/3,-3))))</f>
        <v>#VALUE!</v>
      </c>
      <c r="BB102" s="1503" t="e">
        <f t="shared" si="55"/>
        <v>#VALUE!</v>
      </c>
      <c r="BC102" s="1503" t="e">
        <f>BB102+AI102</f>
        <v>#VALUE!</v>
      </c>
      <c r="BD102" s="1501" t="e">
        <f>BC102-AF102</f>
        <v>#VALUE!</v>
      </c>
      <c r="BE102" s="1504"/>
      <c r="BF102" s="1504"/>
      <c r="BG102" s="1504"/>
    </row>
    <row r="103" spans="8:8" ht="13.5" customHeight="1">
      <c r="B103" s="1488">
        <f t="shared" si="37"/>
        <v>0.0</v>
      </c>
      <c r="C103" s="1488">
        <f t="shared" si="28"/>
        <v>0.0</v>
      </c>
      <c r="D103" s="1489"/>
      <c r="E103" s="1505"/>
      <c r="F103" s="1506"/>
      <c r="G103" s="1506"/>
      <c r="H103" s="1507"/>
      <c r="I103" s="1492"/>
      <c r="J103" s="1507"/>
      <c r="K103" s="1507"/>
      <c r="L103" s="1507"/>
      <c r="M103" s="1507"/>
      <c r="N103" s="1492">
        <v>0.0</v>
      </c>
      <c r="O103" s="1493">
        <f t="shared" si="38"/>
        <v>-50000.0</v>
      </c>
      <c r="P103" s="1493">
        <f t="shared" si="39"/>
        <v>-75000.0</v>
      </c>
      <c r="Q103" s="1494">
        <f t="shared" si="40"/>
        <v>0.0</v>
      </c>
      <c r="R103" s="1494">
        <f t="shared" si="41"/>
        <v>0.0</v>
      </c>
      <c r="S103" s="1494">
        <f t="shared" si="42"/>
        <v>0.0</v>
      </c>
      <c r="T103" s="1493" t="str">
        <f t="shared" si="29"/>
        <v/>
      </c>
      <c r="U103" s="1494" t="str">
        <f t="shared" si="43"/>
        <v/>
      </c>
      <c r="V103" s="1495" t="str">
        <f t="shared" si="44"/>
        <v/>
      </c>
      <c r="W103" s="1495" t="str">
        <f t="shared" si="45"/>
        <v/>
      </c>
      <c r="X103" s="1494">
        <f t="shared" si="46"/>
        <v>0.0</v>
      </c>
      <c r="Y103" s="1494">
        <f t="shared" si="47"/>
        <v>0.0</v>
      </c>
      <c r="Z103" s="1494">
        <f t="shared" si="48"/>
        <v>0.0</v>
      </c>
      <c r="AA103" s="1494">
        <f t="shared" si="49"/>
        <v>0.0</v>
      </c>
      <c r="AB103" s="1496">
        <f t="shared" si="50"/>
        <v>0.0</v>
      </c>
      <c r="AC103" s="1497" t="str">
        <f t="shared" si="30"/>
        <v/>
      </c>
      <c r="AD103" s="1494" t="str">
        <f t="shared" si="31"/>
        <v/>
      </c>
      <c r="AE103" s="1495" t="str">
        <f t="shared" si="32"/>
        <v/>
      </c>
      <c r="AF103" s="1495" t="str">
        <f t="shared" si="33"/>
        <v/>
      </c>
      <c r="AG103" s="1508"/>
      <c r="AH103" s="1508"/>
      <c r="AI103" s="1496">
        <f t="shared" si="51"/>
        <v>0.0</v>
      </c>
      <c r="AJ103" s="1496">
        <f>IF(OR(W103=0,AF103=0),0,IF(AN103="OLD TAX REGIME",AS103,AY103))</f>
        <v>0.0</v>
      </c>
      <c r="AK103" s="1496">
        <f>IF(OR(W103=0,AF103=0),0,IF(AN103="OLD TAX REGIME",AT103,AZ103))</f>
        <v>0.0</v>
      </c>
      <c r="AL103" s="1496" t="e">
        <f>IF(OR(W103=0,AF103=0),0,IF(AN103="OLD TAX REGIME",AU103,BA103))</f>
        <v>#VALUE!</v>
      </c>
      <c r="AM103" s="1497" t="e">
        <f t="shared" si="52"/>
        <v>#VALUE!</v>
      </c>
      <c r="AN103" s="1499" t="str">
        <f t="shared" si="34"/>
        <v/>
      </c>
      <c r="AO103" s="1500">
        <f t="shared" si="35"/>
        <v>0.0</v>
      </c>
      <c r="AP103" s="1509">
        <f t="shared" si="36"/>
        <v>0.0</v>
      </c>
      <c r="AQ103" s="1502">
        <f t="shared" si="53"/>
        <v>0.0</v>
      </c>
      <c r="AR103" s="1419"/>
      <c r="AS103" s="1501">
        <f>IF($AG$7="INCOME TAX DEDUCT FROM SALARY TILL JAN  2025",0,IF(W103&lt;=12500,0,IF(AI103&gt;W103,0,ROUNDUP((W103-AI103)/3,-3))))</f>
        <v>0.0</v>
      </c>
      <c r="AT103" s="1501">
        <f>IF($AG$7="INCOME TAX DEDUCT FROM SALARY TILL JAN  2025",0,IF(W103&lt;=12500,0,IF(AI103&gt;V103,0,ROUNDUP((W103-AI103)/3,-3))))</f>
        <v>0.0</v>
      </c>
      <c r="AU103" s="1501" t="e">
        <f>IF($AG$7="INCOME TAX DEDUCT FROM SALARY TILL JAN  2025",ROUNDUP((V103-AI103),-3),IF(V103&lt;=12500,0,IF(AI103&gt;V103,0,ROUNDUP((V103-AI103)/3,-3))))</f>
        <v>#VALUE!</v>
      </c>
      <c r="AV103" s="1503" t="e">
        <f t="shared" si="54"/>
        <v>#VALUE!</v>
      </c>
      <c r="AW103" s="1503" t="e">
        <f>AV103+AI103</f>
        <v>#VALUE!</v>
      </c>
      <c r="AX103" s="1501" t="e">
        <f>AW103-W103</f>
        <v>#VALUE!</v>
      </c>
      <c r="AY103" s="1501">
        <f>IF($AG$7="INCOME TAX DEDUCT FROM SALARY TILL JAN  2025",0,IF(AF103&lt;=12500,0,IF(AI103&gt;AF103,0,ROUNDUP((AF103-AI103)/3,-3))))</f>
        <v>0.0</v>
      </c>
      <c r="AZ103" s="1501">
        <f>IF($AG$7="INCOME TAX DEDUCT FROM SALARY TILL JAN  2025",0,IF(AF103&lt;=12500,0,IF(AI103&gt;AF103,0,ROUNDUP((AF103-AI103)/3,-3))))</f>
        <v>0.0</v>
      </c>
      <c r="BA103" s="1501" t="e">
        <f>IF($AG$7="INCOME TAX DEDUCT FROM SALARY TILL JAN  2025",ROUNDUP((AF103-AI103),-3),IF(AF103&lt;=12500,0,IF(AI103&gt;AF103,0,ROUNDUP((AF103-AI103)/3,-3))))</f>
        <v>#VALUE!</v>
      </c>
      <c r="BB103" s="1503" t="e">
        <f t="shared" si="55"/>
        <v>#VALUE!</v>
      </c>
      <c r="BC103" s="1503" t="e">
        <f>BB103+AI103</f>
        <v>#VALUE!</v>
      </c>
      <c r="BD103" s="1501" t="e">
        <f>BC103-AF103</f>
        <v>#VALUE!</v>
      </c>
      <c r="BE103" s="1504"/>
      <c r="BF103" s="1504"/>
      <c r="BG103" s="1504"/>
    </row>
    <row r="104" spans="8:8" ht="13.5" customHeight="1">
      <c r="B104" s="1488">
        <f t="shared" si="37"/>
        <v>0.0</v>
      </c>
      <c r="C104" s="1488">
        <f t="shared" si="28"/>
        <v>0.0</v>
      </c>
      <c r="D104" s="1489"/>
      <c r="E104" s="1505"/>
      <c r="F104" s="1506"/>
      <c r="G104" s="1506"/>
      <c r="H104" s="1507"/>
      <c r="I104" s="1492"/>
      <c r="J104" s="1507"/>
      <c r="K104" s="1507"/>
      <c r="L104" s="1507"/>
      <c r="M104" s="1507"/>
      <c r="N104" s="1492">
        <v>0.0</v>
      </c>
      <c r="O104" s="1493">
        <f t="shared" si="38"/>
        <v>-50000.0</v>
      </c>
      <c r="P104" s="1493">
        <f t="shared" si="39"/>
        <v>-75000.0</v>
      </c>
      <c r="Q104" s="1494">
        <f t="shared" si="40"/>
        <v>0.0</v>
      </c>
      <c r="R104" s="1494">
        <f t="shared" si="41"/>
        <v>0.0</v>
      </c>
      <c r="S104" s="1494">
        <f t="shared" si="42"/>
        <v>0.0</v>
      </c>
      <c r="T104" s="1493" t="str">
        <f t="shared" si="29"/>
        <v/>
      </c>
      <c r="U104" s="1494" t="str">
        <f t="shared" si="43"/>
        <v/>
      </c>
      <c r="V104" s="1495" t="str">
        <f t="shared" si="44"/>
        <v/>
      </c>
      <c r="W104" s="1495" t="str">
        <f t="shared" si="45"/>
        <v/>
      </c>
      <c r="X104" s="1494">
        <f t="shared" si="46"/>
        <v>0.0</v>
      </c>
      <c r="Y104" s="1494">
        <f t="shared" si="47"/>
        <v>0.0</v>
      </c>
      <c r="Z104" s="1494">
        <f t="shared" si="48"/>
        <v>0.0</v>
      </c>
      <c r="AA104" s="1494">
        <f t="shared" si="49"/>
        <v>0.0</v>
      </c>
      <c r="AB104" s="1496">
        <f t="shared" si="50"/>
        <v>0.0</v>
      </c>
      <c r="AC104" s="1497" t="str">
        <f t="shared" si="30"/>
        <v/>
      </c>
      <c r="AD104" s="1494" t="str">
        <f t="shared" si="31"/>
        <v/>
      </c>
      <c r="AE104" s="1495" t="str">
        <f t="shared" si="32"/>
        <v/>
      </c>
      <c r="AF104" s="1495" t="str">
        <f t="shared" si="33"/>
        <v/>
      </c>
      <c r="AG104" s="1508"/>
      <c r="AH104" s="1508"/>
      <c r="AI104" s="1496">
        <f t="shared" si="51"/>
        <v>0.0</v>
      </c>
      <c r="AJ104" s="1496">
        <f>IF(OR(W104=0,AF104=0),0,IF(AN104="OLD TAX REGIME",AS104,AY104))</f>
        <v>0.0</v>
      </c>
      <c r="AK104" s="1496">
        <f>IF(OR(W104=0,AF104=0),0,IF(AN104="OLD TAX REGIME",AT104,AZ104))</f>
        <v>0.0</v>
      </c>
      <c r="AL104" s="1496" t="e">
        <f>IF(OR(W104=0,AF104=0),0,IF(AN104="OLD TAX REGIME",AU104,BA104))</f>
        <v>#VALUE!</v>
      </c>
      <c r="AM104" s="1497" t="e">
        <f t="shared" si="52"/>
        <v>#VALUE!</v>
      </c>
      <c r="AN104" s="1499" t="str">
        <f t="shared" si="34"/>
        <v/>
      </c>
      <c r="AO104" s="1500">
        <f t="shared" si="35"/>
        <v>0.0</v>
      </c>
      <c r="AP104" s="1509">
        <f t="shared" si="36"/>
        <v>0.0</v>
      </c>
      <c r="AQ104" s="1502">
        <f t="shared" si="53"/>
        <v>0.0</v>
      </c>
      <c r="AR104" s="1419"/>
      <c r="AS104" s="1501">
        <f>IF($AG$7="INCOME TAX DEDUCT FROM SALARY TILL JAN  2025",0,IF(W104&lt;=12500,0,IF(AI104&gt;W104,0,ROUNDUP((W104-AI104)/3,-3))))</f>
        <v>0.0</v>
      </c>
      <c r="AT104" s="1501">
        <f>IF($AG$7="INCOME TAX DEDUCT FROM SALARY TILL JAN  2025",0,IF(W104&lt;=12500,0,IF(AI104&gt;V104,0,ROUNDUP((W104-AI104)/3,-3))))</f>
        <v>0.0</v>
      </c>
      <c r="AU104" s="1501" t="e">
        <f>IF($AG$7="INCOME TAX DEDUCT FROM SALARY TILL JAN  2025",ROUNDUP((V104-AI104),-3),IF(V104&lt;=12500,0,IF(AI104&gt;V104,0,ROUNDUP((V104-AI104)/3,-3))))</f>
        <v>#VALUE!</v>
      </c>
      <c r="AV104" s="1503" t="e">
        <f t="shared" si="54"/>
        <v>#VALUE!</v>
      </c>
      <c r="AW104" s="1503" t="e">
        <f>AV104+AI104</f>
        <v>#VALUE!</v>
      </c>
      <c r="AX104" s="1501" t="e">
        <f>AW104-W104</f>
        <v>#VALUE!</v>
      </c>
      <c r="AY104" s="1501">
        <f>IF($AG$7="INCOME TAX DEDUCT FROM SALARY TILL JAN  2025",0,IF(AF104&lt;=12500,0,IF(AI104&gt;AF104,0,ROUNDUP((AF104-AI104)/3,-3))))</f>
        <v>0.0</v>
      </c>
      <c r="AZ104" s="1501">
        <f>IF($AG$7="INCOME TAX DEDUCT FROM SALARY TILL JAN  2025",0,IF(AF104&lt;=12500,0,IF(AI104&gt;AF104,0,ROUNDUP((AF104-AI104)/3,-3))))</f>
        <v>0.0</v>
      </c>
      <c r="BA104" s="1501" t="e">
        <f>IF($AG$7="INCOME TAX DEDUCT FROM SALARY TILL JAN  2025",ROUNDUP((AF104-AI104),-3),IF(AF104&lt;=12500,0,IF(AI104&gt;AF104,0,ROUNDUP((AF104-AI104)/3,-3))))</f>
        <v>#VALUE!</v>
      </c>
      <c r="BB104" s="1503" t="e">
        <f t="shared" si="55"/>
        <v>#VALUE!</v>
      </c>
      <c r="BC104" s="1503" t="e">
        <f>BB104+AI104</f>
        <v>#VALUE!</v>
      </c>
      <c r="BD104" s="1501" t="e">
        <f>BC104-AF104</f>
        <v>#VALUE!</v>
      </c>
      <c r="BE104" s="1504"/>
      <c r="BF104" s="1504"/>
      <c r="BG104" s="1504"/>
    </row>
    <row r="105" spans="8:8" ht="13.5" customHeight="1">
      <c r="B105" s="1488">
        <f t="shared" si="37"/>
        <v>0.0</v>
      </c>
      <c r="C105" s="1488">
        <f t="shared" si="28"/>
        <v>0.0</v>
      </c>
      <c r="D105" s="1489"/>
      <c r="E105" s="1505"/>
      <c r="F105" s="1506"/>
      <c r="G105" s="1506"/>
      <c r="H105" s="1507"/>
      <c r="I105" s="1492"/>
      <c r="J105" s="1507"/>
      <c r="K105" s="1507"/>
      <c r="L105" s="1507"/>
      <c r="M105" s="1507"/>
      <c r="N105" s="1492">
        <v>0.0</v>
      </c>
      <c r="O105" s="1493">
        <f t="shared" si="38"/>
        <v>-50000.0</v>
      </c>
      <c r="P105" s="1493">
        <f t="shared" si="39"/>
        <v>-75000.0</v>
      </c>
      <c r="Q105" s="1494">
        <f t="shared" si="40"/>
        <v>0.0</v>
      </c>
      <c r="R105" s="1494">
        <f t="shared" si="41"/>
        <v>0.0</v>
      </c>
      <c r="S105" s="1494">
        <f t="shared" si="42"/>
        <v>0.0</v>
      </c>
      <c r="T105" s="1493" t="str">
        <f t="shared" si="29"/>
        <v/>
      </c>
      <c r="U105" s="1494" t="str">
        <f t="shared" si="43"/>
        <v/>
      </c>
      <c r="V105" s="1495" t="str">
        <f t="shared" si="44"/>
        <v/>
      </c>
      <c r="W105" s="1495" t="str">
        <f t="shared" si="45"/>
        <v/>
      </c>
      <c r="X105" s="1494">
        <f t="shared" si="46"/>
        <v>0.0</v>
      </c>
      <c r="Y105" s="1494">
        <f t="shared" si="47"/>
        <v>0.0</v>
      </c>
      <c r="Z105" s="1494">
        <f t="shared" si="48"/>
        <v>0.0</v>
      </c>
      <c r="AA105" s="1494">
        <f t="shared" si="49"/>
        <v>0.0</v>
      </c>
      <c r="AB105" s="1496">
        <f t="shared" si="50"/>
        <v>0.0</v>
      </c>
      <c r="AC105" s="1497" t="str">
        <f t="shared" si="30"/>
        <v/>
      </c>
      <c r="AD105" s="1494" t="str">
        <f t="shared" si="31"/>
        <v/>
      </c>
      <c r="AE105" s="1495" t="str">
        <f t="shared" si="32"/>
        <v/>
      </c>
      <c r="AF105" s="1495" t="str">
        <f t="shared" si="33"/>
        <v/>
      </c>
      <c r="AG105" s="1508"/>
      <c r="AH105" s="1508"/>
      <c r="AI105" s="1496">
        <f t="shared" si="51"/>
        <v>0.0</v>
      </c>
      <c r="AJ105" s="1496">
        <f>IF(OR(W105=0,AF105=0),0,IF(AN105="OLD TAX REGIME",AS105,AY105))</f>
        <v>0.0</v>
      </c>
      <c r="AK105" s="1496">
        <f>IF(OR(W105=0,AF105=0),0,IF(AN105="OLD TAX REGIME",AT105,AZ105))</f>
        <v>0.0</v>
      </c>
      <c r="AL105" s="1496" t="e">
        <f>IF(OR(W105=0,AF105=0),0,IF(AN105="OLD TAX REGIME",AU105,BA105))</f>
        <v>#VALUE!</v>
      </c>
      <c r="AM105" s="1497" t="e">
        <f t="shared" si="52"/>
        <v>#VALUE!</v>
      </c>
      <c r="AN105" s="1499" t="str">
        <f t="shared" si="34"/>
        <v/>
      </c>
      <c r="AO105" s="1500">
        <f t="shared" si="35"/>
        <v>0.0</v>
      </c>
      <c r="AP105" s="1509">
        <f t="shared" si="36"/>
        <v>0.0</v>
      </c>
      <c r="AQ105" s="1502">
        <f t="shared" si="53"/>
        <v>0.0</v>
      </c>
      <c r="AR105" s="1419"/>
      <c r="AS105" s="1501">
        <f>IF($AG$7="INCOME TAX DEDUCT FROM SALARY TILL JAN  2025",0,IF(W105&lt;=12500,0,IF(AI105&gt;W105,0,ROUNDUP((W105-AI105)/3,-3))))</f>
        <v>0.0</v>
      </c>
      <c r="AT105" s="1501">
        <f>IF($AG$7="INCOME TAX DEDUCT FROM SALARY TILL JAN  2025",0,IF(W105&lt;=12500,0,IF(AI105&gt;V105,0,ROUNDUP((W105-AI105)/3,-3))))</f>
        <v>0.0</v>
      </c>
      <c r="AU105" s="1501" t="e">
        <f>IF($AG$7="INCOME TAX DEDUCT FROM SALARY TILL JAN  2025",ROUNDUP((V105-AI105),-3),IF(V105&lt;=12500,0,IF(AI105&gt;V105,0,ROUNDUP((V105-AI105)/3,-3))))</f>
        <v>#VALUE!</v>
      </c>
      <c r="AV105" s="1503" t="e">
        <f t="shared" si="54"/>
        <v>#VALUE!</v>
      </c>
      <c r="AW105" s="1503" t="e">
        <f>AV105+AI105</f>
        <v>#VALUE!</v>
      </c>
      <c r="AX105" s="1501" t="e">
        <f>AW105-W105</f>
        <v>#VALUE!</v>
      </c>
      <c r="AY105" s="1501">
        <f>IF($AG$7="INCOME TAX DEDUCT FROM SALARY TILL JAN  2025",0,IF(AF105&lt;=12500,0,IF(AI105&gt;AF105,0,ROUNDUP((AF105-AI105)/3,-3))))</f>
        <v>0.0</v>
      </c>
      <c r="AZ105" s="1501">
        <f>IF($AG$7="INCOME TAX DEDUCT FROM SALARY TILL JAN  2025",0,IF(AF105&lt;=12500,0,IF(AI105&gt;AF105,0,ROUNDUP((AF105-AI105)/3,-3))))</f>
        <v>0.0</v>
      </c>
      <c r="BA105" s="1501" t="e">
        <f>IF($AG$7="INCOME TAX DEDUCT FROM SALARY TILL JAN  2025",ROUNDUP((AF105-AI105),-3),IF(AF105&lt;=12500,0,IF(AI105&gt;AF105,0,ROUNDUP((AF105-AI105)/3,-3))))</f>
        <v>#VALUE!</v>
      </c>
      <c r="BB105" s="1503" t="e">
        <f t="shared" si="55"/>
        <v>#VALUE!</v>
      </c>
      <c r="BC105" s="1503" t="e">
        <f>BB105+AI105</f>
        <v>#VALUE!</v>
      </c>
      <c r="BD105" s="1501" t="e">
        <f>BC105-AF105</f>
        <v>#VALUE!</v>
      </c>
      <c r="BE105" s="1504"/>
      <c r="BF105" s="1504"/>
      <c r="BG105" s="1504"/>
    </row>
    <row r="106" spans="8:8" ht="13.5" customHeight="1">
      <c r="B106" s="1488">
        <f t="shared" si="37"/>
        <v>0.0</v>
      </c>
      <c r="C106" s="1488">
        <f t="shared" si="28"/>
        <v>0.0</v>
      </c>
      <c r="D106" s="1489"/>
      <c r="E106" s="1505"/>
      <c r="F106" s="1506"/>
      <c r="G106" s="1506"/>
      <c r="H106" s="1507"/>
      <c r="I106" s="1492"/>
      <c r="J106" s="1507"/>
      <c r="K106" s="1507"/>
      <c r="L106" s="1507"/>
      <c r="M106" s="1507"/>
      <c r="N106" s="1492">
        <v>0.0</v>
      </c>
      <c r="O106" s="1493">
        <f t="shared" si="38"/>
        <v>-50000.0</v>
      </c>
      <c r="P106" s="1493">
        <f t="shared" si="39"/>
        <v>-75000.0</v>
      </c>
      <c r="Q106" s="1494">
        <f t="shared" si="40"/>
        <v>0.0</v>
      </c>
      <c r="R106" s="1494">
        <f t="shared" si="41"/>
        <v>0.0</v>
      </c>
      <c r="S106" s="1494">
        <f t="shared" si="42"/>
        <v>0.0</v>
      </c>
      <c r="T106" s="1493" t="str">
        <f t="shared" si="29"/>
        <v/>
      </c>
      <c r="U106" s="1494" t="str">
        <f t="shared" si="43"/>
        <v/>
      </c>
      <c r="V106" s="1495" t="str">
        <f t="shared" si="44"/>
        <v/>
      </c>
      <c r="W106" s="1495" t="str">
        <f t="shared" si="45"/>
        <v/>
      </c>
      <c r="X106" s="1494">
        <f t="shared" si="46"/>
        <v>0.0</v>
      </c>
      <c r="Y106" s="1494">
        <f t="shared" si="47"/>
        <v>0.0</v>
      </c>
      <c r="Z106" s="1494">
        <f t="shared" si="48"/>
        <v>0.0</v>
      </c>
      <c r="AA106" s="1494">
        <f t="shared" si="49"/>
        <v>0.0</v>
      </c>
      <c r="AB106" s="1496">
        <f t="shared" si="50"/>
        <v>0.0</v>
      </c>
      <c r="AC106" s="1497" t="str">
        <f t="shared" si="30"/>
        <v/>
      </c>
      <c r="AD106" s="1494" t="str">
        <f t="shared" si="31"/>
        <v/>
      </c>
      <c r="AE106" s="1495" t="str">
        <f t="shared" si="32"/>
        <v/>
      </c>
      <c r="AF106" s="1495" t="str">
        <f t="shared" si="33"/>
        <v/>
      </c>
      <c r="AG106" s="1508"/>
      <c r="AH106" s="1508"/>
      <c r="AI106" s="1496">
        <f t="shared" si="51"/>
        <v>0.0</v>
      </c>
      <c r="AJ106" s="1496">
        <f>IF(OR(W106=0,AF106=0),0,IF(AN106="OLD TAX REGIME",AS106,AY106))</f>
        <v>0.0</v>
      </c>
      <c r="AK106" s="1496">
        <f>IF(OR(W106=0,AF106=0),0,IF(AN106="OLD TAX REGIME",AT106,AZ106))</f>
        <v>0.0</v>
      </c>
      <c r="AL106" s="1496" t="e">
        <f>IF(OR(W106=0,AF106=0),0,IF(AN106="OLD TAX REGIME",AU106,BA106))</f>
        <v>#VALUE!</v>
      </c>
      <c r="AM106" s="1497" t="e">
        <f t="shared" si="52"/>
        <v>#VALUE!</v>
      </c>
      <c r="AN106" s="1499" t="str">
        <f t="shared" si="34"/>
        <v/>
      </c>
      <c r="AO106" s="1500">
        <f t="shared" si="35"/>
        <v>0.0</v>
      </c>
      <c r="AP106" s="1509">
        <f t="shared" si="36"/>
        <v>0.0</v>
      </c>
      <c r="AQ106" s="1502">
        <f t="shared" si="53"/>
        <v>0.0</v>
      </c>
      <c r="AR106" s="1419"/>
      <c r="AS106" s="1501">
        <f>IF($AG$7="INCOME TAX DEDUCT FROM SALARY TILL JAN  2025",0,IF(W106&lt;=12500,0,IF(AI106&gt;W106,0,ROUNDUP((W106-AI106)/3,-3))))</f>
        <v>0.0</v>
      </c>
      <c r="AT106" s="1501">
        <f>IF($AG$7="INCOME TAX DEDUCT FROM SALARY TILL JAN  2025",0,IF(W106&lt;=12500,0,IF(AI106&gt;V106,0,ROUNDUP((W106-AI106)/3,-3))))</f>
        <v>0.0</v>
      </c>
      <c r="AU106" s="1501" t="e">
        <f>IF($AG$7="INCOME TAX DEDUCT FROM SALARY TILL JAN  2025",ROUNDUP((V106-AI106),-3),IF(V106&lt;=12500,0,IF(AI106&gt;V106,0,ROUNDUP((V106-AI106)/3,-3))))</f>
        <v>#VALUE!</v>
      </c>
      <c r="AV106" s="1503" t="e">
        <f t="shared" si="54"/>
        <v>#VALUE!</v>
      </c>
      <c r="AW106" s="1503" t="e">
        <f>AV106+AI106</f>
        <v>#VALUE!</v>
      </c>
      <c r="AX106" s="1501" t="e">
        <f>AW106-W106</f>
        <v>#VALUE!</v>
      </c>
      <c r="AY106" s="1501">
        <f>IF($AG$7="INCOME TAX DEDUCT FROM SALARY TILL JAN  2025",0,IF(AF106&lt;=12500,0,IF(AI106&gt;AF106,0,ROUNDUP((AF106-AI106)/3,-3))))</f>
        <v>0.0</v>
      </c>
      <c r="AZ106" s="1501">
        <f>IF($AG$7="INCOME TAX DEDUCT FROM SALARY TILL JAN  2025",0,IF(AF106&lt;=12500,0,IF(AI106&gt;AF106,0,ROUNDUP((AF106-AI106)/3,-3))))</f>
        <v>0.0</v>
      </c>
      <c r="BA106" s="1501" t="e">
        <f>IF($AG$7="INCOME TAX DEDUCT FROM SALARY TILL JAN  2025",ROUNDUP((AF106-AI106),-3),IF(AF106&lt;=12500,0,IF(AI106&gt;AF106,0,ROUNDUP((AF106-AI106)/3,-3))))</f>
        <v>#VALUE!</v>
      </c>
      <c r="BB106" s="1503" t="e">
        <f t="shared" si="55"/>
        <v>#VALUE!</v>
      </c>
      <c r="BC106" s="1503" t="e">
        <f>BB106+AI106</f>
        <v>#VALUE!</v>
      </c>
      <c r="BD106" s="1501" t="e">
        <f>BC106-AF106</f>
        <v>#VALUE!</v>
      </c>
      <c r="BE106" s="1504"/>
      <c r="BF106" s="1504"/>
      <c r="BG106" s="1504"/>
    </row>
    <row r="107" spans="8:8" ht="13.5" customHeight="1">
      <c r="B107" s="1488">
        <f t="shared" si="37"/>
        <v>0.0</v>
      </c>
      <c r="C107" s="1488">
        <f t="shared" si="28"/>
        <v>0.0</v>
      </c>
      <c r="D107" s="1489"/>
      <c r="E107" s="1505"/>
      <c r="F107" s="1506"/>
      <c r="G107" s="1506"/>
      <c r="H107" s="1507"/>
      <c r="I107" s="1492"/>
      <c r="J107" s="1507"/>
      <c r="K107" s="1507"/>
      <c r="L107" s="1507"/>
      <c r="M107" s="1507"/>
      <c r="N107" s="1492">
        <v>0.0</v>
      </c>
      <c r="O107" s="1493">
        <f t="shared" si="38"/>
        <v>-50000.0</v>
      </c>
      <c r="P107" s="1493">
        <f t="shared" si="39"/>
        <v>-75000.0</v>
      </c>
      <c r="Q107" s="1494">
        <f t="shared" si="40"/>
        <v>0.0</v>
      </c>
      <c r="R107" s="1494">
        <f t="shared" si="41"/>
        <v>0.0</v>
      </c>
      <c r="S107" s="1494">
        <f t="shared" si="42"/>
        <v>0.0</v>
      </c>
      <c r="T107" s="1493" t="str">
        <f t="shared" si="29"/>
        <v/>
      </c>
      <c r="U107" s="1494" t="str">
        <f t="shared" si="43"/>
        <v/>
      </c>
      <c r="V107" s="1495" t="str">
        <f t="shared" si="44"/>
        <v/>
      </c>
      <c r="W107" s="1495" t="str">
        <f t="shared" si="45"/>
        <v/>
      </c>
      <c r="X107" s="1494">
        <f t="shared" si="46"/>
        <v>0.0</v>
      </c>
      <c r="Y107" s="1494">
        <f t="shared" si="47"/>
        <v>0.0</v>
      </c>
      <c r="Z107" s="1494">
        <f t="shared" si="48"/>
        <v>0.0</v>
      </c>
      <c r="AA107" s="1494">
        <f t="shared" si="49"/>
        <v>0.0</v>
      </c>
      <c r="AB107" s="1496">
        <f t="shared" si="50"/>
        <v>0.0</v>
      </c>
      <c r="AC107" s="1497" t="str">
        <f t="shared" si="30"/>
        <v/>
      </c>
      <c r="AD107" s="1494" t="str">
        <f t="shared" si="31"/>
        <v/>
      </c>
      <c r="AE107" s="1495" t="str">
        <f t="shared" si="32"/>
        <v/>
      </c>
      <c r="AF107" s="1495" t="str">
        <f t="shared" si="33"/>
        <v/>
      </c>
      <c r="AG107" s="1508"/>
      <c r="AH107" s="1508"/>
      <c r="AI107" s="1496">
        <f t="shared" si="51"/>
        <v>0.0</v>
      </c>
      <c r="AJ107" s="1496">
        <f>IF(OR(W107=0,AF107=0),0,IF(AN107="OLD TAX REGIME",AS107,AY107))</f>
        <v>0.0</v>
      </c>
      <c r="AK107" s="1496">
        <f>IF(OR(W107=0,AF107=0),0,IF(AN107="OLD TAX REGIME",AT107,AZ107))</f>
        <v>0.0</v>
      </c>
      <c r="AL107" s="1496" t="e">
        <f>IF(OR(W107=0,AF107=0),0,IF(AN107="OLD TAX REGIME",AU107,BA107))</f>
        <v>#VALUE!</v>
      </c>
      <c r="AM107" s="1497" t="e">
        <f t="shared" si="52"/>
        <v>#VALUE!</v>
      </c>
      <c r="AN107" s="1499" t="str">
        <f t="shared" si="34"/>
        <v/>
      </c>
      <c r="AO107" s="1500">
        <f t="shared" si="35"/>
        <v>0.0</v>
      </c>
      <c r="AP107" s="1509">
        <f t="shared" si="36"/>
        <v>0.0</v>
      </c>
      <c r="AQ107" s="1502">
        <f t="shared" si="53"/>
        <v>0.0</v>
      </c>
      <c r="AR107" s="1419"/>
      <c r="AS107" s="1501">
        <f>IF($AG$7="INCOME TAX DEDUCT FROM SALARY TILL JAN  2025",0,IF(W107&lt;=12500,0,IF(AI107&gt;W107,0,ROUNDUP((W107-AI107)/3,-3))))</f>
        <v>0.0</v>
      </c>
      <c r="AT107" s="1501">
        <f>IF($AG$7="INCOME TAX DEDUCT FROM SALARY TILL JAN  2025",0,IF(W107&lt;=12500,0,IF(AI107&gt;V107,0,ROUNDUP((W107-AI107)/3,-3))))</f>
        <v>0.0</v>
      </c>
      <c r="AU107" s="1501" t="e">
        <f>IF($AG$7="INCOME TAX DEDUCT FROM SALARY TILL JAN  2025",ROUNDUP((V107-AI107),-3),IF(V107&lt;=12500,0,IF(AI107&gt;V107,0,ROUNDUP((V107-AI107)/3,-3))))</f>
        <v>#VALUE!</v>
      </c>
      <c r="AV107" s="1503" t="e">
        <f t="shared" si="54"/>
        <v>#VALUE!</v>
      </c>
      <c r="AW107" s="1503" t="e">
        <f>AV107+AI107</f>
        <v>#VALUE!</v>
      </c>
      <c r="AX107" s="1501" t="e">
        <f>AW107-W107</f>
        <v>#VALUE!</v>
      </c>
      <c r="AY107" s="1501">
        <f>IF($AG$7="INCOME TAX DEDUCT FROM SALARY TILL JAN  2025",0,IF(AF107&lt;=12500,0,IF(AI107&gt;AF107,0,ROUNDUP((AF107-AI107)/3,-3))))</f>
        <v>0.0</v>
      </c>
      <c r="AZ107" s="1501">
        <f>IF($AG$7="INCOME TAX DEDUCT FROM SALARY TILL JAN  2025",0,IF(AF107&lt;=12500,0,IF(AI107&gt;AF107,0,ROUNDUP((AF107-AI107)/3,-3))))</f>
        <v>0.0</v>
      </c>
      <c r="BA107" s="1501" t="e">
        <f>IF($AG$7="INCOME TAX DEDUCT FROM SALARY TILL JAN  2025",ROUNDUP((AF107-AI107),-3),IF(AF107&lt;=12500,0,IF(AI107&gt;AF107,0,ROUNDUP((AF107-AI107)/3,-3))))</f>
        <v>#VALUE!</v>
      </c>
      <c r="BB107" s="1503" t="e">
        <f t="shared" si="55"/>
        <v>#VALUE!</v>
      </c>
      <c r="BC107" s="1503" t="e">
        <f>BB107+AI107</f>
        <v>#VALUE!</v>
      </c>
      <c r="BD107" s="1501" t="e">
        <f>BC107-AF107</f>
        <v>#VALUE!</v>
      </c>
      <c r="BE107" s="1504"/>
      <c r="BF107" s="1504"/>
      <c r="BG107" s="1504"/>
    </row>
    <row r="108" spans="8:8" ht="13.5" customHeight="1">
      <c r="B108" s="1488">
        <f t="shared" si="37"/>
        <v>0.0</v>
      </c>
      <c r="C108" s="1488">
        <f t="shared" si="28"/>
        <v>0.0</v>
      </c>
      <c r="D108" s="1489"/>
      <c r="E108" s="1505"/>
      <c r="F108" s="1506"/>
      <c r="G108" s="1506"/>
      <c r="H108" s="1507"/>
      <c r="I108" s="1492"/>
      <c r="J108" s="1507"/>
      <c r="K108" s="1507"/>
      <c r="L108" s="1507"/>
      <c r="M108" s="1507"/>
      <c r="N108" s="1492">
        <v>0.0</v>
      </c>
      <c r="O108" s="1493">
        <f t="shared" si="38"/>
        <v>-50000.0</v>
      </c>
      <c r="P108" s="1493">
        <f t="shared" si="39"/>
        <v>-75000.0</v>
      </c>
      <c r="Q108" s="1494">
        <f t="shared" si="40"/>
        <v>0.0</v>
      </c>
      <c r="R108" s="1494">
        <f t="shared" si="41"/>
        <v>0.0</v>
      </c>
      <c r="S108" s="1494">
        <f t="shared" si="42"/>
        <v>0.0</v>
      </c>
      <c r="T108" s="1493" t="str">
        <f t="shared" si="29"/>
        <v/>
      </c>
      <c r="U108" s="1494" t="str">
        <f t="shared" si="43"/>
        <v/>
      </c>
      <c r="V108" s="1495" t="str">
        <f t="shared" si="44"/>
        <v/>
      </c>
      <c r="W108" s="1495" t="str">
        <f t="shared" si="45"/>
        <v/>
      </c>
      <c r="X108" s="1494">
        <f t="shared" si="46"/>
        <v>0.0</v>
      </c>
      <c r="Y108" s="1494">
        <f t="shared" si="47"/>
        <v>0.0</v>
      </c>
      <c r="Z108" s="1494">
        <f t="shared" si="48"/>
        <v>0.0</v>
      </c>
      <c r="AA108" s="1494">
        <f t="shared" si="49"/>
        <v>0.0</v>
      </c>
      <c r="AB108" s="1496">
        <f t="shared" si="50"/>
        <v>0.0</v>
      </c>
      <c r="AC108" s="1497" t="str">
        <f t="shared" si="30"/>
        <v/>
      </c>
      <c r="AD108" s="1494" t="str">
        <f t="shared" si="31"/>
        <v/>
      </c>
      <c r="AE108" s="1495" t="str">
        <f t="shared" si="32"/>
        <v/>
      </c>
      <c r="AF108" s="1495" t="str">
        <f t="shared" si="33"/>
        <v/>
      </c>
      <c r="AG108" s="1508"/>
      <c r="AH108" s="1508"/>
      <c r="AI108" s="1496">
        <f t="shared" si="51"/>
        <v>0.0</v>
      </c>
      <c r="AJ108" s="1496">
        <f>IF(OR(W108=0,AF108=0),0,IF(AN108="OLD TAX REGIME",AS108,AY108))</f>
        <v>0.0</v>
      </c>
      <c r="AK108" s="1496">
        <f>IF(OR(W108=0,AF108=0),0,IF(AN108="OLD TAX REGIME",AT108,AZ108))</f>
        <v>0.0</v>
      </c>
      <c r="AL108" s="1496" t="e">
        <f>IF(OR(W108=0,AF108=0),0,IF(AN108="OLD TAX REGIME",AU108,BA108))</f>
        <v>#VALUE!</v>
      </c>
      <c r="AM108" s="1497" t="e">
        <f t="shared" si="52"/>
        <v>#VALUE!</v>
      </c>
      <c r="AN108" s="1499" t="str">
        <f t="shared" si="34"/>
        <v/>
      </c>
      <c r="AO108" s="1500">
        <f t="shared" si="35"/>
        <v>0.0</v>
      </c>
      <c r="AP108" s="1509">
        <f t="shared" si="36"/>
        <v>0.0</v>
      </c>
      <c r="AQ108" s="1502">
        <f t="shared" si="53"/>
        <v>0.0</v>
      </c>
      <c r="AR108" s="1419"/>
      <c r="AS108" s="1501">
        <f>IF($AG$7="INCOME TAX DEDUCT FROM SALARY TILL JAN  2025",0,IF(W108&lt;=12500,0,IF(AI108&gt;W108,0,ROUNDUP((W108-AI108)/3,-3))))</f>
        <v>0.0</v>
      </c>
      <c r="AT108" s="1501">
        <f>IF($AG$7="INCOME TAX DEDUCT FROM SALARY TILL JAN  2025",0,IF(W108&lt;=12500,0,IF(AI108&gt;V108,0,ROUNDUP((W108-AI108)/3,-3))))</f>
        <v>0.0</v>
      </c>
      <c r="AU108" s="1501" t="e">
        <f>IF($AG$7="INCOME TAX DEDUCT FROM SALARY TILL JAN  2025",ROUNDUP((V108-AI108),-3),IF(V108&lt;=12500,0,IF(AI108&gt;V108,0,ROUNDUP((V108-AI108)/3,-3))))</f>
        <v>#VALUE!</v>
      </c>
      <c r="AV108" s="1503" t="e">
        <f t="shared" si="54"/>
        <v>#VALUE!</v>
      </c>
      <c r="AW108" s="1503" t="e">
        <f>AV108+AI108</f>
        <v>#VALUE!</v>
      </c>
      <c r="AX108" s="1501" t="e">
        <f>AW108-W108</f>
        <v>#VALUE!</v>
      </c>
      <c r="AY108" s="1501">
        <f>IF($AG$7="INCOME TAX DEDUCT FROM SALARY TILL JAN  2025",0,IF(AF108&lt;=12500,0,IF(AI108&gt;AF108,0,ROUNDUP((AF108-AI108)/3,-3))))</f>
        <v>0.0</v>
      </c>
      <c r="AZ108" s="1501">
        <f>IF($AG$7="INCOME TAX DEDUCT FROM SALARY TILL JAN  2025",0,IF(AF108&lt;=12500,0,IF(AI108&gt;AF108,0,ROUNDUP((AF108-AI108)/3,-3))))</f>
        <v>0.0</v>
      </c>
      <c r="BA108" s="1501" t="e">
        <f>IF($AG$7="INCOME TAX DEDUCT FROM SALARY TILL JAN  2025",ROUNDUP((AF108-AI108),-3),IF(AF108&lt;=12500,0,IF(AI108&gt;AF108,0,ROUNDUP((AF108-AI108)/3,-3))))</f>
        <v>#VALUE!</v>
      </c>
      <c r="BB108" s="1503" t="e">
        <f t="shared" si="55"/>
        <v>#VALUE!</v>
      </c>
      <c r="BC108" s="1503" t="e">
        <f>BB108+AI108</f>
        <v>#VALUE!</v>
      </c>
      <c r="BD108" s="1501" t="e">
        <f>BC108-AF108</f>
        <v>#VALUE!</v>
      </c>
      <c r="BE108" s="1504"/>
      <c r="BF108" s="1504"/>
      <c r="BG108" s="1504"/>
    </row>
    <row r="109" spans="8:8" ht="13.5" customHeight="1">
      <c r="B109" s="1488">
        <f t="shared" si="37"/>
        <v>0.0</v>
      </c>
      <c r="C109" s="1488">
        <f t="shared" si="28"/>
        <v>0.0</v>
      </c>
      <c r="D109" s="1489"/>
      <c r="E109" s="1505"/>
      <c r="F109" s="1506"/>
      <c r="G109" s="1506"/>
      <c r="H109" s="1507"/>
      <c r="I109" s="1492"/>
      <c r="J109" s="1507"/>
      <c r="K109" s="1507"/>
      <c r="L109" s="1507"/>
      <c r="M109" s="1507"/>
      <c r="N109" s="1492">
        <v>0.0</v>
      </c>
      <c r="O109" s="1493">
        <f t="shared" si="38"/>
        <v>-50000.0</v>
      </c>
      <c r="P109" s="1493">
        <f t="shared" si="39"/>
        <v>-75000.0</v>
      </c>
      <c r="Q109" s="1494">
        <f t="shared" si="40"/>
        <v>0.0</v>
      </c>
      <c r="R109" s="1494">
        <f t="shared" si="41"/>
        <v>0.0</v>
      </c>
      <c r="S109" s="1494">
        <f t="shared" si="42"/>
        <v>0.0</v>
      </c>
      <c r="T109" s="1493" t="str">
        <f t="shared" si="29"/>
        <v/>
      </c>
      <c r="U109" s="1494" t="str">
        <f t="shared" si="43"/>
        <v/>
      </c>
      <c r="V109" s="1495" t="str">
        <f t="shared" si="44"/>
        <v/>
      </c>
      <c r="W109" s="1495" t="str">
        <f t="shared" si="45"/>
        <v/>
      </c>
      <c r="X109" s="1494">
        <f t="shared" si="46"/>
        <v>0.0</v>
      </c>
      <c r="Y109" s="1494">
        <f t="shared" si="47"/>
        <v>0.0</v>
      </c>
      <c r="Z109" s="1494">
        <f t="shared" si="48"/>
        <v>0.0</v>
      </c>
      <c r="AA109" s="1494">
        <f t="shared" si="49"/>
        <v>0.0</v>
      </c>
      <c r="AB109" s="1496">
        <f t="shared" si="50"/>
        <v>0.0</v>
      </c>
      <c r="AC109" s="1497" t="str">
        <f t="shared" si="30"/>
        <v/>
      </c>
      <c r="AD109" s="1494" t="str">
        <f t="shared" si="31"/>
        <v/>
      </c>
      <c r="AE109" s="1495" t="str">
        <f t="shared" si="32"/>
        <v/>
      </c>
      <c r="AF109" s="1495" t="str">
        <f t="shared" si="33"/>
        <v/>
      </c>
      <c r="AG109" s="1508"/>
      <c r="AH109" s="1508"/>
      <c r="AI109" s="1496">
        <f t="shared" si="51"/>
        <v>0.0</v>
      </c>
      <c r="AJ109" s="1496">
        <f>IF(OR(W109=0,AF109=0),0,IF(AN109="OLD TAX REGIME",AS109,AY109))</f>
        <v>0.0</v>
      </c>
      <c r="AK109" s="1496">
        <f>IF(OR(W109=0,AF109=0),0,IF(AN109="OLD TAX REGIME",AT109,AZ109))</f>
        <v>0.0</v>
      </c>
      <c r="AL109" s="1496" t="e">
        <f>IF(OR(W109=0,AF109=0),0,IF(AN109="OLD TAX REGIME",AU109,BA109))</f>
        <v>#VALUE!</v>
      </c>
      <c r="AM109" s="1497" t="e">
        <f t="shared" si="52"/>
        <v>#VALUE!</v>
      </c>
      <c r="AN109" s="1499" t="str">
        <f t="shared" si="34"/>
        <v/>
      </c>
      <c r="AO109" s="1500">
        <f t="shared" si="35"/>
        <v>0.0</v>
      </c>
      <c r="AP109" s="1509">
        <f t="shared" si="36"/>
        <v>0.0</v>
      </c>
      <c r="AQ109" s="1502">
        <f t="shared" si="53"/>
        <v>0.0</v>
      </c>
      <c r="AR109" s="1419"/>
      <c r="AS109" s="1501">
        <f>IF($AG$7="INCOME TAX DEDUCT FROM SALARY TILL JAN  2025",0,IF(W109&lt;=12500,0,IF(AI109&gt;W109,0,ROUNDUP((W109-AI109)/3,-3))))</f>
        <v>0.0</v>
      </c>
      <c r="AT109" s="1501">
        <f>IF($AG$7="INCOME TAX DEDUCT FROM SALARY TILL JAN  2025",0,IF(W109&lt;=12500,0,IF(AI109&gt;V109,0,ROUNDUP((W109-AI109)/3,-3))))</f>
        <v>0.0</v>
      </c>
      <c r="AU109" s="1501" t="e">
        <f>IF($AG$7="INCOME TAX DEDUCT FROM SALARY TILL JAN  2025",ROUNDUP((V109-AI109),-3),IF(V109&lt;=12500,0,IF(AI109&gt;V109,0,ROUNDUP((V109-AI109)/3,-3))))</f>
        <v>#VALUE!</v>
      </c>
      <c r="AV109" s="1503" t="e">
        <f t="shared" si="54"/>
        <v>#VALUE!</v>
      </c>
      <c r="AW109" s="1503" t="e">
        <f>AV109+AI109</f>
        <v>#VALUE!</v>
      </c>
      <c r="AX109" s="1501" t="e">
        <f>AW109-W109</f>
        <v>#VALUE!</v>
      </c>
      <c r="AY109" s="1501">
        <f>IF($AG$7="INCOME TAX DEDUCT FROM SALARY TILL JAN  2025",0,IF(AF109&lt;=12500,0,IF(AI109&gt;AF109,0,ROUNDUP((AF109-AI109)/3,-3))))</f>
        <v>0.0</v>
      </c>
      <c r="AZ109" s="1501">
        <f>IF($AG$7="INCOME TAX DEDUCT FROM SALARY TILL JAN  2025",0,IF(AF109&lt;=12500,0,IF(AI109&gt;AF109,0,ROUNDUP((AF109-AI109)/3,-3))))</f>
        <v>0.0</v>
      </c>
      <c r="BA109" s="1501" t="e">
        <f>IF($AG$7="INCOME TAX DEDUCT FROM SALARY TILL JAN  2025",ROUNDUP((AF109-AI109),-3),IF(AF109&lt;=12500,0,IF(AI109&gt;AF109,0,ROUNDUP((AF109-AI109)/3,-3))))</f>
        <v>#VALUE!</v>
      </c>
      <c r="BB109" s="1503" t="e">
        <f t="shared" si="55"/>
        <v>#VALUE!</v>
      </c>
      <c r="BC109" s="1503" t="e">
        <f>BB109+AI109</f>
        <v>#VALUE!</v>
      </c>
      <c r="BD109" s="1501" t="e">
        <f>BC109-AF109</f>
        <v>#VALUE!</v>
      </c>
      <c r="BE109" s="1504"/>
      <c r="BF109" s="1504"/>
      <c r="BG109" s="1504"/>
    </row>
    <row r="110" spans="8:8" ht="15.75">
      <c r="B110" s="1504"/>
      <c r="C110" s="1504"/>
      <c r="D110" s="1510"/>
      <c r="E110" s="1511"/>
      <c r="F110" s="1512"/>
      <c r="G110" s="1512"/>
      <c r="H110" s="1511"/>
      <c r="I110" s="1511"/>
      <c r="J110" s="1511"/>
      <c r="K110" s="1511"/>
      <c r="L110" s="1511"/>
      <c r="M110" s="1511"/>
      <c r="N110" s="1511"/>
      <c r="O110" s="1513"/>
      <c r="P110" s="1513"/>
      <c r="Q110" s="1514"/>
      <c r="R110" s="1514"/>
      <c r="S110" s="1514"/>
      <c r="T110" s="1515"/>
      <c r="U110" s="1514"/>
      <c r="V110" s="1516"/>
      <c r="W110" s="1516"/>
      <c r="X110" s="1514"/>
      <c r="Y110" s="1514"/>
      <c r="Z110" s="1517"/>
      <c r="AA110" s="1518"/>
      <c r="AB110" s="1518"/>
      <c r="AC110" s="1519"/>
      <c r="AD110" s="1514"/>
      <c r="AE110" s="1516"/>
      <c r="AF110" s="1520"/>
      <c r="AG110" s="1521"/>
      <c r="AH110" s="1521"/>
      <c r="AI110" s="1518"/>
      <c r="AJ110" s="1522"/>
      <c r="AK110" s="1522"/>
      <c r="AL110" s="1522"/>
      <c r="AM110" s="1523"/>
      <c r="AN110" s="1523"/>
      <c r="AO110" s="1523"/>
      <c r="AP110" s="1522"/>
      <c r="AQ110" s="1524"/>
      <c r="AR110" s="1419"/>
      <c r="AS110" s="1522"/>
      <c r="AT110" s="1522"/>
      <c r="AU110" s="1522"/>
      <c r="AV110" s="1523"/>
      <c r="AW110" s="1523"/>
      <c r="AX110" s="1522"/>
      <c r="AY110" s="1522"/>
      <c r="AZ110" s="1522"/>
      <c r="BA110" s="1522"/>
      <c r="BB110" s="1523"/>
      <c r="BC110" s="1523"/>
      <c r="BD110" s="1522"/>
      <c r="BE110" s="1504"/>
      <c r="BF110" s="1504"/>
      <c r="BG110" s="1504"/>
    </row>
    <row r="111" spans="8:8">
      <c r="B111" s="1461"/>
      <c r="C111" s="1461"/>
      <c r="D111" s="1525"/>
      <c r="E111" s="1526"/>
      <c r="F111" s="1526"/>
      <c r="G111" s="1526"/>
      <c r="H111" s="1526"/>
      <c r="I111" s="1526"/>
      <c r="J111" s="1526"/>
      <c r="K111" s="1526"/>
      <c r="L111" s="1526"/>
      <c r="M111" s="1526"/>
      <c r="N111" s="1526"/>
      <c r="O111" s="1526"/>
      <c r="P111" s="1526"/>
      <c r="Q111" s="1526"/>
      <c r="R111" s="1526"/>
      <c r="S111" s="1526"/>
      <c r="T111" s="1526"/>
      <c r="U111" s="1526"/>
      <c r="V111" s="1526"/>
      <c r="W111" s="1526"/>
      <c r="X111" s="1526"/>
      <c r="Y111" s="1526"/>
      <c r="Z111" s="1526"/>
      <c r="AA111" s="1526"/>
      <c r="AB111" s="1526"/>
      <c r="AC111" s="1526"/>
      <c r="AD111" s="1526"/>
      <c r="AE111" s="1526"/>
      <c r="AF111" s="1526"/>
      <c r="AG111" s="1526"/>
      <c r="AH111" s="1526"/>
      <c r="AI111" s="1526"/>
      <c r="AJ111" s="1526"/>
      <c r="AK111" s="1526"/>
      <c r="AL111" s="1526"/>
      <c r="AM111" s="1527"/>
      <c r="AN111" s="1527"/>
      <c r="AO111" s="1527"/>
      <c r="AP111" s="1527"/>
      <c r="AQ111" s="1528"/>
      <c r="AR111" s="1419"/>
      <c r="AS111" s="1478"/>
      <c r="AT111" s="1478"/>
      <c r="AU111" s="1478"/>
      <c r="AV111" s="1478"/>
      <c r="AW111" s="1478"/>
      <c r="AX111" s="1478"/>
      <c r="AY111" s="1478"/>
      <c r="AZ111" s="1478"/>
      <c r="BA111" s="1478"/>
      <c r="BB111" s="1478"/>
      <c r="BC111" s="1478"/>
      <c r="BD111" s="1478"/>
      <c r="BE111" s="1461"/>
      <c r="BF111" s="1461"/>
      <c r="BG111" s="1461"/>
    </row>
    <row r="112" spans="8:8" hidden="1">
      <c r="B112" s="1461"/>
      <c r="C112" s="1461"/>
      <c r="D112" s="1529"/>
      <c r="Z112" s="1529"/>
      <c r="AA112" s="1529"/>
      <c r="AB112" s="1529"/>
      <c r="AC112" s="1529"/>
      <c r="AD112" s="1529"/>
      <c r="AE112" s="1529"/>
      <c r="AF112" s="1529"/>
      <c r="AG112" s="1529"/>
      <c r="AH112" s="1529"/>
      <c r="AI112" s="1529"/>
      <c r="AJ112" s="1529"/>
      <c r="AK112" s="1529"/>
      <c r="AL112" s="1529"/>
      <c r="AM112" s="1529"/>
      <c r="AN112" s="1529"/>
      <c r="AO112" s="1529"/>
      <c r="AP112" s="1529"/>
      <c r="AQ112" s="1530"/>
      <c r="AR112" s="1461"/>
      <c r="AS112" s="1461"/>
      <c r="AT112" s="1461"/>
      <c r="AU112" s="1461"/>
      <c r="AV112" s="1461"/>
      <c r="AW112" s="1461"/>
      <c r="AX112" s="1461"/>
      <c r="AY112" s="1461"/>
      <c r="AZ112" s="1461"/>
      <c r="BA112" s="1461"/>
      <c r="BB112" s="1461"/>
      <c r="BC112" s="1461"/>
      <c r="BD112" s="1461"/>
      <c r="BE112" s="1461"/>
      <c r="BF112" s="1461"/>
      <c r="BG112" s="1461"/>
    </row>
    <row r="113" spans="8:8" hidden="1">
      <c r="B113" s="1461"/>
      <c r="C113" s="1461"/>
      <c r="D113" s="1529"/>
      <c r="Z113" s="1529"/>
      <c r="AA113" s="1529"/>
      <c r="AB113" s="1529"/>
      <c r="AC113" s="1529"/>
      <c r="AD113" s="1529"/>
      <c r="AE113" s="1529"/>
      <c r="AF113" s="1529"/>
      <c r="AG113" s="1529"/>
      <c r="AH113" s="1529"/>
      <c r="AI113" s="1529"/>
      <c r="AJ113" s="1529"/>
      <c r="AK113" s="1529"/>
      <c r="AL113" s="1529"/>
      <c r="AM113" s="1529"/>
      <c r="AN113" s="1529"/>
      <c r="AO113" s="1529"/>
      <c r="AP113" s="1529"/>
      <c r="AQ113" s="1530"/>
      <c r="AR113" s="1461"/>
      <c r="AS113" s="1461"/>
      <c r="AT113" s="1461"/>
      <c r="AU113" s="1461"/>
      <c r="AV113" s="1461"/>
      <c r="AW113" s="1461"/>
      <c r="AX113" s="1461"/>
      <c r="AY113" s="1461"/>
      <c r="AZ113" s="1461"/>
      <c r="BA113" s="1461"/>
      <c r="BB113" s="1461"/>
      <c r="BC113" s="1461"/>
      <c r="BD113" s="1461"/>
      <c r="BE113" s="1461"/>
      <c r="BF113" s="1461"/>
      <c r="BG113" s="1461"/>
    </row>
    <row r="114" spans="8:8" hidden="1">
      <c r="B114" s="1461"/>
      <c r="C114" s="1461"/>
      <c r="D114" s="1529"/>
      <c r="Z114" s="1529"/>
      <c r="AA114" s="1529"/>
      <c r="AB114" s="1529"/>
      <c r="AC114" s="1529"/>
      <c r="AD114" s="1529"/>
      <c r="AE114" s="1529"/>
      <c r="AF114" s="1529"/>
      <c r="AG114" s="1529"/>
      <c r="AH114" s="1529"/>
      <c r="AI114" s="1529"/>
      <c r="AJ114" s="1529"/>
      <c r="AK114" s="1529"/>
      <c r="AL114" s="1529"/>
      <c r="AM114" s="1529"/>
      <c r="AN114" s="1529"/>
      <c r="AO114" s="1529"/>
      <c r="AP114" s="1529"/>
      <c r="AQ114" s="1530"/>
      <c r="AR114" s="1461"/>
      <c r="AS114" s="1461"/>
      <c r="AT114" s="1461"/>
      <c r="AU114" s="1461"/>
      <c r="AV114" s="1461"/>
      <c r="AW114" s="1461"/>
      <c r="AX114" s="1461"/>
      <c r="AY114" s="1461"/>
      <c r="AZ114" s="1461"/>
      <c r="BA114" s="1461"/>
      <c r="BB114" s="1461"/>
      <c r="BC114" s="1461"/>
      <c r="BD114" s="1461"/>
      <c r="BE114" s="1461"/>
      <c r="BF114" s="1461"/>
      <c r="BG114" s="1461"/>
    </row>
    <row r="115" spans="8:8" hidden="1">
      <c r="B115" s="1461"/>
      <c r="C115" s="1461"/>
      <c r="D115" s="1529"/>
      <c r="Z115" s="1529"/>
      <c r="AA115" s="1529"/>
      <c r="AB115" s="1529"/>
      <c r="AC115" s="1529"/>
      <c r="AD115" s="1529"/>
      <c r="AE115" s="1529"/>
      <c r="AF115" s="1529"/>
      <c r="AG115" s="1529"/>
      <c r="AH115" s="1529"/>
      <c r="AI115" s="1529"/>
      <c r="AJ115" s="1529"/>
      <c r="AK115" s="1529"/>
      <c r="AL115" s="1529"/>
      <c r="AM115" s="1529"/>
      <c r="AN115" s="1529"/>
      <c r="AO115" s="1529"/>
      <c r="AP115" s="1529"/>
      <c r="AQ115" s="1530"/>
      <c r="AR115" s="1461"/>
      <c r="AS115" s="1461"/>
      <c r="AT115" s="1461"/>
      <c r="AU115" s="1461"/>
      <c r="AV115" s="1461"/>
      <c r="AW115" s="1461"/>
      <c r="AX115" s="1461"/>
      <c r="AY115" s="1461"/>
      <c r="AZ115" s="1461"/>
      <c r="BA115" s="1461"/>
      <c r="BB115" s="1461"/>
      <c r="BC115" s="1461"/>
      <c r="BD115" s="1461"/>
      <c r="BE115" s="1461"/>
      <c r="BF115" s="1461"/>
      <c r="BG115" s="1461"/>
    </row>
    <row r="116" spans="8:8" hidden="1">
      <c r="B116" s="1461"/>
      <c r="C116" s="1461"/>
      <c r="D116" s="1529"/>
      <c r="Z116" s="1529"/>
      <c r="AA116" s="1529"/>
      <c r="AB116" s="1529"/>
      <c r="AC116" s="1529"/>
      <c r="AD116" s="1529"/>
      <c r="AE116" s="1529"/>
      <c r="AF116" s="1529"/>
      <c r="AG116" s="1529"/>
      <c r="AH116" s="1529"/>
      <c r="AI116" s="1529"/>
      <c r="AJ116" s="1529"/>
      <c r="AK116" s="1529"/>
      <c r="AL116" s="1529"/>
      <c r="AM116" s="1529"/>
      <c r="AN116" s="1529"/>
      <c r="AO116" s="1529"/>
      <c r="AP116" s="1529"/>
      <c r="AQ116" s="1530"/>
      <c r="AR116" s="1461"/>
      <c r="AS116" s="1461"/>
      <c r="AT116" s="1461"/>
      <c r="AU116" s="1461"/>
      <c r="AV116" s="1461"/>
      <c r="AW116" s="1461"/>
      <c r="AX116" s="1461"/>
      <c r="AY116" s="1461"/>
      <c r="AZ116" s="1461"/>
      <c r="BA116" s="1461"/>
      <c r="BB116" s="1461"/>
      <c r="BC116" s="1461"/>
      <c r="BD116" s="1461"/>
      <c r="BE116" s="1461"/>
      <c r="BF116" s="1461"/>
      <c r="BG116" s="1461"/>
    </row>
    <row r="117" spans="8:8" hidden="1">
      <c r="B117" s="1461"/>
      <c r="C117" s="1461"/>
      <c r="D117" s="1529"/>
      <c r="Z117" s="1529"/>
      <c r="AA117" s="1529"/>
      <c r="AB117" s="1529"/>
      <c r="AC117" s="1529"/>
      <c r="AD117" s="1529"/>
      <c r="AE117" s="1529"/>
      <c r="AF117" s="1529"/>
      <c r="AG117" s="1529"/>
      <c r="AH117" s="1529"/>
      <c r="AI117" s="1529"/>
      <c r="AJ117" s="1529"/>
      <c r="AK117" s="1529"/>
      <c r="AL117" s="1529"/>
      <c r="AM117" s="1529"/>
      <c r="AN117" s="1529"/>
      <c r="AO117" s="1529"/>
      <c r="AP117" s="1529"/>
      <c r="AQ117" s="1530"/>
      <c r="AR117" s="1461"/>
      <c r="AS117" s="1461"/>
      <c r="AT117" s="1461"/>
      <c r="AU117" s="1461"/>
      <c r="AV117" s="1461"/>
      <c r="AW117" s="1461"/>
      <c r="AX117" s="1461"/>
      <c r="AY117" s="1461"/>
      <c r="AZ117" s="1461"/>
      <c r="BA117" s="1461"/>
      <c r="BB117" s="1461"/>
      <c r="BC117" s="1461"/>
      <c r="BD117" s="1461"/>
      <c r="BE117" s="1461"/>
      <c r="BF117" s="1461"/>
      <c r="BG117" s="1461"/>
    </row>
    <row r="118" spans="8:8" hidden="1">
      <c r="B118" s="1461"/>
      <c r="C118" s="1461"/>
      <c r="D118" s="1529"/>
      <c r="Z118" s="1529"/>
      <c r="AA118" s="1529"/>
      <c r="AB118" s="1529"/>
      <c r="AC118" s="1529"/>
      <c r="AD118" s="1529"/>
      <c r="AE118" s="1529"/>
      <c r="AF118" s="1529"/>
      <c r="AG118" s="1529"/>
      <c r="AH118" s="1529"/>
      <c r="AI118" s="1529"/>
      <c r="AJ118" s="1529"/>
      <c r="AK118" s="1529"/>
      <c r="AL118" s="1529"/>
      <c r="AM118" s="1529"/>
      <c r="AN118" s="1529"/>
      <c r="AO118" s="1529"/>
      <c r="AP118" s="1529"/>
      <c r="AQ118" s="1530"/>
      <c r="AR118" s="1461"/>
      <c r="AS118" s="1461"/>
      <c r="AT118" s="1461"/>
      <c r="AU118" s="1461"/>
      <c r="AV118" s="1461"/>
      <c r="AW118" s="1461"/>
      <c r="AX118" s="1461"/>
      <c r="AY118" s="1461"/>
      <c r="AZ118" s="1461"/>
      <c r="BA118" s="1461"/>
      <c r="BB118" s="1461"/>
      <c r="BC118" s="1461"/>
      <c r="BD118" s="1461"/>
      <c r="BE118" s="1461"/>
      <c r="BF118" s="1461"/>
      <c r="BG118" s="1461"/>
    </row>
    <row r="119" spans="8:8" hidden="1">
      <c r="B119" s="1461"/>
      <c r="C119" s="1461"/>
      <c r="D119" s="1529"/>
      <c r="Z119" s="1529"/>
      <c r="AA119" s="1529"/>
      <c r="AB119" s="1529"/>
      <c r="AC119" s="1529"/>
      <c r="AD119" s="1529"/>
      <c r="AE119" s="1529"/>
      <c r="AF119" s="1529"/>
      <c r="AG119" s="1529"/>
      <c r="AH119" s="1529"/>
      <c r="AI119" s="1529"/>
      <c r="AJ119" s="1529"/>
      <c r="AK119" s="1529"/>
      <c r="AL119" s="1529"/>
      <c r="AM119" s="1529"/>
      <c r="AN119" s="1529"/>
      <c r="AO119" s="1529"/>
      <c r="AP119" s="1529"/>
      <c r="AQ119" s="1530"/>
      <c r="AR119" s="1461"/>
      <c r="AS119" s="1461"/>
      <c r="AT119" s="1461"/>
      <c r="AU119" s="1461"/>
      <c r="AV119" s="1461"/>
      <c r="AW119" s="1461"/>
      <c r="AX119" s="1461"/>
      <c r="AY119" s="1461"/>
      <c r="AZ119" s="1461"/>
      <c r="BA119" s="1461"/>
      <c r="BB119" s="1461"/>
      <c r="BC119" s="1461"/>
      <c r="BD119" s="1461"/>
      <c r="BE119" s="1461"/>
      <c r="BF119" s="1461"/>
      <c r="BG119" s="1461"/>
    </row>
    <row r="120" spans="8:8" hidden="1">
      <c r="B120" s="1461"/>
      <c r="C120" s="1461"/>
      <c r="D120" s="1529"/>
      <c r="Z120" s="1529"/>
      <c r="AA120" s="1529"/>
      <c r="AB120" s="1529"/>
      <c r="AC120" s="1529"/>
      <c r="AD120" s="1529"/>
      <c r="AE120" s="1529"/>
      <c r="AF120" s="1529"/>
      <c r="AG120" s="1529"/>
      <c r="AH120" s="1529"/>
      <c r="AI120" s="1529"/>
      <c r="AJ120" s="1529"/>
      <c r="AK120" s="1529"/>
      <c r="AL120" s="1529"/>
      <c r="AM120" s="1529"/>
      <c r="AN120" s="1529"/>
      <c r="AO120" s="1529"/>
      <c r="AP120" s="1529"/>
      <c r="AQ120" s="1530"/>
      <c r="AR120" s="1461"/>
      <c r="AS120" s="1461"/>
      <c r="AT120" s="1461"/>
      <c r="AU120" s="1461"/>
      <c r="AV120" s="1461"/>
      <c r="AW120" s="1461"/>
      <c r="AX120" s="1461"/>
      <c r="AY120" s="1461"/>
      <c r="AZ120" s="1461"/>
      <c r="BA120" s="1461"/>
      <c r="BB120" s="1461"/>
      <c r="BC120" s="1461"/>
      <c r="BD120" s="1461"/>
      <c r="BE120" s="1461"/>
      <c r="BF120" s="1461"/>
      <c r="BG120" s="1461"/>
    </row>
    <row r="121" spans="8:8" hidden="1">
      <c r="B121" s="1461"/>
      <c r="C121" s="1461"/>
      <c r="D121" s="1529"/>
      <c r="Z121" s="1529"/>
      <c r="AA121" s="1529"/>
      <c r="AB121" s="1529"/>
      <c r="AC121" s="1529"/>
      <c r="AD121" s="1529"/>
      <c r="AE121" s="1529"/>
      <c r="AF121" s="1529"/>
      <c r="AG121" s="1529"/>
      <c r="AH121" s="1529"/>
      <c r="AI121" s="1529"/>
      <c r="AJ121" s="1529"/>
      <c r="AK121" s="1529"/>
      <c r="AL121" s="1529"/>
      <c r="AM121" s="1529"/>
      <c r="AN121" s="1529"/>
      <c r="AO121" s="1529"/>
      <c r="AP121" s="1529"/>
      <c r="AQ121" s="1530"/>
      <c r="AR121" s="1461"/>
      <c r="AS121" s="1461"/>
      <c r="AT121" s="1461"/>
      <c r="AU121" s="1461"/>
      <c r="AV121" s="1461"/>
      <c r="AW121" s="1461"/>
      <c r="AX121" s="1461"/>
      <c r="AY121" s="1461"/>
      <c r="AZ121" s="1461"/>
      <c r="BA121" s="1461"/>
      <c r="BB121" s="1461"/>
      <c r="BC121" s="1461"/>
      <c r="BD121" s="1461"/>
      <c r="BE121" s="1461"/>
      <c r="BF121" s="1461"/>
      <c r="BG121" s="1461"/>
    </row>
    <row r="122" spans="8:8" hidden="1">
      <c r="B122" s="1461"/>
      <c r="C122" s="1461"/>
      <c r="D122" s="1529"/>
      <c r="Z122" s="1529"/>
      <c r="AA122" s="1529"/>
      <c r="AB122" s="1529"/>
      <c r="AC122" s="1529"/>
      <c r="AD122" s="1529"/>
      <c r="AE122" s="1529"/>
      <c r="AF122" s="1529"/>
      <c r="AG122" s="1529"/>
      <c r="AH122" s="1529"/>
      <c r="AI122" s="1529"/>
      <c r="AJ122" s="1529"/>
      <c r="AK122" s="1529"/>
      <c r="AL122" s="1529"/>
      <c r="AM122" s="1529"/>
      <c r="AN122" s="1529"/>
      <c r="AO122" s="1529"/>
      <c r="AP122" s="1529"/>
      <c r="AQ122" s="1530"/>
      <c r="AR122" s="1461"/>
      <c r="AS122" s="1461"/>
      <c r="AT122" s="1461"/>
      <c r="AU122" s="1461"/>
      <c r="AV122" s="1461"/>
      <c r="AW122" s="1461"/>
      <c r="AX122" s="1461"/>
      <c r="AY122" s="1461"/>
      <c r="AZ122" s="1461"/>
      <c r="BA122" s="1461"/>
      <c r="BB122" s="1461"/>
      <c r="BC122" s="1461"/>
      <c r="BD122" s="1461"/>
      <c r="BE122" s="1461"/>
      <c r="BF122" s="1461"/>
      <c r="BG122" s="1461"/>
    </row>
    <row r="123" spans="8:8" hidden="1">
      <c r="B123" s="1461"/>
      <c r="C123" s="1461"/>
      <c r="D123" s="1529"/>
      <c r="Z123" s="1529"/>
      <c r="AA123" s="1529"/>
      <c r="AB123" s="1529"/>
      <c r="AC123" s="1529"/>
      <c r="AD123" s="1529"/>
      <c r="AE123" s="1529"/>
      <c r="AF123" s="1529"/>
      <c r="AG123" s="1529"/>
      <c r="AH123" s="1529"/>
      <c r="AI123" s="1529"/>
      <c r="AJ123" s="1529"/>
      <c r="AK123" s="1529"/>
      <c r="AL123" s="1529"/>
      <c r="AM123" s="1529"/>
      <c r="AN123" s="1529"/>
      <c r="AO123" s="1529"/>
      <c r="AP123" s="1529"/>
      <c r="AQ123" s="1530"/>
      <c r="AR123" s="1461"/>
      <c r="AS123" s="1461"/>
      <c r="AT123" s="1461"/>
      <c r="AU123" s="1461"/>
      <c r="AV123" s="1461"/>
      <c r="AW123" s="1461"/>
      <c r="AX123" s="1461"/>
      <c r="AY123" s="1461"/>
      <c r="AZ123" s="1461"/>
      <c r="BA123" s="1461"/>
      <c r="BB123" s="1461"/>
      <c r="BC123" s="1461"/>
      <c r="BD123" s="1461"/>
      <c r="BE123" s="1461"/>
      <c r="BF123" s="1461"/>
      <c r="BG123" s="1461"/>
    </row>
    <row r="124" spans="8:8" hidden="1">
      <c r="B124" s="1461"/>
      <c r="C124" s="1461"/>
      <c r="D124" s="1529"/>
      <c r="Z124" s="1529"/>
      <c r="AA124" s="1529"/>
      <c r="AB124" s="1529"/>
      <c r="AC124" s="1529"/>
      <c r="AD124" s="1529"/>
      <c r="AE124" s="1529"/>
      <c r="AF124" s="1529"/>
      <c r="AG124" s="1529"/>
      <c r="AH124" s="1529"/>
      <c r="AI124" s="1529"/>
      <c r="AJ124" s="1529"/>
      <c r="AK124" s="1529"/>
      <c r="AL124" s="1529"/>
      <c r="AM124" s="1529"/>
      <c r="AN124" s="1529"/>
      <c r="AO124" s="1529"/>
      <c r="AP124" s="1529"/>
      <c r="AQ124" s="1530"/>
      <c r="AR124" s="1461"/>
      <c r="AS124" s="1461"/>
      <c r="AT124" s="1461"/>
      <c r="AU124" s="1461"/>
      <c r="AV124" s="1461"/>
      <c r="AW124" s="1461"/>
      <c r="AX124" s="1461"/>
      <c r="AY124" s="1461"/>
      <c r="AZ124" s="1461"/>
      <c r="BA124" s="1461"/>
      <c r="BB124" s="1461"/>
      <c r="BC124" s="1461"/>
      <c r="BD124" s="1461"/>
      <c r="BE124" s="1461"/>
      <c r="BF124" s="1461"/>
      <c r="BG124" s="1461"/>
    </row>
    <row r="125" spans="8:8" hidden="1">
      <c r="B125" s="1461"/>
      <c r="C125" s="1461"/>
      <c r="D125" s="1529"/>
      <c r="Z125" s="1529"/>
      <c r="AA125" s="1529"/>
      <c r="AB125" s="1529"/>
      <c r="AC125" s="1529"/>
      <c r="AD125" s="1529"/>
      <c r="AE125" s="1529"/>
      <c r="AF125" s="1529"/>
      <c r="AG125" s="1529"/>
      <c r="AH125" s="1529"/>
      <c r="AI125" s="1529"/>
      <c r="AJ125" s="1529"/>
      <c r="AK125" s="1529"/>
      <c r="AL125" s="1529"/>
      <c r="AM125" s="1529"/>
      <c r="AN125" s="1529"/>
      <c r="AO125" s="1529"/>
      <c r="AP125" s="1529"/>
      <c r="AQ125" s="1530"/>
      <c r="AR125" s="1461"/>
      <c r="AS125" s="1461"/>
      <c r="AT125" s="1461"/>
      <c r="AU125" s="1461"/>
      <c r="AV125" s="1461"/>
      <c r="AW125" s="1461"/>
      <c r="AX125" s="1461"/>
      <c r="AY125" s="1461"/>
      <c r="AZ125" s="1461"/>
      <c r="BA125" s="1461"/>
      <c r="BB125" s="1461"/>
      <c r="BC125" s="1461"/>
      <c r="BD125" s="1461"/>
      <c r="BE125" s="1461"/>
      <c r="BF125" s="1461"/>
      <c r="BG125" s="1461"/>
    </row>
    <row r="126" spans="8:8" hidden="1">
      <c r="B126" s="1461"/>
      <c r="C126" s="1461"/>
      <c r="D126" s="1529"/>
      <c r="Z126" s="1529"/>
      <c r="AA126" s="1529"/>
      <c r="AB126" s="1529"/>
      <c r="AC126" s="1529"/>
      <c r="AD126" s="1529"/>
      <c r="AE126" s="1529"/>
      <c r="AF126" s="1529"/>
      <c r="AG126" s="1529"/>
      <c r="AH126" s="1529"/>
      <c r="AI126" s="1529"/>
      <c r="AJ126" s="1529"/>
      <c r="AK126" s="1529"/>
      <c r="AL126" s="1529"/>
      <c r="AM126" s="1529"/>
      <c r="AN126" s="1529"/>
      <c r="AO126" s="1529"/>
      <c r="AP126" s="1529"/>
      <c r="AQ126" s="1530"/>
      <c r="AR126" s="1461"/>
      <c r="AS126" s="1461"/>
      <c r="AT126" s="1461"/>
      <c r="AU126" s="1461"/>
      <c r="AV126" s="1461"/>
      <c r="AW126" s="1461"/>
      <c r="AX126" s="1461"/>
      <c r="AY126" s="1461"/>
      <c r="AZ126" s="1461"/>
      <c r="BA126" s="1461"/>
      <c r="BB126" s="1461"/>
      <c r="BC126" s="1461"/>
      <c r="BD126" s="1461"/>
      <c r="BE126" s="1461"/>
      <c r="BF126" s="1461"/>
      <c r="BG126" s="1461"/>
    </row>
    <row r="127" spans="8:8" hidden="1">
      <c r="B127" s="1461"/>
      <c r="C127" s="1461"/>
      <c r="D127" s="1529"/>
      <c r="Z127" s="1529"/>
      <c r="AA127" s="1529"/>
      <c r="AB127" s="1529"/>
      <c r="AC127" s="1529"/>
      <c r="AD127" s="1529"/>
      <c r="AE127" s="1529"/>
      <c r="AF127" s="1529"/>
      <c r="AG127" s="1529"/>
      <c r="AH127" s="1529"/>
      <c r="AI127" s="1529"/>
      <c r="AJ127" s="1529"/>
      <c r="AK127" s="1529"/>
      <c r="AL127" s="1529"/>
      <c r="AM127" s="1529"/>
      <c r="AN127" s="1529"/>
      <c r="AO127" s="1529"/>
      <c r="AP127" s="1529"/>
      <c r="AQ127" s="1530"/>
      <c r="AR127" s="1461"/>
      <c r="AS127" s="1461"/>
      <c r="AT127" s="1461"/>
      <c r="AU127" s="1461"/>
      <c r="AV127" s="1461"/>
      <c r="AW127" s="1461"/>
      <c r="AX127" s="1461"/>
      <c r="AY127" s="1461"/>
      <c r="AZ127" s="1461"/>
      <c r="BA127" s="1461"/>
      <c r="BB127" s="1461"/>
      <c r="BC127" s="1461"/>
      <c r="BD127" s="1461"/>
      <c r="BE127" s="1461"/>
      <c r="BF127" s="1461"/>
      <c r="BG127" s="1461"/>
    </row>
    <row r="128" spans="8:8" hidden="1">
      <c r="B128" s="1461"/>
      <c r="C128" s="1461"/>
      <c r="D128" s="1529"/>
      <c r="Z128" s="1529"/>
      <c r="AA128" s="1529"/>
      <c r="AB128" s="1529"/>
      <c r="AC128" s="1529"/>
      <c r="AD128" s="1529"/>
      <c r="AE128" s="1529"/>
      <c r="AF128" s="1529"/>
      <c r="AG128" s="1529"/>
      <c r="AH128" s="1529"/>
      <c r="AI128" s="1529"/>
      <c r="AJ128" s="1529"/>
      <c r="AK128" s="1529"/>
      <c r="AL128" s="1529"/>
      <c r="AM128" s="1529"/>
      <c r="AN128" s="1529"/>
      <c r="AO128" s="1529"/>
      <c r="AP128" s="1529"/>
      <c r="AQ128" s="1530"/>
      <c r="AR128" s="1461"/>
      <c r="AS128" s="1461"/>
      <c r="AT128" s="1461"/>
      <c r="AU128" s="1461"/>
      <c r="AV128" s="1461"/>
      <c r="AW128" s="1461"/>
      <c r="AX128" s="1461"/>
      <c r="AY128" s="1461"/>
      <c r="AZ128" s="1461"/>
      <c r="BA128" s="1461"/>
      <c r="BB128" s="1461"/>
      <c r="BC128" s="1461"/>
      <c r="BD128" s="1461"/>
      <c r="BE128" s="1461"/>
      <c r="BF128" s="1461"/>
      <c r="BG128" s="1461"/>
    </row>
    <row r="129" spans="8:8" hidden="1">
      <c r="B129" s="1461"/>
      <c r="C129" s="1461"/>
      <c r="D129" s="1529"/>
      <c r="Z129" s="1529"/>
      <c r="AA129" s="1529"/>
      <c r="AB129" s="1529"/>
      <c r="AC129" s="1529"/>
      <c r="AD129" s="1529"/>
      <c r="AE129" s="1529"/>
      <c r="AF129" s="1529"/>
      <c r="AG129" s="1529"/>
      <c r="AH129" s="1529"/>
      <c r="AI129" s="1529"/>
      <c r="AJ129" s="1529"/>
      <c r="AK129" s="1529"/>
      <c r="AL129" s="1529"/>
      <c r="AM129" s="1529"/>
      <c r="AN129" s="1529"/>
      <c r="AO129" s="1529"/>
      <c r="AP129" s="1529"/>
      <c r="AQ129" s="1530"/>
      <c r="AR129" s="1461"/>
      <c r="AS129" s="1461"/>
      <c r="AT129" s="1461"/>
      <c r="AU129" s="1461"/>
      <c r="AV129" s="1461"/>
      <c r="AW129" s="1461"/>
      <c r="AX129" s="1461"/>
      <c r="AY129" s="1461"/>
      <c r="AZ129" s="1461"/>
      <c r="BA129" s="1461"/>
      <c r="BB129" s="1461"/>
      <c r="BC129" s="1461"/>
      <c r="BD129" s="1461"/>
      <c r="BE129" s="1461"/>
      <c r="BF129" s="1461"/>
      <c r="BG129" s="1461"/>
    </row>
    <row r="130" spans="8:8" hidden="1">
      <c r="B130" s="1461"/>
      <c r="C130" s="1461"/>
      <c r="D130" s="1529"/>
      <c r="Z130" s="1529"/>
      <c r="AA130" s="1529"/>
      <c r="AB130" s="1529"/>
      <c r="AC130" s="1529"/>
      <c r="AD130" s="1529"/>
      <c r="AE130" s="1529"/>
      <c r="AF130" s="1529"/>
      <c r="AG130" s="1529"/>
      <c r="AH130" s="1529"/>
      <c r="AI130" s="1529"/>
      <c r="AJ130" s="1529"/>
      <c r="AK130" s="1529"/>
      <c r="AL130" s="1529"/>
      <c r="AM130" s="1529"/>
      <c r="AN130" s="1529"/>
      <c r="AO130" s="1529"/>
      <c r="AP130" s="1529"/>
      <c r="AQ130" s="1530"/>
      <c r="AR130" s="1461"/>
      <c r="AS130" s="1461"/>
      <c r="AT130" s="1461"/>
      <c r="AU130" s="1461"/>
      <c r="AV130" s="1461"/>
      <c r="AW130" s="1461"/>
      <c r="AX130" s="1461"/>
      <c r="AY130" s="1461"/>
      <c r="AZ130" s="1461"/>
      <c r="BA130" s="1461"/>
      <c r="BB130" s="1461"/>
      <c r="BC130" s="1461"/>
      <c r="BD130" s="1461"/>
      <c r="BE130" s="1461"/>
      <c r="BF130" s="1461"/>
      <c r="BG130" s="1461"/>
    </row>
    <row r="131" spans="8:8" hidden="1">
      <c r="B131" s="1461"/>
      <c r="C131" s="1461"/>
      <c r="D131" s="1529"/>
      <c r="Z131" s="1529"/>
      <c r="AA131" s="1529"/>
      <c r="AB131" s="1529"/>
      <c r="AC131" s="1529"/>
      <c r="AD131" s="1529"/>
      <c r="AE131" s="1529"/>
      <c r="AF131" s="1529"/>
      <c r="AG131" s="1529"/>
      <c r="AH131" s="1529"/>
      <c r="AI131" s="1529"/>
      <c r="AJ131" s="1529"/>
      <c r="AK131" s="1529"/>
      <c r="AL131" s="1529"/>
      <c r="AM131" s="1529"/>
      <c r="AN131" s="1529"/>
      <c r="AO131" s="1529"/>
      <c r="AP131" s="1529"/>
      <c r="AQ131" s="1530"/>
      <c r="AR131" s="1461"/>
      <c r="AS131" s="1461"/>
      <c r="AT131" s="1461"/>
      <c r="AU131" s="1461"/>
      <c r="AV131" s="1461"/>
      <c r="AW131" s="1461"/>
      <c r="AX131" s="1461"/>
      <c r="AY131" s="1461"/>
      <c r="AZ131" s="1461"/>
      <c r="BA131" s="1461"/>
      <c r="BB131" s="1461"/>
      <c r="BC131" s="1461"/>
      <c r="BD131" s="1461"/>
      <c r="BE131" s="1461"/>
      <c r="BF131" s="1461"/>
      <c r="BG131" s="1461"/>
    </row>
    <row r="132" spans="8:8" hidden="1">
      <c r="B132" s="1461"/>
      <c r="C132" s="1461"/>
      <c r="D132" s="1529"/>
      <c r="Z132" s="1529"/>
      <c r="AA132" s="1529"/>
      <c r="AB132" s="1529"/>
      <c r="AC132" s="1529"/>
      <c r="AD132" s="1529"/>
      <c r="AE132" s="1529"/>
      <c r="AF132" s="1529"/>
      <c r="AG132" s="1529"/>
      <c r="AH132" s="1529"/>
      <c r="AI132" s="1529"/>
      <c r="AJ132" s="1529"/>
      <c r="AK132" s="1529"/>
      <c r="AL132" s="1529"/>
      <c r="AM132" s="1529"/>
      <c r="AN132" s="1529"/>
      <c r="AO132" s="1529"/>
      <c r="AP132" s="1529"/>
      <c r="AQ132" s="1530"/>
      <c r="AR132" s="1461"/>
      <c r="AS132" s="1461"/>
      <c r="AT132" s="1461"/>
      <c r="AU132" s="1461"/>
      <c r="AV132" s="1461"/>
      <c r="AW132" s="1461"/>
      <c r="AX132" s="1461"/>
      <c r="AY132" s="1461"/>
      <c r="AZ132" s="1461"/>
      <c r="BA132" s="1461"/>
      <c r="BB132" s="1461"/>
      <c r="BC132" s="1461"/>
      <c r="BD132" s="1461"/>
      <c r="BE132" s="1461"/>
      <c r="BF132" s="1461"/>
      <c r="BG132" s="1461"/>
    </row>
    <row r="133" spans="8:8" hidden="1">
      <c r="B133" s="1461"/>
      <c r="C133" s="1461"/>
      <c r="D133" s="1529"/>
      <c r="Z133" s="1529"/>
      <c r="AA133" s="1529"/>
      <c r="AB133" s="1529"/>
      <c r="AC133" s="1529"/>
      <c r="AD133" s="1529"/>
      <c r="AE133" s="1529"/>
      <c r="AF133" s="1529"/>
      <c r="AG133" s="1529"/>
      <c r="AH133" s="1529"/>
      <c r="AI133" s="1529"/>
      <c r="AJ133" s="1529"/>
      <c r="AK133" s="1529"/>
      <c r="AL133" s="1529"/>
      <c r="AM133" s="1529"/>
      <c r="AN133" s="1529"/>
      <c r="AO133" s="1529"/>
      <c r="AP133" s="1529"/>
      <c r="AQ133" s="1530"/>
      <c r="AR133" s="1461"/>
      <c r="AS133" s="1461"/>
      <c r="AT133" s="1461"/>
      <c r="AU133" s="1461"/>
      <c r="AV133" s="1461"/>
      <c r="AW133" s="1461"/>
      <c r="AX133" s="1461"/>
      <c r="AY133" s="1461"/>
      <c r="AZ133" s="1461"/>
      <c r="BA133" s="1461"/>
      <c r="BB133" s="1461"/>
      <c r="BC133" s="1461"/>
      <c r="BD133" s="1461"/>
      <c r="BE133" s="1461"/>
      <c r="BF133" s="1461"/>
      <c r="BG133" s="1461"/>
    </row>
    <row r="134" spans="8:8" hidden="1">
      <c r="B134" s="1461"/>
      <c r="C134" s="1461"/>
      <c r="D134" s="1529"/>
      <c r="Z134" s="1529"/>
      <c r="AA134" s="1529"/>
      <c r="AB134" s="1529"/>
      <c r="AC134" s="1529"/>
      <c r="AD134" s="1529"/>
      <c r="AE134" s="1529"/>
      <c r="AF134" s="1529"/>
      <c r="AG134" s="1529"/>
      <c r="AH134" s="1529"/>
      <c r="AI134" s="1529"/>
      <c r="AJ134" s="1529"/>
      <c r="AK134" s="1529"/>
      <c r="AL134" s="1529"/>
      <c r="AM134" s="1529"/>
      <c r="AN134" s="1529"/>
      <c r="AO134" s="1529"/>
      <c r="AP134" s="1529"/>
      <c r="AQ134" s="1530"/>
      <c r="AR134" s="1461"/>
      <c r="AS134" s="1461"/>
      <c r="AT134" s="1461"/>
      <c r="AU134" s="1461"/>
      <c r="AV134" s="1461"/>
      <c r="AW134" s="1461"/>
      <c r="AX134" s="1461"/>
      <c r="AY134" s="1461"/>
      <c r="AZ134" s="1461"/>
      <c r="BA134" s="1461"/>
      <c r="BB134" s="1461"/>
      <c r="BC134" s="1461"/>
      <c r="BD134" s="1461"/>
      <c r="BE134" s="1461"/>
      <c r="BF134" s="1461"/>
      <c r="BG134" s="1461"/>
    </row>
    <row r="135" spans="8:8" hidden="1">
      <c r="B135" s="1461"/>
      <c r="C135" s="1461"/>
      <c r="D135" s="1529"/>
      <c r="Z135" s="1529"/>
      <c r="AA135" s="1529"/>
      <c r="AB135" s="1529"/>
      <c r="AC135" s="1529"/>
      <c r="AD135" s="1529"/>
      <c r="AE135" s="1529"/>
      <c r="AF135" s="1529"/>
      <c r="AG135" s="1529"/>
      <c r="AH135" s="1529"/>
      <c r="AI135" s="1529"/>
      <c r="AJ135" s="1529"/>
      <c r="AK135" s="1529"/>
      <c r="AL135" s="1529"/>
      <c r="AM135" s="1529"/>
      <c r="AN135" s="1529"/>
      <c r="AO135" s="1529"/>
      <c r="AP135" s="1529"/>
      <c r="AQ135" s="1530"/>
      <c r="AR135" s="1461"/>
      <c r="AS135" s="1461"/>
      <c r="AT135" s="1461"/>
      <c r="AU135" s="1461"/>
      <c r="AV135" s="1461"/>
      <c r="AW135" s="1461"/>
      <c r="AX135" s="1461"/>
      <c r="AY135" s="1461"/>
      <c r="AZ135" s="1461"/>
      <c r="BA135" s="1461"/>
      <c r="BB135" s="1461"/>
      <c r="BC135" s="1461"/>
      <c r="BD135" s="1461"/>
      <c r="BE135" s="1461"/>
      <c r="BF135" s="1461"/>
      <c r="BG135" s="1461"/>
    </row>
    <row r="136" spans="8:8" hidden="1">
      <c r="B136" s="1461"/>
      <c r="C136" s="1461"/>
      <c r="D136" s="1529"/>
      <c r="Z136" s="1529"/>
      <c r="AA136" s="1529"/>
      <c r="AB136" s="1529"/>
      <c r="AC136" s="1529"/>
      <c r="AD136" s="1529"/>
      <c r="AE136" s="1529"/>
      <c r="AF136" s="1529"/>
      <c r="AG136" s="1529"/>
      <c r="AH136" s="1529"/>
      <c r="AI136" s="1529"/>
      <c r="AJ136" s="1529"/>
      <c r="AK136" s="1529"/>
      <c r="AL136" s="1529"/>
      <c r="AM136" s="1529"/>
      <c r="AN136" s="1529"/>
      <c r="AO136" s="1529"/>
      <c r="AP136" s="1529"/>
      <c r="AQ136" s="1530"/>
      <c r="AR136" s="1461"/>
      <c r="AS136" s="1461"/>
      <c r="AT136" s="1461"/>
      <c r="AU136" s="1461"/>
      <c r="AV136" s="1461"/>
      <c r="AW136" s="1461"/>
      <c r="AX136" s="1461"/>
      <c r="AY136" s="1461"/>
      <c r="AZ136" s="1461"/>
      <c r="BA136" s="1461"/>
      <c r="BB136" s="1461"/>
      <c r="BC136" s="1461"/>
      <c r="BD136" s="1461"/>
      <c r="BE136" s="1461"/>
      <c r="BF136" s="1461"/>
      <c r="BG136" s="1461"/>
    </row>
    <row r="137" spans="8:8" hidden="1">
      <c r="B137" s="1461"/>
      <c r="C137" s="1461"/>
      <c r="D137" s="1529"/>
      <c r="Z137" s="1529"/>
      <c r="AA137" s="1529"/>
      <c r="AB137" s="1529"/>
      <c r="AC137" s="1529"/>
      <c r="AD137" s="1529"/>
      <c r="AE137" s="1529"/>
      <c r="AF137" s="1529"/>
      <c r="AG137" s="1529"/>
      <c r="AH137" s="1529"/>
      <c r="AI137" s="1529"/>
      <c r="AJ137" s="1529"/>
      <c r="AK137" s="1529"/>
      <c r="AL137" s="1529"/>
      <c r="AM137" s="1529"/>
      <c r="AN137" s="1529"/>
      <c r="AO137" s="1529"/>
      <c r="AP137" s="1529"/>
      <c r="AQ137" s="1530"/>
      <c r="AR137" s="1461"/>
      <c r="AS137" s="1461"/>
      <c r="AT137" s="1461"/>
      <c r="AU137" s="1461"/>
      <c r="AV137" s="1461"/>
      <c r="AW137" s="1461"/>
      <c r="AX137" s="1461"/>
      <c r="AY137" s="1461"/>
      <c r="AZ137" s="1461"/>
      <c r="BA137" s="1461"/>
      <c r="BB137" s="1461"/>
      <c r="BC137" s="1461"/>
      <c r="BD137" s="1461"/>
      <c r="BE137" s="1461"/>
      <c r="BF137" s="1461"/>
      <c r="BG137" s="1461"/>
    </row>
    <row r="138" spans="8:8" hidden="1">
      <c r="B138" s="1461"/>
      <c r="C138" s="1461"/>
      <c r="D138" s="1529"/>
      <c r="Z138" s="1529"/>
      <c r="AA138" s="1529"/>
      <c r="AB138" s="1529"/>
      <c r="AC138" s="1529"/>
      <c r="AD138" s="1529"/>
      <c r="AE138" s="1529"/>
      <c r="AF138" s="1529"/>
      <c r="AG138" s="1529"/>
      <c r="AH138" s="1529"/>
      <c r="AI138" s="1529"/>
      <c r="AJ138" s="1529"/>
      <c r="AK138" s="1529"/>
      <c r="AL138" s="1529"/>
      <c r="AM138" s="1529"/>
      <c r="AN138" s="1529"/>
      <c r="AO138" s="1529"/>
      <c r="AP138" s="1529"/>
      <c r="AQ138" s="1530"/>
      <c r="AR138" s="1461"/>
      <c r="AS138" s="1461"/>
      <c r="AT138" s="1461"/>
      <c r="AU138" s="1461"/>
      <c r="AV138" s="1461"/>
      <c r="AW138" s="1461"/>
      <c r="AX138" s="1461"/>
      <c r="AY138" s="1461"/>
      <c r="AZ138" s="1461"/>
      <c r="BA138" s="1461"/>
      <c r="BB138" s="1461"/>
      <c r="BC138" s="1461"/>
      <c r="BD138" s="1461"/>
      <c r="BE138" s="1461"/>
      <c r="BF138" s="1461"/>
      <c r="BG138" s="1461"/>
    </row>
    <row r="139" spans="8:8" hidden="1">
      <c r="B139" s="1461"/>
      <c r="C139" s="1461"/>
      <c r="D139" s="1529"/>
      <c r="Z139" s="1529"/>
      <c r="AA139" s="1529"/>
      <c r="AB139" s="1529"/>
      <c r="AC139" s="1529"/>
      <c r="AD139" s="1529"/>
      <c r="AE139" s="1529"/>
      <c r="AF139" s="1529"/>
      <c r="AG139" s="1529"/>
      <c r="AH139" s="1529"/>
      <c r="AI139" s="1529"/>
      <c r="AJ139" s="1529"/>
      <c r="AK139" s="1529"/>
      <c r="AL139" s="1529"/>
      <c r="AM139" s="1529"/>
      <c r="AN139" s="1529"/>
      <c r="AO139" s="1529"/>
      <c r="AP139" s="1529"/>
      <c r="AQ139" s="1530"/>
      <c r="AR139" s="1461"/>
      <c r="AS139" s="1461"/>
      <c r="AT139" s="1461"/>
      <c r="AU139" s="1461"/>
      <c r="AV139" s="1461"/>
      <c r="AW139" s="1461"/>
      <c r="AX139" s="1461"/>
      <c r="AY139" s="1461"/>
      <c r="AZ139" s="1461"/>
      <c r="BA139" s="1461"/>
      <c r="BB139" s="1461"/>
      <c r="BC139" s="1461"/>
      <c r="BD139" s="1461"/>
      <c r="BE139" s="1461"/>
      <c r="BF139" s="1461"/>
      <c r="BG139" s="1461"/>
    </row>
    <row r="140" spans="8:8" hidden="1">
      <c r="B140" s="1461"/>
      <c r="C140" s="1461"/>
      <c r="D140" s="1529"/>
      <c r="Z140" s="1529"/>
      <c r="AA140" s="1529"/>
      <c r="AB140" s="1529"/>
      <c r="AC140" s="1529"/>
      <c r="AD140" s="1529"/>
      <c r="AE140" s="1529"/>
      <c r="AF140" s="1529"/>
      <c r="AG140" s="1529"/>
      <c r="AH140" s="1529"/>
      <c r="AI140" s="1529"/>
      <c r="AJ140" s="1529"/>
      <c r="AK140" s="1529"/>
      <c r="AL140" s="1529"/>
      <c r="AM140" s="1529"/>
      <c r="AN140" s="1529"/>
      <c r="AO140" s="1529"/>
      <c r="AP140" s="1529"/>
      <c r="AQ140" s="1530"/>
      <c r="AR140" s="1461"/>
      <c r="AS140" s="1461"/>
      <c r="AT140" s="1461"/>
      <c r="AU140" s="1461"/>
      <c r="AV140" s="1461"/>
      <c r="AW140" s="1461"/>
      <c r="AX140" s="1461"/>
      <c r="AY140" s="1461"/>
      <c r="AZ140" s="1461"/>
      <c r="BA140" s="1461"/>
      <c r="BB140" s="1461"/>
      <c r="BC140" s="1461"/>
      <c r="BD140" s="1461"/>
      <c r="BE140" s="1461"/>
      <c r="BF140" s="1461"/>
      <c r="BG140" s="1461"/>
    </row>
    <row r="141" spans="8:8" hidden="1">
      <c r="B141" s="1461"/>
      <c r="C141" s="1461"/>
      <c r="D141" s="1529"/>
      <c r="Z141" s="1529"/>
      <c r="AA141" s="1529"/>
      <c r="AB141" s="1529"/>
      <c r="AC141" s="1529"/>
      <c r="AD141" s="1529"/>
      <c r="AE141" s="1529"/>
      <c r="AF141" s="1529"/>
      <c r="AG141" s="1529"/>
      <c r="AH141" s="1529"/>
      <c r="AI141" s="1529"/>
      <c r="AJ141" s="1529"/>
      <c r="AK141" s="1529"/>
      <c r="AL141" s="1529"/>
      <c r="AM141" s="1529"/>
      <c r="AN141" s="1529"/>
      <c r="AO141" s="1529"/>
      <c r="AP141" s="1529"/>
      <c r="AQ141" s="1530"/>
      <c r="AR141" s="1461"/>
      <c r="AS141" s="1461"/>
      <c r="AT141" s="1461"/>
      <c r="AU141" s="1461"/>
      <c r="AV141" s="1461"/>
      <c r="AW141" s="1461"/>
      <c r="AX141" s="1461"/>
      <c r="AY141" s="1461"/>
      <c r="AZ141" s="1461"/>
      <c r="BA141" s="1461"/>
      <c r="BB141" s="1461"/>
      <c r="BC141" s="1461"/>
      <c r="BD141" s="1461"/>
      <c r="BE141" s="1461"/>
      <c r="BF141" s="1461"/>
      <c r="BG141" s="1461"/>
    </row>
    <row r="142" spans="8:8" hidden="1">
      <c r="B142" s="1461"/>
      <c r="C142" s="1461"/>
      <c r="D142" s="1529"/>
      <c r="Z142" s="1529"/>
      <c r="AA142" s="1529"/>
      <c r="AB142" s="1529"/>
      <c r="AC142" s="1529"/>
      <c r="AD142" s="1529"/>
      <c r="AE142" s="1529"/>
      <c r="AF142" s="1529"/>
      <c r="AG142" s="1529"/>
      <c r="AH142" s="1529"/>
      <c r="AI142" s="1529"/>
      <c r="AJ142" s="1529"/>
      <c r="AK142" s="1529"/>
      <c r="AL142" s="1529"/>
      <c r="AM142" s="1529"/>
      <c r="AN142" s="1529"/>
      <c r="AO142" s="1529"/>
      <c r="AP142" s="1529"/>
      <c r="AQ142" s="1530"/>
      <c r="AR142" s="1461"/>
      <c r="AS142" s="1461"/>
      <c r="AT142" s="1461"/>
      <c r="AU142" s="1461"/>
      <c r="AV142" s="1461"/>
      <c r="AW142" s="1461"/>
      <c r="AX142" s="1461"/>
      <c r="AY142" s="1461"/>
      <c r="AZ142" s="1461"/>
      <c r="BA142" s="1461"/>
      <c r="BB142" s="1461"/>
      <c r="BC142" s="1461"/>
      <c r="BD142" s="1461"/>
      <c r="BE142" s="1461"/>
      <c r="BF142" s="1461"/>
      <c r="BG142" s="1461"/>
    </row>
    <row r="143" spans="8:8" hidden="1">
      <c r="B143" s="1461"/>
      <c r="C143" s="1461"/>
      <c r="D143" s="1529"/>
      <c r="Z143" s="1529"/>
      <c r="AA143" s="1529"/>
      <c r="AB143" s="1529"/>
      <c r="AC143" s="1529"/>
      <c r="AD143" s="1529"/>
      <c r="AE143" s="1529"/>
      <c r="AF143" s="1529"/>
      <c r="AG143" s="1529"/>
      <c r="AH143" s="1529"/>
      <c r="AI143" s="1529"/>
      <c r="AJ143" s="1529"/>
      <c r="AK143" s="1529"/>
      <c r="AL143" s="1529"/>
      <c r="AM143" s="1529"/>
      <c r="AN143" s="1529"/>
      <c r="AO143" s="1529"/>
      <c r="AP143" s="1529"/>
      <c r="AQ143" s="1530"/>
      <c r="AR143" s="1461"/>
      <c r="AS143" s="1461"/>
      <c r="AT143" s="1461"/>
      <c r="AU143" s="1461"/>
      <c r="AV143" s="1461"/>
      <c r="AW143" s="1461"/>
      <c r="AX143" s="1461"/>
      <c r="AY143" s="1461"/>
      <c r="AZ143" s="1461"/>
      <c r="BA143" s="1461"/>
      <c r="BB143" s="1461"/>
      <c r="BC143" s="1461"/>
      <c r="BD143" s="1461"/>
      <c r="BE143" s="1461"/>
      <c r="BF143" s="1461"/>
      <c r="BG143" s="1461"/>
    </row>
    <row r="144" spans="8:8" hidden="1">
      <c r="B144" s="1461"/>
      <c r="C144" s="1461"/>
      <c r="D144" s="1529"/>
      <c r="Z144" s="1529"/>
      <c r="AA144" s="1529"/>
      <c r="AB144" s="1529"/>
      <c r="AC144" s="1529"/>
      <c r="AD144" s="1529"/>
      <c r="AE144" s="1529"/>
      <c r="AF144" s="1529"/>
      <c r="AG144" s="1529"/>
      <c r="AH144" s="1529"/>
      <c r="AI144" s="1529"/>
      <c r="AJ144" s="1529"/>
      <c r="AK144" s="1529"/>
      <c r="AL144" s="1529"/>
      <c r="AM144" s="1529"/>
      <c r="AN144" s="1529"/>
      <c r="AO144" s="1529"/>
      <c r="AP144" s="1529"/>
      <c r="AQ144" s="1530"/>
      <c r="AR144" s="1461"/>
      <c r="AS144" s="1461"/>
      <c r="AT144" s="1461"/>
      <c r="AU144" s="1461"/>
      <c r="AV144" s="1461"/>
      <c r="AW144" s="1461"/>
      <c r="AX144" s="1461"/>
      <c r="AY144" s="1461"/>
      <c r="AZ144" s="1461"/>
      <c r="BA144" s="1461"/>
      <c r="BB144" s="1461"/>
      <c r="BC144" s="1461"/>
      <c r="BD144" s="1461"/>
      <c r="BE144" s="1461"/>
      <c r="BF144" s="1461"/>
      <c r="BG144" s="1461"/>
    </row>
    <row r="145" spans="8:8" hidden="1">
      <c r="B145" s="1461"/>
      <c r="C145" s="1461"/>
      <c r="D145" s="1529"/>
      <c r="Z145" s="1529"/>
      <c r="AA145" s="1529"/>
      <c r="AB145" s="1529"/>
      <c r="AC145" s="1529"/>
      <c r="AD145" s="1529"/>
      <c r="AE145" s="1529"/>
      <c r="AF145" s="1529"/>
      <c r="AG145" s="1529"/>
      <c r="AH145" s="1529"/>
      <c r="AI145" s="1529"/>
      <c r="AJ145" s="1529"/>
      <c r="AK145" s="1529"/>
      <c r="AL145" s="1529"/>
      <c r="AM145" s="1529"/>
      <c r="AN145" s="1529"/>
      <c r="AO145" s="1529"/>
      <c r="AP145" s="1529"/>
      <c r="AQ145" s="1530"/>
      <c r="AR145" s="1461"/>
      <c r="AS145" s="1461"/>
      <c r="AT145" s="1461"/>
      <c r="AU145" s="1461"/>
      <c r="AV145" s="1461"/>
      <c r="AW145" s="1461"/>
      <c r="AX145" s="1461"/>
      <c r="AY145" s="1461"/>
      <c r="AZ145" s="1461"/>
      <c r="BA145" s="1461"/>
      <c r="BB145" s="1461"/>
      <c r="BC145" s="1461"/>
      <c r="BD145" s="1461"/>
      <c r="BE145" s="1461"/>
      <c r="BF145" s="1461"/>
      <c r="BG145" s="1461"/>
    </row>
    <row r="146" spans="8:8" hidden="1">
      <c r="B146" s="1461"/>
      <c r="C146" s="1461"/>
      <c r="D146" s="1529"/>
      <c r="Z146" s="1529"/>
      <c r="AA146" s="1529"/>
      <c r="AB146" s="1529"/>
      <c r="AC146" s="1529"/>
      <c r="AD146" s="1529"/>
      <c r="AE146" s="1529"/>
      <c r="AF146" s="1529"/>
      <c r="AG146" s="1529"/>
      <c r="AH146" s="1529"/>
      <c r="AI146" s="1529"/>
      <c r="AJ146" s="1529"/>
      <c r="AK146" s="1529"/>
      <c r="AL146" s="1529"/>
      <c r="AM146" s="1529"/>
      <c r="AN146" s="1529"/>
      <c r="AO146" s="1529"/>
      <c r="AP146" s="1529"/>
      <c r="AQ146" s="1530"/>
      <c r="AR146" s="1461"/>
      <c r="AS146" s="1461"/>
      <c r="AT146" s="1461"/>
      <c r="AU146" s="1461"/>
      <c r="AV146" s="1461"/>
      <c r="AW146" s="1461"/>
      <c r="AX146" s="1461"/>
      <c r="AY146" s="1461"/>
      <c r="AZ146" s="1461"/>
      <c r="BA146" s="1461"/>
      <c r="BB146" s="1461"/>
      <c r="BC146" s="1461"/>
      <c r="BD146" s="1461"/>
      <c r="BE146" s="1461"/>
      <c r="BF146" s="1461"/>
      <c r="BG146" s="1461"/>
    </row>
    <row r="147" spans="8:8" hidden="1">
      <c r="B147" s="1461"/>
      <c r="C147" s="1461"/>
      <c r="D147" s="1529"/>
      <c r="Z147" s="1529"/>
      <c r="AA147" s="1529"/>
      <c r="AB147" s="1529"/>
      <c r="AC147" s="1529"/>
      <c r="AD147" s="1529"/>
      <c r="AE147" s="1529"/>
      <c r="AF147" s="1529"/>
      <c r="AG147" s="1529"/>
      <c r="AH147" s="1529"/>
      <c r="AI147" s="1529"/>
      <c r="AJ147" s="1529"/>
      <c r="AK147" s="1529"/>
      <c r="AL147" s="1529"/>
      <c r="AM147" s="1529"/>
      <c r="AN147" s="1529"/>
      <c r="AO147" s="1529"/>
      <c r="AP147" s="1529"/>
      <c r="AQ147" s="1530"/>
      <c r="AR147" s="1461"/>
      <c r="AS147" s="1461"/>
      <c r="AT147" s="1461"/>
      <c r="AU147" s="1461"/>
      <c r="AV147" s="1461"/>
      <c r="AW147" s="1461"/>
      <c r="AX147" s="1461"/>
      <c r="AY147" s="1461"/>
      <c r="AZ147" s="1461"/>
      <c r="BA147" s="1461"/>
      <c r="BB147" s="1461"/>
      <c r="BC147" s="1461"/>
      <c r="BD147" s="1461"/>
      <c r="BE147" s="1461"/>
      <c r="BF147" s="1461"/>
      <c r="BG147" s="1461"/>
    </row>
    <row r="148" spans="8:8" hidden="1">
      <c r="B148" s="1461"/>
      <c r="C148" s="1461"/>
      <c r="D148" s="1529"/>
      <c r="Z148" s="1529"/>
      <c r="AA148" s="1529"/>
      <c r="AB148" s="1529"/>
      <c r="AC148" s="1529"/>
      <c r="AD148" s="1529"/>
      <c r="AE148" s="1529"/>
      <c r="AF148" s="1529"/>
      <c r="AG148" s="1529"/>
      <c r="AH148" s="1529"/>
      <c r="AI148" s="1529"/>
      <c r="AJ148" s="1529"/>
      <c r="AK148" s="1529"/>
      <c r="AL148" s="1529"/>
      <c r="AM148" s="1529"/>
      <c r="AN148" s="1529"/>
      <c r="AO148" s="1529"/>
      <c r="AP148" s="1529"/>
      <c r="AQ148" s="1530"/>
      <c r="AR148" s="1461"/>
      <c r="AS148" s="1461"/>
      <c r="AT148" s="1461"/>
      <c r="AU148" s="1461"/>
      <c r="AV148" s="1461"/>
      <c r="AW148" s="1461"/>
      <c r="AX148" s="1461"/>
      <c r="AY148" s="1461"/>
      <c r="AZ148" s="1461"/>
      <c r="BA148" s="1461"/>
      <c r="BB148" s="1461"/>
      <c r="BC148" s="1461"/>
      <c r="BD148" s="1461"/>
      <c r="BE148" s="1461"/>
      <c r="BF148" s="1461"/>
      <c r="BG148" s="1461"/>
    </row>
    <row r="149" spans="8:8" hidden="1">
      <c r="B149" s="1461"/>
      <c r="C149" s="1461"/>
      <c r="D149" s="1529"/>
      <c r="Z149" s="1529"/>
      <c r="AA149" s="1529"/>
      <c r="AB149" s="1529"/>
      <c r="AC149" s="1529"/>
      <c r="AD149" s="1529"/>
      <c r="AE149" s="1529"/>
      <c r="AF149" s="1529"/>
      <c r="AG149" s="1529"/>
      <c r="AH149" s="1529"/>
      <c r="AI149" s="1529"/>
      <c r="AJ149" s="1529"/>
      <c r="AK149" s="1529"/>
      <c r="AL149" s="1529"/>
      <c r="AM149" s="1529"/>
      <c r="AN149" s="1529"/>
      <c r="AO149" s="1529"/>
      <c r="AP149" s="1529"/>
      <c r="AQ149" s="1530"/>
      <c r="AR149" s="1461"/>
      <c r="AS149" s="1461"/>
      <c r="AT149" s="1461"/>
      <c r="AU149" s="1461"/>
      <c r="AV149" s="1461"/>
      <c r="AW149" s="1461"/>
      <c r="AX149" s="1461"/>
      <c r="AY149" s="1461"/>
      <c r="AZ149" s="1461"/>
      <c r="BA149" s="1461"/>
      <c r="BB149" s="1461"/>
      <c r="BC149" s="1461"/>
      <c r="BD149" s="1461"/>
      <c r="BE149" s="1461"/>
      <c r="BF149" s="1461"/>
      <c r="BG149" s="1461"/>
    </row>
    <row r="150" spans="8:8" hidden="1">
      <c r="B150" s="1461"/>
      <c r="C150" s="1461"/>
      <c r="D150" s="1529"/>
      <c r="Z150" s="1529"/>
      <c r="AA150" s="1529"/>
      <c r="AB150" s="1529"/>
      <c r="AC150" s="1529"/>
      <c r="AD150" s="1529"/>
      <c r="AE150" s="1529"/>
      <c r="AF150" s="1529"/>
      <c r="AG150" s="1529"/>
      <c r="AH150" s="1529"/>
      <c r="AI150" s="1529"/>
      <c r="AJ150" s="1529"/>
      <c r="AK150" s="1529"/>
      <c r="AL150" s="1529"/>
      <c r="AM150" s="1529"/>
      <c r="AN150" s="1529"/>
      <c r="AO150" s="1529"/>
      <c r="AP150" s="1529"/>
      <c r="AQ150" s="1530"/>
      <c r="AR150" s="1461"/>
      <c r="AS150" s="1461"/>
      <c r="AT150" s="1461"/>
      <c r="AU150" s="1461"/>
      <c r="AV150" s="1461"/>
      <c r="AW150" s="1461"/>
      <c r="AX150" s="1461"/>
      <c r="AY150" s="1461"/>
      <c r="AZ150" s="1461"/>
      <c r="BA150" s="1461"/>
      <c r="BB150" s="1461"/>
      <c r="BC150" s="1461"/>
      <c r="BD150" s="1461"/>
      <c r="BE150" s="1461"/>
      <c r="BF150" s="1461"/>
      <c r="BG150" s="1461"/>
    </row>
    <row r="151" spans="8:8" hidden="1">
      <c r="B151" s="1461"/>
      <c r="C151" s="1461"/>
      <c r="D151" s="1529"/>
      <c r="Z151" s="1529"/>
      <c r="AA151" s="1529"/>
      <c r="AB151" s="1529"/>
      <c r="AC151" s="1529"/>
      <c r="AD151" s="1529"/>
      <c r="AE151" s="1529"/>
      <c r="AF151" s="1529"/>
      <c r="AG151" s="1529"/>
      <c r="AH151" s="1529"/>
      <c r="AI151" s="1529"/>
      <c r="AJ151" s="1529"/>
      <c r="AK151" s="1529"/>
      <c r="AL151" s="1529"/>
      <c r="AM151" s="1529"/>
      <c r="AN151" s="1529"/>
      <c r="AO151" s="1529"/>
      <c r="AP151" s="1529"/>
      <c r="AQ151" s="1530"/>
      <c r="AR151" s="1461"/>
      <c r="AS151" s="1461"/>
      <c r="AT151" s="1461"/>
      <c r="AU151" s="1461"/>
      <c r="AV151" s="1461"/>
      <c r="AW151" s="1461"/>
      <c r="AX151" s="1461"/>
      <c r="AY151" s="1461"/>
      <c r="AZ151" s="1461"/>
      <c r="BA151" s="1461"/>
      <c r="BB151" s="1461"/>
      <c r="BC151" s="1461"/>
      <c r="BD151" s="1461"/>
      <c r="BE151" s="1461"/>
      <c r="BF151" s="1461"/>
      <c r="BG151" s="1461"/>
    </row>
    <row r="152" spans="8:8" hidden="1">
      <c r="B152" s="1461"/>
      <c r="C152" s="1461"/>
      <c r="D152" s="1529"/>
      <c r="Z152" s="1529"/>
      <c r="AA152" s="1529"/>
      <c r="AB152" s="1529"/>
      <c r="AC152" s="1529"/>
      <c r="AD152" s="1529"/>
      <c r="AE152" s="1529"/>
      <c r="AF152" s="1529"/>
      <c r="AG152" s="1529"/>
      <c r="AH152" s="1529"/>
      <c r="AI152" s="1529"/>
      <c r="AJ152" s="1529"/>
      <c r="AK152" s="1529"/>
      <c r="AL152" s="1529"/>
      <c r="AM152" s="1529"/>
      <c r="AN152" s="1529"/>
      <c r="AO152" s="1529"/>
      <c r="AP152" s="1529"/>
      <c r="AQ152" s="1530"/>
      <c r="AR152" s="1461"/>
      <c r="AS152" s="1461"/>
      <c r="AT152" s="1461"/>
      <c r="AU152" s="1461"/>
      <c r="AV152" s="1461"/>
      <c r="AW152" s="1461"/>
      <c r="AX152" s="1461"/>
      <c r="AY152" s="1461"/>
      <c r="AZ152" s="1461"/>
      <c r="BA152" s="1461"/>
      <c r="BB152" s="1461"/>
      <c r="BC152" s="1461"/>
      <c r="BD152" s="1461"/>
      <c r="BE152" s="1461"/>
      <c r="BF152" s="1461"/>
      <c r="BG152" s="1461"/>
    </row>
    <row r="153" spans="8:8" hidden="1">
      <c r="B153" s="1461"/>
      <c r="C153" s="1461"/>
      <c r="D153" s="1529"/>
      <c r="Z153" s="1529"/>
      <c r="AA153" s="1529"/>
      <c r="AB153" s="1529"/>
      <c r="AC153" s="1529"/>
      <c r="AD153" s="1529"/>
      <c r="AE153" s="1529"/>
      <c r="AF153" s="1529"/>
      <c r="AG153" s="1529"/>
      <c r="AH153" s="1529"/>
      <c r="AI153" s="1529"/>
      <c r="AJ153" s="1529"/>
      <c r="AK153" s="1529"/>
      <c r="AL153" s="1529"/>
      <c r="AM153" s="1529"/>
      <c r="AN153" s="1529"/>
      <c r="AO153" s="1529"/>
      <c r="AP153" s="1529"/>
      <c r="AQ153" s="1530"/>
      <c r="AR153" s="1461"/>
      <c r="AS153" s="1461"/>
      <c r="AT153" s="1461"/>
      <c r="AU153" s="1461"/>
      <c r="AV153" s="1461"/>
      <c r="AW153" s="1461"/>
      <c r="AX153" s="1461"/>
      <c r="AY153" s="1461"/>
      <c r="AZ153" s="1461"/>
      <c r="BA153" s="1461"/>
      <c r="BB153" s="1461"/>
      <c r="BC153" s="1461"/>
      <c r="BD153" s="1461"/>
      <c r="BE153" s="1461"/>
      <c r="BF153" s="1461"/>
      <c r="BG153" s="1461"/>
    </row>
    <row r="154" spans="8:8" hidden="1">
      <c r="B154" s="1461"/>
      <c r="C154" s="1461"/>
      <c r="D154" s="1529"/>
      <c r="Z154" s="1529"/>
      <c r="AA154" s="1529"/>
      <c r="AB154" s="1529"/>
      <c r="AC154" s="1529"/>
      <c r="AD154" s="1529"/>
      <c r="AE154" s="1529"/>
      <c r="AF154" s="1529"/>
      <c r="AG154" s="1529"/>
      <c r="AH154" s="1529"/>
      <c r="AI154" s="1529"/>
      <c r="AJ154" s="1529"/>
      <c r="AK154" s="1529"/>
      <c r="AL154" s="1529"/>
      <c r="AM154" s="1529"/>
      <c r="AN154" s="1529"/>
      <c r="AO154" s="1529"/>
      <c r="AP154" s="1529"/>
      <c r="AQ154" s="1530"/>
      <c r="AR154" s="1461"/>
      <c r="AS154" s="1461"/>
      <c r="AT154" s="1461"/>
      <c r="AU154" s="1461"/>
      <c r="AV154" s="1461"/>
      <c r="AW154" s="1461"/>
      <c r="AX154" s="1461"/>
      <c r="AY154" s="1461"/>
      <c r="AZ154" s="1461"/>
      <c r="BA154" s="1461"/>
      <c r="BB154" s="1461"/>
      <c r="BC154" s="1461"/>
      <c r="BD154" s="1461"/>
      <c r="BE154" s="1461"/>
      <c r="BF154" s="1461"/>
      <c r="BG154" s="1461"/>
    </row>
    <row r="155" spans="8:8" hidden="1">
      <c r="B155" s="1461"/>
      <c r="C155" s="1461"/>
      <c r="D155" s="1529"/>
      <c r="Z155" s="1529"/>
      <c r="AA155" s="1529"/>
      <c r="AB155" s="1529"/>
      <c r="AC155" s="1529"/>
      <c r="AD155" s="1529"/>
      <c r="AE155" s="1529"/>
      <c r="AF155" s="1529"/>
      <c r="AG155" s="1529"/>
      <c r="AH155" s="1529"/>
      <c r="AI155" s="1529"/>
      <c r="AJ155" s="1529"/>
      <c r="AK155" s="1529"/>
      <c r="AL155" s="1529"/>
      <c r="AM155" s="1529"/>
      <c r="AN155" s="1529"/>
      <c r="AO155" s="1529"/>
      <c r="AP155" s="1529"/>
      <c r="AQ155" s="1530"/>
      <c r="AR155" s="1461"/>
      <c r="AS155" s="1461"/>
      <c r="AT155" s="1461"/>
      <c r="AU155" s="1461"/>
      <c r="AV155" s="1461"/>
      <c r="AW155" s="1461"/>
      <c r="AX155" s="1461"/>
      <c r="AY155" s="1461"/>
      <c r="AZ155" s="1461"/>
      <c r="BA155" s="1461"/>
      <c r="BB155" s="1461"/>
      <c r="BC155" s="1461"/>
      <c r="BD155" s="1461"/>
      <c r="BE155" s="1461"/>
      <c r="BF155" s="1461"/>
      <c r="BG155" s="1461"/>
    </row>
    <row r="156" spans="8:8" hidden="1">
      <c r="B156" s="1461"/>
      <c r="C156" s="1461"/>
      <c r="D156" s="1529"/>
      <c r="Z156" s="1529"/>
      <c r="AA156" s="1529"/>
      <c r="AB156" s="1529"/>
      <c r="AC156" s="1529"/>
      <c r="AD156" s="1529"/>
      <c r="AE156" s="1529"/>
      <c r="AF156" s="1529"/>
      <c r="AG156" s="1529"/>
      <c r="AH156" s="1529"/>
      <c r="AI156" s="1529"/>
      <c r="AJ156" s="1529"/>
      <c r="AK156" s="1529"/>
      <c r="AL156" s="1529"/>
      <c r="AM156" s="1529"/>
      <c r="AN156" s="1529"/>
      <c r="AO156" s="1529"/>
      <c r="AP156" s="1529"/>
      <c r="AQ156" s="1530"/>
      <c r="AR156" s="1461"/>
      <c r="AS156" s="1461"/>
      <c r="AT156" s="1461"/>
      <c r="AU156" s="1461"/>
      <c r="AV156" s="1461"/>
      <c r="AW156" s="1461"/>
      <c r="AX156" s="1461"/>
      <c r="AY156" s="1461"/>
      <c r="AZ156" s="1461"/>
      <c r="BA156" s="1461"/>
      <c r="BB156" s="1461"/>
      <c r="BC156" s="1461"/>
      <c r="BD156" s="1461"/>
      <c r="BE156" s="1461"/>
      <c r="BF156" s="1461"/>
      <c r="BG156" s="1461"/>
    </row>
    <row r="157" spans="8:8" hidden="1">
      <c r="B157" s="1461"/>
      <c r="C157" s="1461"/>
      <c r="D157" s="1529"/>
      <c r="Z157" s="1529"/>
      <c r="AA157" s="1529"/>
      <c r="AB157" s="1529"/>
      <c r="AC157" s="1529"/>
      <c r="AD157" s="1529"/>
      <c r="AE157" s="1529"/>
      <c r="AF157" s="1529"/>
      <c r="AG157" s="1529"/>
      <c r="AH157" s="1529"/>
      <c r="AI157" s="1529"/>
      <c r="AJ157" s="1529"/>
      <c r="AK157" s="1529"/>
      <c r="AL157" s="1529"/>
      <c r="AM157" s="1529"/>
      <c r="AN157" s="1529"/>
      <c r="AO157" s="1529"/>
      <c r="AP157" s="1529"/>
      <c r="AQ157" s="1530"/>
      <c r="AR157" s="1461"/>
      <c r="AS157" s="1461"/>
      <c r="AT157" s="1461"/>
      <c r="AU157" s="1461"/>
      <c r="AV157" s="1461"/>
      <c r="AW157" s="1461"/>
      <c r="AX157" s="1461"/>
      <c r="AY157" s="1461"/>
      <c r="AZ157" s="1461"/>
      <c r="BA157" s="1461"/>
      <c r="BB157" s="1461"/>
      <c r="BC157" s="1461"/>
      <c r="BD157" s="1461"/>
      <c r="BE157" s="1461"/>
      <c r="BF157" s="1461"/>
      <c r="BG157" s="1461"/>
    </row>
    <row r="158" spans="8:8" hidden="1">
      <c r="B158" s="1461"/>
      <c r="C158" s="1461"/>
      <c r="D158" s="1529"/>
      <c r="Z158" s="1529"/>
      <c r="AA158" s="1529"/>
      <c r="AB158" s="1529"/>
      <c r="AC158" s="1529"/>
      <c r="AD158" s="1529"/>
      <c r="AE158" s="1529"/>
      <c r="AF158" s="1529"/>
      <c r="AG158" s="1529"/>
      <c r="AH158" s="1529"/>
      <c r="AI158" s="1529"/>
      <c r="AJ158" s="1529"/>
      <c r="AK158" s="1529"/>
      <c r="AL158" s="1529"/>
      <c r="AM158" s="1529"/>
      <c r="AN158" s="1529"/>
      <c r="AO158" s="1529"/>
      <c r="AP158" s="1529"/>
      <c r="AQ158" s="1530"/>
      <c r="AR158" s="1461"/>
      <c r="AS158" s="1461"/>
      <c r="AT158" s="1461"/>
      <c r="AU158" s="1461"/>
      <c r="AV158" s="1461"/>
      <c r="AW158" s="1461"/>
      <c r="AX158" s="1461"/>
      <c r="AY158" s="1461"/>
      <c r="AZ158" s="1461"/>
      <c r="BA158" s="1461"/>
      <c r="BB158" s="1461"/>
      <c r="BC158" s="1461"/>
      <c r="BD158" s="1461"/>
      <c r="BE158" s="1461"/>
      <c r="BF158" s="1461"/>
      <c r="BG158" s="1461"/>
    </row>
    <row r="159" spans="8:8" hidden="1">
      <c r="B159" s="1461"/>
      <c r="C159" s="1461"/>
      <c r="D159" s="1529"/>
      <c r="Z159" s="1529"/>
      <c r="AA159" s="1529"/>
      <c r="AB159" s="1529"/>
      <c r="AC159" s="1529"/>
      <c r="AD159" s="1529"/>
      <c r="AE159" s="1529"/>
      <c r="AF159" s="1529"/>
      <c r="AG159" s="1529"/>
      <c r="AH159" s="1529"/>
      <c r="AI159" s="1529"/>
      <c r="AJ159" s="1529"/>
      <c r="AK159" s="1529"/>
      <c r="AL159" s="1529"/>
      <c r="AM159" s="1529"/>
      <c r="AN159" s="1529"/>
      <c r="AO159" s="1529"/>
      <c r="AP159" s="1529"/>
      <c r="AQ159" s="1530"/>
      <c r="AR159" s="1461"/>
      <c r="AS159" s="1461"/>
      <c r="AT159" s="1461"/>
      <c r="AU159" s="1461"/>
      <c r="AV159" s="1461"/>
      <c r="AW159" s="1461"/>
      <c r="AX159" s="1461"/>
      <c r="AY159" s="1461"/>
      <c r="AZ159" s="1461"/>
      <c r="BA159" s="1461"/>
      <c r="BB159" s="1461"/>
      <c r="BC159" s="1461"/>
      <c r="BD159" s="1461"/>
      <c r="BE159" s="1461"/>
      <c r="BF159" s="1461"/>
      <c r="BG159" s="1461"/>
    </row>
    <row r="160" spans="8:8" hidden="1">
      <c r="B160" s="1461"/>
      <c r="C160" s="1461"/>
      <c r="D160" s="1529"/>
      <c r="Z160" s="1529"/>
      <c r="AA160" s="1529"/>
      <c r="AB160" s="1529"/>
      <c r="AC160" s="1529"/>
      <c r="AD160" s="1529"/>
      <c r="AE160" s="1529"/>
      <c r="AF160" s="1529"/>
      <c r="AG160" s="1529"/>
      <c r="AH160" s="1529"/>
      <c r="AI160" s="1529"/>
      <c r="AJ160" s="1529"/>
      <c r="AK160" s="1529"/>
      <c r="AL160" s="1529"/>
      <c r="AM160" s="1529"/>
      <c r="AN160" s="1529"/>
      <c r="AO160" s="1529"/>
      <c r="AP160" s="1529"/>
      <c r="AQ160" s="1530"/>
      <c r="AR160" s="1461"/>
      <c r="AS160" s="1461"/>
      <c r="AT160" s="1461"/>
      <c r="AU160" s="1461"/>
      <c r="AV160" s="1461"/>
      <c r="AW160" s="1461"/>
      <c r="AX160" s="1461"/>
      <c r="AY160" s="1461"/>
      <c r="AZ160" s="1461"/>
      <c r="BA160" s="1461"/>
      <c r="BB160" s="1461"/>
      <c r="BC160" s="1461"/>
      <c r="BD160" s="1461"/>
      <c r="BE160" s="1461"/>
      <c r="BF160" s="1461"/>
      <c r="BG160" s="1461"/>
    </row>
    <row r="161" spans="8:8" hidden="1">
      <c r="B161" s="1461"/>
      <c r="C161" s="1461"/>
      <c r="D161" s="1529"/>
      <c r="Z161" s="1529"/>
      <c r="AA161" s="1529"/>
      <c r="AB161" s="1529"/>
      <c r="AC161" s="1529"/>
      <c r="AD161" s="1529"/>
      <c r="AE161" s="1529"/>
      <c r="AF161" s="1529"/>
      <c r="AG161" s="1529"/>
      <c r="AH161" s="1529"/>
      <c r="AI161" s="1529"/>
      <c r="AJ161" s="1529"/>
      <c r="AK161" s="1529"/>
      <c r="AL161" s="1529"/>
      <c r="AM161" s="1529"/>
      <c r="AN161" s="1529"/>
      <c r="AO161" s="1529"/>
      <c r="AP161" s="1529"/>
      <c r="AQ161" s="1530"/>
      <c r="AR161" s="1461"/>
      <c r="AS161" s="1461"/>
      <c r="AT161" s="1461"/>
      <c r="AU161" s="1461"/>
      <c r="AV161" s="1461"/>
      <c r="AW161" s="1461"/>
      <c r="AX161" s="1461"/>
      <c r="AY161" s="1461"/>
      <c r="AZ161" s="1461"/>
      <c r="BA161" s="1461"/>
      <c r="BB161" s="1461"/>
      <c r="BC161" s="1461"/>
      <c r="BD161" s="1461"/>
      <c r="BE161" s="1461"/>
      <c r="BF161" s="1461"/>
      <c r="BG161" s="1461"/>
    </row>
    <row r="162" spans="8:8" hidden="1">
      <c r="B162" s="1461"/>
      <c r="C162" s="1461"/>
      <c r="D162" s="1529"/>
      <c r="Z162" s="1529"/>
      <c r="AA162" s="1529"/>
      <c r="AB162" s="1529"/>
      <c r="AC162" s="1529"/>
      <c r="AD162" s="1529"/>
      <c r="AE162" s="1529"/>
      <c r="AF162" s="1529"/>
      <c r="AG162" s="1529"/>
      <c r="AH162" s="1529"/>
      <c r="AI162" s="1529"/>
      <c r="AJ162" s="1529"/>
      <c r="AK162" s="1529"/>
      <c r="AL162" s="1529"/>
      <c r="AM162" s="1529"/>
      <c r="AN162" s="1529"/>
      <c r="AO162" s="1529"/>
      <c r="AP162" s="1529"/>
      <c r="AQ162" s="1530"/>
      <c r="AR162" s="1461"/>
      <c r="AS162" s="1461"/>
      <c r="AT162" s="1461"/>
      <c r="AU162" s="1461"/>
      <c r="AV162" s="1461"/>
      <c r="AW162" s="1461"/>
      <c r="AX162" s="1461"/>
      <c r="AY162" s="1461"/>
      <c r="AZ162" s="1461"/>
      <c r="BA162" s="1461"/>
      <c r="BB162" s="1461"/>
      <c r="BC162" s="1461"/>
      <c r="BD162" s="1461"/>
      <c r="BE162" s="1461"/>
      <c r="BF162" s="1461"/>
      <c r="BG162" s="1461"/>
    </row>
    <row r="163" spans="8:8" hidden="1">
      <c r="B163" s="1461"/>
      <c r="C163" s="1461"/>
      <c r="D163" s="1529"/>
      <c r="Z163" s="1529"/>
      <c r="AA163" s="1529"/>
      <c r="AB163" s="1529"/>
      <c r="AC163" s="1529"/>
      <c r="AD163" s="1529"/>
      <c r="AE163" s="1529"/>
      <c r="AF163" s="1529"/>
      <c r="AG163" s="1529"/>
      <c r="AH163" s="1529"/>
      <c r="AI163" s="1529"/>
      <c r="AJ163" s="1529"/>
      <c r="AK163" s="1529"/>
      <c r="AL163" s="1529"/>
      <c r="AM163" s="1529"/>
      <c r="AN163" s="1529"/>
      <c r="AO163" s="1529"/>
      <c r="AP163" s="1529"/>
      <c r="AQ163" s="1530"/>
      <c r="AR163" s="1461"/>
      <c r="AS163" s="1461"/>
      <c r="AT163" s="1461"/>
      <c r="AU163" s="1461"/>
      <c r="AV163" s="1461"/>
      <c r="AW163" s="1461"/>
      <c r="AX163" s="1461"/>
      <c r="AY163" s="1461"/>
      <c r="AZ163" s="1461"/>
      <c r="BA163" s="1461"/>
      <c r="BB163" s="1461"/>
      <c r="BC163" s="1461"/>
      <c r="BD163" s="1461"/>
      <c r="BE163" s="1461"/>
      <c r="BF163" s="1461"/>
      <c r="BG163" s="1461"/>
    </row>
    <row r="164" spans="8:8" hidden="1">
      <c r="B164" s="1461"/>
      <c r="C164" s="1461"/>
      <c r="D164" s="1529"/>
      <c r="Z164" s="1529"/>
      <c r="AA164" s="1529"/>
      <c r="AB164" s="1529"/>
      <c r="AC164" s="1529"/>
      <c r="AD164" s="1529"/>
      <c r="AE164" s="1529"/>
      <c r="AF164" s="1529"/>
      <c r="AG164" s="1529"/>
      <c r="AH164" s="1529"/>
      <c r="AI164" s="1529"/>
      <c r="AJ164" s="1529"/>
      <c r="AK164" s="1529"/>
      <c r="AL164" s="1529"/>
      <c r="AM164" s="1529"/>
      <c r="AN164" s="1529"/>
      <c r="AO164" s="1529"/>
      <c r="AP164" s="1529"/>
      <c r="AQ164" s="1530"/>
      <c r="AR164" s="1461"/>
      <c r="AS164" s="1461"/>
      <c r="AT164" s="1461"/>
      <c r="AU164" s="1461"/>
      <c r="AV164" s="1461"/>
      <c r="AW164" s="1461"/>
      <c r="AX164" s="1461"/>
      <c r="AY164" s="1461"/>
      <c r="AZ164" s="1461"/>
      <c r="BA164" s="1461"/>
      <c r="BB164" s="1461"/>
      <c r="BC164" s="1461"/>
      <c r="BD164" s="1461"/>
      <c r="BE164" s="1461"/>
      <c r="BF164" s="1461"/>
      <c r="BG164" s="1461"/>
    </row>
    <row r="165" spans="8:8" hidden="1">
      <c r="B165" s="1461"/>
      <c r="C165" s="1461"/>
      <c r="D165" s="1529"/>
      <c r="Z165" s="1529"/>
      <c r="AA165" s="1529"/>
      <c r="AB165" s="1529"/>
      <c r="AC165" s="1529"/>
      <c r="AD165" s="1529"/>
      <c r="AE165" s="1529"/>
      <c r="AF165" s="1529"/>
      <c r="AG165" s="1529"/>
      <c r="AH165" s="1529"/>
      <c r="AI165" s="1529"/>
      <c r="AJ165" s="1529"/>
      <c r="AK165" s="1529"/>
      <c r="AL165" s="1529"/>
      <c r="AM165" s="1529"/>
      <c r="AN165" s="1529"/>
      <c r="AO165" s="1529"/>
      <c r="AP165" s="1529"/>
      <c r="AQ165" s="1530"/>
      <c r="AR165" s="1461"/>
      <c r="AS165" s="1461"/>
      <c r="AT165" s="1461"/>
      <c r="AU165" s="1461"/>
      <c r="AV165" s="1461"/>
      <c r="AW165" s="1461"/>
      <c r="AX165" s="1461"/>
      <c r="AY165" s="1461"/>
      <c r="AZ165" s="1461"/>
      <c r="BA165" s="1461"/>
      <c r="BB165" s="1461"/>
      <c r="BC165" s="1461"/>
      <c r="BD165" s="1461"/>
      <c r="BE165" s="1461"/>
      <c r="BF165" s="1461"/>
      <c r="BG165" s="1461"/>
    </row>
    <row r="166" spans="8:8" hidden="1">
      <c r="B166" s="1461"/>
      <c r="C166" s="1461"/>
      <c r="D166" s="1529"/>
      <c r="Z166" s="1529"/>
      <c r="AA166" s="1529"/>
      <c r="AB166" s="1529"/>
      <c r="AC166" s="1529"/>
      <c r="AD166" s="1529"/>
      <c r="AE166" s="1529"/>
      <c r="AF166" s="1529"/>
      <c r="AG166" s="1529"/>
      <c r="AH166" s="1529"/>
      <c r="AI166" s="1529"/>
      <c r="AJ166" s="1529"/>
      <c r="AK166" s="1529"/>
      <c r="AL166" s="1529"/>
      <c r="AM166" s="1529"/>
      <c r="AN166" s="1529"/>
      <c r="AO166" s="1529"/>
      <c r="AP166" s="1529"/>
      <c r="AQ166" s="1530"/>
      <c r="AR166" s="1461"/>
      <c r="AS166" s="1461"/>
      <c r="AT166" s="1461"/>
      <c r="AU166" s="1461"/>
      <c r="AV166" s="1461"/>
      <c r="AW166" s="1461"/>
      <c r="AX166" s="1461"/>
      <c r="AY166" s="1461"/>
      <c r="AZ166" s="1461"/>
      <c r="BA166" s="1461"/>
      <c r="BB166" s="1461"/>
      <c r="BC166" s="1461"/>
      <c r="BD166" s="1461"/>
      <c r="BE166" s="1461"/>
      <c r="BF166" s="1461"/>
      <c r="BG166" s="1461"/>
    </row>
    <row r="167" spans="8:8" hidden="1">
      <c r="B167" s="1461"/>
      <c r="C167" s="1461"/>
      <c r="D167" s="1529"/>
      <c r="Z167" s="1529"/>
      <c r="AA167" s="1529"/>
      <c r="AB167" s="1529"/>
      <c r="AC167" s="1529"/>
      <c r="AD167" s="1529"/>
      <c r="AE167" s="1529"/>
      <c r="AF167" s="1529"/>
      <c r="AG167" s="1529"/>
      <c r="AH167" s="1529"/>
      <c r="AI167" s="1529"/>
      <c r="AJ167" s="1529"/>
      <c r="AK167" s="1529"/>
      <c r="AL167" s="1529"/>
      <c r="AM167" s="1529"/>
      <c r="AN167" s="1529"/>
      <c r="AO167" s="1529"/>
      <c r="AP167" s="1529"/>
      <c r="AQ167" s="1530"/>
      <c r="AR167" s="1461"/>
      <c r="AS167" s="1461"/>
      <c r="AT167" s="1461"/>
      <c r="AU167" s="1461"/>
      <c r="AV167" s="1461"/>
      <c r="AW167" s="1461"/>
      <c r="AX167" s="1461"/>
      <c r="AY167" s="1461"/>
      <c r="AZ167" s="1461"/>
      <c r="BA167" s="1461"/>
      <c r="BB167" s="1461"/>
      <c r="BC167" s="1461"/>
      <c r="BD167" s="1461"/>
      <c r="BE167" s="1461"/>
      <c r="BF167" s="1461"/>
      <c r="BG167" s="1461"/>
    </row>
    <row r="168" spans="8:8" hidden="1">
      <c r="B168" s="1461"/>
      <c r="C168" s="1461"/>
      <c r="D168" s="1529"/>
      <c r="Z168" s="1529"/>
      <c r="AA168" s="1529"/>
      <c r="AB168" s="1529"/>
      <c r="AC168" s="1529"/>
      <c r="AD168" s="1529"/>
      <c r="AE168" s="1529"/>
      <c r="AF168" s="1529"/>
      <c r="AG168" s="1529"/>
      <c r="AH168" s="1529"/>
      <c r="AI168" s="1529"/>
      <c r="AJ168" s="1529"/>
      <c r="AK168" s="1529"/>
      <c r="AL168" s="1529"/>
      <c r="AM168" s="1529"/>
      <c r="AN168" s="1529"/>
      <c r="AO168" s="1529"/>
      <c r="AP168" s="1529"/>
      <c r="AQ168" s="1530"/>
      <c r="AR168" s="1461"/>
      <c r="AS168" s="1461"/>
      <c r="AT168" s="1461"/>
      <c r="AU168" s="1461"/>
      <c r="AV168" s="1461"/>
      <c r="AW168" s="1461"/>
      <c r="AX168" s="1461"/>
      <c r="AY168" s="1461"/>
      <c r="AZ168" s="1461"/>
      <c r="BA168" s="1461"/>
      <c r="BB168" s="1461"/>
      <c r="BC168" s="1461"/>
      <c r="BD168" s="1461"/>
      <c r="BE168" s="1461"/>
      <c r="BF168" s="1461"/>
      <c r="BG168" s="1461"/>
    </row>
    <row r="169" spans="8:8" hidden="1">
      <c r="B169" s="1461"/>
      <c r="C169" s="1461"/>
      <c r="D169" s="1529"/>
      <c r="Z169" s="1529"/>
      <c r="AA169" s="1529"/>
      <c r="AB169" s="1529"/>
      <c r="AC169" s="1529"/>
      <c r="AD169" s="1529"/>
      <c r="AE169" s="1529"/>
      <c r="AF169" s="1529"/>
      <c r="AG169" s="1529"/>
      <c r="AH169" s="1529"/>
      <c r="AI169" s="1529"/>
      <c r="AJ169" s="1529"/>
      <c r="AK169" s="1529"/>
      <c r="AL169" s="1529"/>
      <c r="AM169" s="1529"/>
      <c r="AN169" s="1529"/>
      <c r="AO169" s="1529"/>
      <c r="AP169" s="1529"/>
      <c r="AQ169" s="1530"/>
      <c r="AR169" s="1461"/>
      <c r="AS169" s="1461"/>
      <c r="AT169" s="1461"/>
      <c r="AU169" s="1461"/>
      <c r="AV169" s="1461"/>
      <c r="AW169" s="1461"/>
      <c r="AX169" s="1461"/>
      <c r="AY169" s="1461"/>
      <c r="AZ169" s="1461"/>
      <c r="BA169" s="1461"/>
      <c r="BB169" s="1461"/>
      <c r="BC169" s="1461"/>
      <c r="BD169" s="1461"/>
      <c r="BE169" s="1461"/>
      <c r="BF169" s="1461"/>
      <c r="BG169" s="1461"/>
    </row>
    <row r="170" spans="8:8" hidden="1">
      <c r="B170" s="1461"/>
      <c r="C170" s="1461"/>
      <c r="D170" s="1529"/>
      <c r="Z170" s="1529"/>
      <c r="AA170" s="1529"/>
      <c r="AB170" s="1529"/>
      <c r="AC170" s="1529"/>
      <c r="AD170" s="1529"/>
      <c r="AE170" s="1529"/>
      <c r="AF170" s="1529"/>
      <c r="AG170" s="1529"/>
      <c r="AH170" s="1529"/>
      <c r="AI170" s="1529"/>
      <c r="AJ170" s="1529"/>
      <c r="AK170" s="1529"/>
      <c r="AL170" s="1529"/>
      <c r="AM170" s="1529"/>
      <c r="AN170" s="1529"/>
      <c r="AO170" s="1529"/>
      <c r="AP170" s="1529"/>
      <c r="AQ170" s="1530"/>
      <c r="AR170" s="1461"/>
      <c r="AS170" s="1461"/>
      <c r="AT170" s="1461"/>
      <c r="AU170" s="1461"/>
      <c r="AV170" s="1461"/>
      <c r="AW170" s="1461"/>
      <c r="AX170" s="1461"/>
      <c r="AY170" s="1461"/>
      <c r="AZ170" s="1461"/>
      <c r="BA170" s="1461"/>
      <c r="BB170" s="1461"/>
      <c r="BC170" s="1461"/>
      <c r="BD170" s="1461"/>
      <c r="BE170" s="1461"/>
      <c r="BF170" s="1461"/>
      <c r="BG170" s="1461"/>
    </row>
    <row r="171" spans="8:8" hidden="1">
      <c r="B171" s="1461"/>
      <c r="C171" s="1461"/>
      <c r="D171" s="1529"/>
      <c r="Z171" s="1529"/>
      <c r="AA171" s="1529"/>
      <c r="AB171" s="1529"/>
      <c r="AC171" s="1529"/>
      <c r="AD171" s="1529"/>
      <c r="AE171" s="1529"/>
      <c r="AF171" s="1529"/>
      <c r="AG171" s="1529"/>
      <c r="AH171" s="1529"/>
      <c r="AI171" s="1529"/>
      <c r="AJ171" s="1529"/>
      <c r="AK171" s="1529"/>
      <c r="AL171" s="1529"/>
      <c r="AM171" s="1529"/>
      <c r="AN171" s="1529"/>
      <c r="AO171" s="1529"/>
      <c r="AP171" s="1529"/>
      <c r="AQ171" s="1530"/>
      <c r="AR171" s="1461"/>
      <c r="AS171" s="1461"/>
      <c r="AT171" s="1461"/>
      <c r="AU171" s="1461"/>
      <c r="AV171" s="1461"/>
      <c r="AW171" s="1461"/>
      <c r="AX171" s="1461"/>
      <c r="AY171" s="1461"/>
      <c r="AZ171" s="1461"/>
      <c r="BA171" s="1461"/>
      <c r="BB171" s="1461"/>
      <c r="BC171" s="1461"/>
      <c r="BD171" s="1461"/>
      <c r="BE171" s="1461"/>
      <c r="BF171" s="1461"/>
      <c r="BG171" s="1461"/>
    </row>
    <row r="172" spans="8:8" hidden="1">
      <c r="B172" s="1461"/>
      <c r="C172" s="1461"/>
      <c r="D172" s="1529"/>
      <c r="Z172" s="1529"/>
      <c r="AA172" s="1529"/>
      <c r="AB172" s="1529"/>
      <c r="AC172" s="1529"/>
      <c r="AD172" s="1529"/>
      <c r="AE172" s="1529"/>
      <c r="AF172" s="1529"/>
      <c r="AG172" s="1529"/>
      <c r="AH172" s="1529"/>
      <c r="AI172" s="1529"/>
      <c r="AJ172" s="1529"/>
      <c r="AK172" s="1529"/>
      <c r="AL172" s="1529"/>
      <c r="AM172" s="1529"/>
      <c r="AN172" s="1529"/>
      <c r="AO172" s="1529"/>
      <c r="AP172" s="1529"/>
      <c r="AQ172" s="1530"/>
      <c r="AR172" s="1461"/>
      <c r="AS172" s="1461"/>
      <c r="AT172" s="1461"/>
      <c r="AU172" s="1461"/>
      <c r="AV172" s="1461"/>
      <c r="AW172" s="1461"/>
      <c r="AX172" s="1461"/>
      <c r="AY172" s="1461"/>
      <c r="AZ172" s="1461"/>
      <c r="BA172" s="1461"/>
      <c r="BB172" s="1461"/>
      <c r="BC172" s="1461"/>
      <c r="BD172" s="1461"/>
      <c r="BE172" s="1461"/>
      <c r="BF172" s="1461"/>
      <c r="BG172" s="1461"/>
    </row>
    <row r="173" spans="8:8" hidden="1">
      <c r="B173" s="1461"/>
      <c r="C173" s="1461"/>
      <c r="D173" s="1529"/>
      <c r="Z173" s="1529"/>
      <c r="AA173" s="1529"/>
      <c r="AB173" s="1529"/>
      <c r="AC173" s="1529"/>
      <c r="AD173" s="1529"/>
      <c r="AE173" s="1529"/>
      <c r="AF173" s="1529"/>
      <c r="AG173" s="1529"/>
      <c r="AH173" s="1529"/>
      <c r="AI173" s="1529"/>
      <c r="AJ173" s="1529"/>
      <c r="AK173" s="1529"/>
      <c r="AL173" s="1529"/>
      <c r="AM173" s="1529"/>
      <c r="AN173" s="1529"/>
      <c r="AO173" s="1529"/>
      <c r="AP173" s="1529"/>
      <c r="AQ173" s="1530"/>
      <c r="AR173" s="1461"/>
      <c r="AS173" s="1461"/>
      <c r="AT173" s="1461"/>
      <c r="AU173" s="1461"/>
      <c r="AV173" s="1461"/>
      <c r="AW173" s="1461"/>
      <c r="AX173" s="1461"/>
      <c r="AY173" s="1461"/>
      <c r="AZ173" s="1461"/>
      <c r="BA173" s="1461"/>
      <c r="BB173" s="1461"/>
      <c r="BC173" s="1461"/>
      <c r="BD173" s="1461"/>
      <c r="BE173" s="1461"/>
      <c r="BF173" s="1461"/>
      <c r="BG173" s="1461"/>
    </row>
    <row r="174" spans="8:8" hidden="1">
      <c r="B174" s="1461"/>
      <c r="C174" s="1461"/>
      <c r="D174" s="1529"/>
      <c r="Z174" s="1529"/>
      <c r="AA174" s="1529"/>
      <c r="AB174" s="1529"/>
      <c r="AC174" s="1529"/>
      <c r="AD174" s="1529"/>
      <c r="AE174" s="1529"/>
      <c r="AF174" s="1529"/>
      <c r="AG174" s="1529"/>
      <c r="AH174" s="1529"/>
      <c r="AI174" s="1529"/>
      <c r="AJ174" s="1529"/>
      <c r="AK174" s="1529"/>
      <c r="AL174" s="1529"/>
      <c r="AM174" s="1529"/>
      <c r="AN174" s="1529"/>
      <c r="AO174" s="1529"/>
      <c r="AP174" s="1529"/>
      <c r="AQ174" s="1530"/>
      <c r="AR174" s="1461"/>
      <c r="AS174" s="1461"/>
      <c r="AT174" s="1461"/>
      <c r="AU174" s="1461"/>
      <c r="AV174" s="1461"/>
      <c r="AW174" s="1461"/>
      <c r="AX174" s="1461"/>
      <c r="AY174" s="1461"/>
      <c r="AZ174" s="1461"/>
      <c r="BA174" s="1461"/>
      <c r="BB174" s="1461"/>
      <c r="BC174" s="1461"/>
      <c r="BD174" s="1461"/>
      <c r="BE174" s="1461"/>
      <c r="BF174" s="1461"/>
      <c r="BG174" s="1461"/>
    </row>
    <row r="175" spans="8:8" hidden="1">
      <c r="B175" s="1461"/>
      <c r="C175" s="1461"/>
      <c r="D175" s="1529"/>
      <c r="Z175" s="1529"/>
      <c r="AA175" s="1529"/>
      <c r="AB175" s="1529"/>
      <c r="AC175" s="1529"/>
      <c r="AD175" s="1529"/>
      <c r="AE175" s="1529"/>
      <c r="AF175" s="1529"/>
      <c r="AG175" s="1529"/>
      <c r="AH175" s="1529"/>
      <c r="AI175" s="1529"/>
      <c r="AJ175" s="1529"/>
      <c r="AK175" s="1529"/>
      <c r="AL175" s="1529"/>
      <c r="AM175" s="1529"/>
      <c r="AN175" s="1529"/>
      <c r="AO175" s="1529"/>
      <c r="AP175" s="1529"/>
      <c r="AQ175" s="1530"/>
      <c r="AR175" s="1461"/>
      <c r="AS175" s="1461"/>
      <c r="AT175" s="1461"/>
      <c r="AU175" s="1461"/>
      <c r="AV175" s="1461"/>
      <c r="AW175" s="1461"/>
      <c r="AX175" s="1461"/>
      <c r="AY175" s="1461"/>
      <c r="AZ175" s="1461"/>
      <c r="BA175" s="1461"/>
      <c r="BB175" s="1461"/>
      <c r="BC175" s="1461"/>
      <c r="BD175" s="1461"/>
      <c r="BE175" s="1461"/>
      <c r="BF175" s="1461"/>
      <c r="BG175" s="1461"/>
    </row>
    <row r="176" spans="8:8" hidden="1">
      <c r="B176" s="1461"/>
      <c r="C176" s="1461"/>
      <c r="D176" s="1529"/>
      <c r="Z176" s="1529"/>
      <c r="AA176" s="1529"/>
      <c r="AB176" s="1529"/>
      <c r="AC176" s="1529"/>
      <c r="AD176" s="1529"/>
      <c r="AE176" s="1529"/>
      <c r="AF176" s="1529"/>
      <c r="AG176" s="1529"/>
      <c r="AH176" s="1529"/>
      <c r="AI176" s="1529"/>
      <c r="AJ176" s="1529"/>
      <c r="AK176" s="1529"/>
      <c r="AL176" s="1529"/>
      <c r="AM176" s="1529"/>
      <c r="AN176" s="1529"/>
      <c r="AO176" s="1529"/>
      <c r="AP176" s="1529"/>
      <c r="AQ176" s="1530"/>
      <c r="AR176" s="1461"/>
      <c r="AS176" s="1461"/>
      <c r="AT176" s="1461"/>
      <c r="AU176" s="1461"/>
      <c r="AV176" s="1461"/>
      <c r="AW176" s="1461"/>
      <c r="AX176" s="1461"/>
      <c r="AY176" s="1461"/>
      <c r="AZ176" s="1461"/>
      <c r="BA176" s="1461"/>
      <c r="BB176" s="1461"/>
      <c r="BC176" s="1461"/>
      <c r="BD176" s="1461"/>
      <c r="BE176" s="1461"/>
      <c r="BF176" s="1461"/>
      <c r="BG176" s="1461"/>
    </row>
    <row r="177" spans="8:8" hidden="1">
      <c r="B177" s="1461"/>
      <c r="C177" s="1461"/>
      <c r="D177" s="1529"/>
      <c r="Z177" s="1529"/>
      <c r="AA177" s="1529"/>
      <c r="AB177" s="1529"/>
      <c r="AC177" s="1529"/>
      <c r="AD177" s="1529"/>
      <c r="AE177" s="1529"/>
      <c r="AF177" s="1529"/>
      <c r="AG177" s="1529"/>
      <c r="AH177" s="1529"/>
      <c r="AI177" s="1529"/>
      <c r="AJ177" s="1529"/>
      <c r="AK177" s="1529"/>
      <c r="AL177" s="1529"/>
      <c r="AM177" s="1529"/>
      <c r="AN177" s="1529"/>
      <c r="AO177" s="1529"/>
      <c r="AP177" s="1529"/>
      <c r="AQ177" s="1530"/>
      <c r="AR177" s="1461"/>
      <c r="AS177" s="1461"/>
      <c r="AT177" s="1461"/>
      <c r="AU177" s="1461"/>
      <c r="AV177" s="1461"/>
      <c r="AW177" s="1461"/>
      <c r="AX177" s="1461"/>
      <c r="AY177" s="1461"/>
      <c r="AZ177" s="1461"/>
      <c r="BA177" s="1461"/>
      <c r="BB177" s="1461"/>
      <c r="BC177" s="1461"/>
      <c r="BD177" s="1461"/>
      <c r="BE177" s="1461"/>
      <c r="BF177" s="1461"/>
      <c r="BG177" s="1461"/>
    </row>
    <row r="178" spans="8:8" hidden="1">
      <c r="B178" s="1461"/>
      <c r="C178" s="1461"/>
      <c r="D178" s="1529"/>
      <c r="Z178" s="1529"/>
      <c r="AA178" s="1529"/>
      <c r="AB178" s="1529"/>
      <c r="AC178" s="1529"/>
      <c r="AD178" s="1529"/>
      <c r="AE178" s="1529"/>
      <c r="AF178" s="1529"/>
      <c r="AG178" s="1529"/>
      <c r="AH178" s="1529"/>
      <c r="AI178" s="1529"/>
      <c r="AJ178" s="1529"/>
      <c r="AK178" s="1529"/>
      <c r="AL178" s="1529"/>
      <c r="AM178" s="1529"/>
      <c r="AN178" s="1529"/>
      <c r="AO178" s="1529"/>
      <c r="AP178" s="1529"/>
      <c r="AQ178" s="1530"/>
      <c r="AR178" s="1461"/>
      <c r="AS178" s="1461"/>
      <c r="AT178" s="1461"/>
      <c r="AU178" s="1461"/>
      <c r="AV178" s="1461"/>
      <c r="AW178" s="1461"/>
      <c r="AX178" s="1461"/>
      <c r="AY178" s="1461"/>
      <c r="AZ178" s="1461"/>
      <c r="BA178" s="1461"/>
      <c r="BB178" s="1461"/>
      <c r="BC178" s="1461"/>
      <c r="BD178" s="1461"/>
      <c r="BE178" s="1461"/>
      <c r="BF178" s="1461"/>
      <c r="BG178" s="1461"/>
    </row>
    <row r="179" spans="8:8" hidden="1">
      <c r="B179" s="1461"/>
      <c r="C179" s="1461"/>
      <c r="D179" s="1529"/>
      <c r="Z179" s="1529"/>
      <c r="AA179" s="1529"/>
      <c r="AB179" s="1529"/>
      <c r="AC179" s="1529"/>
      <c r="AD179" s="1529"/>
      <c r="AE179" s="1529"/>
      <c r="AF179" s="1529"/>
      <c r="AG179" s="1529"/>
      <c r="AH179" s="1529"/>
      <c r="AI179" s="1529"/>
      <c r="AJ179" s="1529"/>
      <c r="AK179" s="1529"/>
      <c r="AL179" s="1529"/>
      <c r="AM179" s="1529"/>
      <c r="AN179" s="1529"/>
      <c r="AO179" s="1529"/>
      <c r="AP179" s="1529"/>
      <c r="AQ179" s="1530"/>
      <c r="AR179" s="1461"/>
      <c r="AS179" s="1461"/>
      <c r="AT179" s="1461"/>
      <c r="AU179" s="1461"/>
      <c r="AV179" s="1461"/>
      <c r="AW179" s="1461"/>
      <c r="AX179" s="1461"/>
      <c r="AY179" s="1461"/>
      <c r="AZ179" s="1461"/>
      <c r="BA179" s="1461"/>
      <c r="BB179" s="1461"/>
      <c r="BC179" s="1461"/>
      <c r="BD179" s="1461"/>
      <c r="BE179" s="1461"/>
      <c r="BF179" s="1461"/>
      <c r="BG179" s="1461"/>
    </row>
    <row r="180" spans="8:8" hidden="1">
      <c r="B180" s="1461"/>
      <c r="C180" s="1461"/>
      <c r="D180" s="1529"/>
      <c r="Z180" s="1529"/>
      <c r="AA180" s="1529"/>
      <c r="AB180" s="1529"/>
      <c r="AC180" s="1529"/>
      <c r="AD180" s="1529"/>
      <c r="AE180" s="1529"/>
      <c r="AF180" s="1529"/>
      <c r="AG180" s="1529"/>
      <c r="AH180" s="1529"/>
      <c r="AI180" s="1529"/>
      <c r="AJ180" s="1529"/>
      <c r="AK180" s="1529"/>
      <c r="AL180" s="1529"/>
      <c r="AM180" s="1529"/>
      <c r="AN180" s="1529"/>
      <c r="AO180" s="1529"/>
      <c r="AP180" s="1529"/>
      <c r="AQ180" s="1530"/>
      <c r="AR180" s="1461"/>
      <c r="AS180" s="1461"/>
      <c r="AT180" s="1461"/>
      <c r="AU180" s="1461"/>
      <c r="AV180" s="1461"/>
      <c r="AW180" s="1461"/>
      <c r="AX180" s="1461"/>
      <c r="AY180" s="1461"/>
      <c r="AZ180" s="1461"/>
      <c r="BA180" s="1461"/>
      <c r="BB180" s="1461"/>
      <c r="BC180" s="1461"/>
      <c r="BD180" s="1461"/>
      <c r="BE180" s="1461"/>
      <c r="BF180" s="1461"/>
      <c r="BG180" s="1461"/>
    </row>
    <row r="181" spans="8:8" hidden="1">
      <c r="B181" s="1461"/>
      <c r="C181" s="1461"/>
      <c r="D181" s="1529"/>
      <c r="Z181" s="1529"/>
      <c r="AA181" s="1529"/>
      <c r="AB181" s="1529"/>
      <c r="AC181" s="1529"/>
      <c r="AD181" s="1529"/>
      <c r="AE181" s="1529"/>
      <c r="AF181" s="1529"/>
      <c r="AG181" s="1529"/>
      <c r="AH181" s="1529"/>
      <c r="AI181" s="1529"/>
      <c r="AJ181" s="1529"/>
      <c r="AK181" s="1529"/>
      <c r="AL181" s="1529"/>
      <c r="AM181" s="1529"/>
      <c r="AN181" s="1529"/>
      <c r="AO181" s="1529"/>
      <c r="AP181" s="1529"/>
      <c r="AQ181" s="1530"/>
      <c r="AR181" s="1461"/>
      <c r="AS181" s="1461"/>
      <c r="AT181" s="1461"/>
      <c r="AU181" s="1461"/>
      <c r="AV181" s="1461"/>
      <c r="AW181" s="1461"/>
      <c r="AX181" s="1461"/>
      <c r="AY181" s="1461"/>
      <c r="AZ181" s="1461"/>
      <c r="BA181" s="1461"/>
      <c r="BB181" s="1461"/>
      <c r="BC181" s="1461"/>
      <c r="BD181" s="1461"/>
      <c r="BE181" s="1461"/>
      <c r="BF181" s="1461"/>
      <c r="BG181" s="1461"/>
    </row>
    <row r="182" spans="8:8" hidden="1">
      <c r="B182" s="1461"/>
      <c r="C182" s="1461"/>
      <c r="D182" s="1529"/>
      <c r="Z182" s="1529"/>
      <c r="AA182" s="1529"/>
      <c r="AB182" s="1529"/>
      <c r="AC182" s="1529"/>
      <c r="AD182" s="1529"/>
      <c r="AE182" s="1529"/>
      <c r="AF182" s="1529"/>
      <c r="AG182" s="1529"/>
      <c r="AH182" s="1529"/>
      <c r="AI182" s="1529"/>
      <c r="AJ182" s="1529"/>
      <c r="AK182" s="1529"/>
      <c r="AL182" s="1529"/>
      <c r="AM182" s="1529"/>
      <c r="AN182" s="1529"/>
      <c r="AO182" s="1529"/>
      <c r="AP182" s="1529"/>
      <c r="AQ182" s="1530"/>
      <c r="AR182" s="1461"/>
      <c r="AS182" s="1461"/>
      <c r="AT182" s="1461"/>
      <c r="AU182" s="1461"/>
      <c r="AV182" s="1461"/>
      <c r="AW182" s="1461"/>
      <c r="AX182" s="1461"/>
      <c r="AY182" s="1461"/>
      <c r="AZ182" s="1461"/>
      <c r="BA182" s="1461"/>
      <c r="BB182" s="1461"/>
      <c r="BC182" s="1461"/>
      <c r="BD182" s="1461"/>
      <c r="BE182" s="1461"/>
      <c r="BF182" s="1461"/>
      <c r="BG182" s="1461"/>
    </row>
    <row r="183" spans="8:8" hidden="1">
      <c r="B183" s="1461"/>
      <c r="C183" s="1461"/>
      <c r="D183" s="1529"/>
      <c r="Z183" s="1529"/>
      <c r="AA183" s="1529"/>
      <c r="AB183" s="1529"/>
      <c r="AC183" s="1529"/>
      <c r="AD183" s="1529"/>
      <c r="AE183" s="1529"/>
      <c r="AF183" s="1529"/>
      <c r="AG183" s="1529"/>
      <c r="AH183" s="1529"/>
      <c r="AI183" s="1529"/>
      <c r="AJ183" s="1529"/>
      <c r="AK183" s="1529"/>
      <c r="AL183" s="1529"/>
      <c r="AM183" s="1529"/>
      <c r="AN183" s="1529"/>
      <c r="AO183" s="1529"/>
      <c r="AP183" s="1529"/>
      <c r="AQ183" s="1530"/>
      <c r="AR183" s="1461"/>
      <c r="AS183" s="1461"/>
      <c r="AT183" s="1461"/>
      <c r="AU183" s="1461"/>
      <c r="AV183" s="1461"/>
      <c r="AW183" s="1461"/>
      <c r="AX183" s="1461"/>
      <c r="AY183" s="1461"/>
      <c r="AZ183" s="1461"/>
      <c r="BA183" s="1461"/>
      <c r="BB183" s="1461"/>
      <c r="BC183" s="1461"/>
      <c r="BD183" s="1461"/>
      <c r="BE183" s="1461"/>
      <c r="BF183" s="1461"/>
      <c r="BG183" s="1461"/>
    </row>
    <row r="184" spans="8:8" hidden="1">
      <c r="B184" s="1461"/>
      <c r="C184" s="1461"/>
      <c r="D184" s="1529"/>
      <c r="Z184" s="1529"/>
      <c r="AA184" s="1529"/>
      <c r="AB184" s="1529"/>
      <c r="AC184" s="1529"/>
      <c r="AD184" s="1529"/>
      <c r="AE184" s="1529"/>
      <c r="AF184" s="1529"/>
      <c r="AG184" s="1529"/>
      <c r="AH184" s="1529"/>
      <c r="AI184" s="1529"/>
      <c r="AJ184" s="1529"/>
      <c r="AK184" s="1529"/>
      <c r="AL184" s="1529"/>
      <c r="AM184" s="1529"/>
      <c r="AN184" s="1529"/>
      <c r="AO184" s="1529"/>
      <c r="AP184" s="1529"/>
      <c r="AQ184" s="1530"/>
      <c r="AR184" s="1461"/>
      <c r="AS184" s="1461"/>
      <c r="AT184" s="1461"/>
      <c r="AU184" s="1461"/>
      <c r="AV184" s="1461"/>
      <c r="AW184" s="1461"/>
      <c r="AX184" s="1461"/>
      <c r="AY184" s="1461"/>
      <c r="AZ184" s="1461"/>
      <c r="BA184" s="1461"/>
      <c r="BB184" s="1461"/>
      <c r="BC184" s="1461"/>
      <c r="BD184" s="1461"/>
      <c r="BE184" s="1461"/>
      <c r="BF184" s="1461"/>
      <c r="BG184" s="1461"/>
    </row>
    <row r="185" spans="8:8" hidden="1">
      <c r="B185" s="1461"/>
      <c r="C185" s="1461"/>
      <c r="D185" s="1529"/>
      <c r="Z185" s="1529"/>
      <c r="AA185" s="1529"/>
      <c r="AB185" s="1529"/>
      <c r="AC185" s="1529"/>
      <c r="AD185" s="1529"/>
      <c r="AE185" s="1529"/>
      <c r="AF185" s="1529"/>
      <c r="AG185" s="1529"/>
      <c r="AH185" s="1529"/>
      <c r="AI185" s="1529"/>
      <c r="AJ185" s="1529"/>
      <c r="AK185" s="1529"/>
      <c r="AL185" s="1529"/>
      <c r="AM185" s="1529"/>
      <c r="AN185" s="1529"/>
      <c r="AO185" s="1529"/>
      <c r="AP185" s="1529"/>
      <c r="AQ185" s="1530"/>
      <c r="AR185" s="1461"/>
      <c r="AS185" s="1461"/>
      <c r="AT185" s="1461"/>
      <c r="AU185" s="1461"/>
      <c r="AV185" s="1461"/>
      <c r="AW185" s="1461"/>
      <c r="AX185" s="1461"/>
      <c r="AY185" s="1461"/>
      <c r="AZ185" s="1461"/>
      <c r="BA185" s="1461"/>
      <c r="BB185" s="1461"/>
      <c r="BC185" s="1461"/>
      <c r="BD185" s="1461"/>
      <c r="BE185" s="1461"/>
      <c r="BF185" s="1461"/>
      <c r="BG185" s="1461"/>
    </row>
    <row r="186" spans="8:8" hidden="1">
      <c r="B186" s="1461"/>
      <c r="C186" s="1461"/>
      <c r="D186" s="1529"/>
      <c r="Z186" s="1529"/>
      <c r="AA186" s="1529"/>
      <c r="AB186" s="1529"/>
      <c r="AC186" s="1529"/>
      <c r="AD186" s="1529"/>
      <c r="AE186" s="1529"/>
      <c r="AF186" s="1529"/>
      <c r="AG186" s="1529"/>
      <c r="AH186" s="1529"/>
      <c r="AI186" s="1529"/>
      <c r="AJ186" s="1529"/>
      <c r="AK186" s="1529"/>
      <c r="AL186" s="1529"/>
      <c r="AM186" s="1529"/>
      <c r="AN186" s="1529"/>
      <c r="AO186" s="1529"/>
      <c r="AP186" s="1529"/>
      <c r="AQ186" s="1530"/>
      <c r="AR186" s="1461"/>
      <c r="AS186" s="1461"/>
      <c r="AT186" s="1461"/>
      <c r="AU186" s="1461"/>
      <c r="AV186" s="1461"/>
      <c r="AW186" s="1461"/>
      <c r="AX186" s="1461"/>
      <c r="AY186" s="1461"/>
      <c r="AZ186" s="1461"/>
      <c r="BA186" s="1461"/>
      <c r="BB186" s="1461"/>
      <c r="BC186" s="1461"/>
      <c r="BD186" s="1461"/>
      <c r="BE186" s="1461"/>
      <c r="BF186" s="1461"/>
      <c r="BG186" s="1461"/>
    </row>
    <row r="187" spans="8:8" hidden="1">
      <c r="B187" s="1461"/>
      <c r="C187" s="1461"/>
      <c r="D187" s="1529"/>
      <c r="Z187" s="1529"/>
      <c r="AA187" s="1529"/>
      <c r="AB187" s="1529"/>
      <c r="AC187" s="1529"/>
      <c r="AD187" s="1529"/>
      <c r="AE187" s="1529"/>
      <c r="AF187" s="1529"/>
      <c r="AG187" s="1529"/>
      <c r="AH187" s="1529"/>
      <c r="AI187" s="1529"/>
      <c r="AJ187" s="1529"/>
      <c r="AK187" s="1529"/>
      <c r="AL187" s="1529"/>
      <c r="AM187" s="1529"/>
      <c r="AN187" s="1529"/>
      <c r="AO187" s="1529"/>
      <c r="AP187" s="1529"/>
      <c r="AQ187" s="1530"/>
      <c r="AR187" s="1461"/>
      <c r="AS187" s="1461"/>
      <c r="AT187" s="1461"/>
      <c r="AU187" s="1461"/>
      <c r="AV187" s="1461"/>
      <c r="AW187" s="1461"/>
      <c r="AX187" s="1461"/>
      <c r="AY187" s="1461"/>
      <c r="AZ187" s="1461"/>
      <c r="BA187" s="1461"/>
      <c r="BB187" s="1461"/>
      <c r="BC187" s="1461"/>
      <c r="BD187" s="1461"/>
      <c r="BE187" s="1461"/>
      <c r="BF187" s="1461"/>
      <c r="BG187" s="1461"/>
    </row>
    <row r="188" spans="8:8" hidden="1">
      <c r="B188" s="1461"/>
      <c r="C188" s="1461"/>
      <c r="D188" s="1529"/>
      <c r="Z188" s="1529"/>
      <c r="AA188" s="1529"/>
      <c r="AB188" s="1529"/>
      <c r="AC188" s="1529"/>
      <c r="AD188" s="1529"/>
      <c r="AE188" s="1529"/>
      <c r="AF188" s="1529"/>
      <c r="AG188" s="1529"/>
      <c r="AH188" s="1529"/>
      <c r="AI188" s="1529"/>
      <c r="AJ188" s="1529"/>
      <c r="AK188" s="1529"/>
      <c r="AL188" s="1529"/>
      <c r="AM188" s="1529"/>
      <c r="AN188" s="1529"/>
      <c r="AO188" s="1529"/>
      <c r="AP188" s="1529"/>
      <c r="AQ188" s="1530"/>
      <c r="AR188" s="1461"/>
      <c r="AS188" s="1461"/>
      <c r="AT188" s="1461"/>
      <c r="AU188" s="1461"/>
      <c r="AV188" s="1461"/>
      <c r="AW188" s="1461"/>
      <c r="AX188" s="1461"/>
      <c r="AY188" s="1461"/>
      <c r="AZ188" s="1461"/>
      <c r="BA188" s="1461"/>
      <c r="BB188" s="1461"/>
      <c r="BC188" s="1461"/>
      <c r="BD188" s="1461"/>
      <c r="BE188" s="1461"/>
      <c r="BF188" s="1461"/>
      <c r="BG188" s="1461"/>
    </row>
    <row r="189" spans="8:8" hidden="1">
      <c r="B189" s="1461"/>
      <c r="C189" s="1461"/>
      <c r="D189" s="1529"/>
      <c r="Z189" s="1529"/>
      <c r="AA189" s="1529"/>
      <c r="AB189" s="1529"/>
      <c r="AC189" s="1529"/>
      <c r="AD189" s="1529"/>
      <c r="AE189" s="1529"/>
      <c r="AF189" s="1529"/>
      <c r="AG189" s="1529"/>
      <c r="AH189" s="1529"/>
      <c r="AI189" s="1529"/>
      <c r="AJ189" s="1529"/>
      <c r="AK189" s="1529"/>
      <c r="AL189" s="1529"/>
      <c r="AM189" s="1529"/>
      <c r="AN189" s="1529"/>
      <c r="AO189" s="1529"/>
      <c r="AP189" s="1529"/>
      <c r="AQ189" s="1530"/>
      <c r="AR189" s="1461"/>
      <c r="AS189" s="1461"/>
      <c r="AT189" s="1461"/>
      <c r="AU189" s="1461"/>
      <c r="AV189" s="1461"/>
      <c r="AW189" s="1461"/>
      <c r="AX189" s="1461"/>
      <c r="AY189" s="1461"/>
      <c r="AZ189" s="1461"/>
      <c r="BA189" s="1461"/>
      <c r="BB189" s="1461"/>
      <c r="BC189" s="1461"/>
      <c r="BD189" s="1461"/>
      <c r="BE189" s="1461"/>
      <c r="BF189" s="1461"/>
      <c r="BG189" s="1461"/>
    </row>
    <row r="190" spans="8:8" hidden="1">
      <c r="B190" s="1461"/>
      <c r="C190" s="1461"/>
      <c r="D190" s="1529"/>
      <c r="Z190" s="1529"/>
      <c r="AA190" s="1529"/>
      <c r="AB190" s="1529"/>
      <c r="AC190" s="1529"/>
      <c r="AD190" s="1529"/>
      <c r="AE190" s="1529"/>
      <c r="AF190" s="1529"/>
      <c r="AG190" s="1529"/>
      <c r="AH190" s="1529"/>
      <c r="AI190" s="1529"/>
      <c r="AJ190" s="1529"/>
      <c r="AK190" s="1529"/>
      <c r="AL190" s="1529"/>
      <c r="AM190" s="1529"/>
      <c r="AN190" s="1529"/>
      <c r="AO190" s="1529"/>
      <c r="AP190" s="1529"/>
      <c r="AQ190" s="1530"/>
      <c r="AR190" s="1461"/>
      <c r="AS190" s="1461"/>
      <c r="AT190" s="1461"/>
      <c r="AU190" s="1461"/>
      <c r="AV190" s="1461"/>
      <c r="AW190" s="1461"/>
      <c r="AX190" s="1461"/>
      <c r="AY190" s="1461"/>
      <c r="AZ190" s="1461"/>
      <c r="BA190" s="1461"/>
      <c r="BB190" s="1461"/>
      <c r="BC190" s="1461"/>
      <c r="BD190" s="1461"/>
      <c r="BE190" s="1461"/>
      <c r="BF190" s="1461"/>
      <c r="BG190" s="1461"/>
    </row>
    <row r="191" spans="8:8" hidden="1">
      <c r="B191" s="1461"/>
      <c r="C191" s="1461"/>
      <c r="D191" s="1529"/>
      <c r="Z191" s="1529"/>
      <c r="AA191" s="1529"/>
      <c r="AB191" s="1529"/>
      <c r="AC191" s="1529"/>
      <c r="AD191" s="1529"/>
      <c r="AE191" s="1529"/>
      <c r="AF191" s="1529"/>
      <c r="AG191" s="1529"/>
      <c r="AH191" s="1529"/>
      <c r="AI191" s="1529"/>
      <c r="AJ191" s="1529"/>
      <c r="AK191" s="1529"/>
      <c r="AL191" s="1529"/>
      <c r="AM191" s="1529"/>
      <c r="AN191" s="1529"/>
      <c r="AO191" s="1529"/>
      <c r="AP191" s="1529"/>
      <c r="AQ191" s="1530"/>
      <c r="AR191" s="1461"/>
      <c r="AS191" s="1461"/>
      <c r="AT191" s="1461"/>
      <c r="AU191" s="1461"/>
      <c r="AV191" s="1461"/>
      <c r="AW191" s="1461"/>
      <c r="AX191" s="1461"/>
      <c r="AY191" s="1461"/>
      <c r="AZ191" s="1461"/>
      <c r="BA191" s="1461"/>
      <c r="BB191" s="1461"/>
      <c r="BC191" s="1461"/>
      <c r="BD191" s="1461"/>
      <c r="BE191" s="1461"/>
      <c r="BF191" s="1461"/>
      <c r="BG191" s="1461"/>
    </row>
    <row r="192" spans="8:8" hidden="1">
      <c r="B192" s="1461"/>
      <c r="C192" s="1461"/>
      <c r="D192" s="1529"/>
      <c r="Z192" s="1529"/>
      <c r="AA192" s="1529"/>
      <c r="AB192" s="1529"/>
      <c r="AC192" s="1529"/>
      <c r="AD192" s="1529"/>
      <c r="AE192" s="1529"/>
      <c r="AF192" s="1529"/>
      <c r="AG192" s="1529"/>
      <c r="AH192" s="1529"/>
      <c r="AI192" s="1529"/>
      <c r="AJ192" s="1529"/>
      <c r="AK192" s="1529"/>
      <c r="AL192" s="1529"/>
      <c r="AM192" s="1529"/>
      <c r="AN192" s="1529"/>
      <c r="AO192" s="1529"/>
      <c r="AP192" s="1529"/>
      <c r="AQ192" s="1530"/>
      <c r="AR192" s="1461"/>
      <c r="AS192" s="1461"/>
      <c r="AT192" s="1461"/>
      <c r="AU192" s="1461"/>
      <c r="AV192" s="1461"/>
      <c r="AW192" s="1461"/>
      <c r="AX192" s="1461"/>
      <c r="AY192" s="1461"/>
      <c r="AZ192" s="1461"/>
      <c r="BA192" s="1461"/>
      <c r="BB192" s="1461"/>
      <c r="BC192" s="1461"/>
      <c r="BD192" s="1461"/>
      <c r="BE192" s="1461"/>
      <c r="BF192" s="1461"/>
      <c r="BG192" s="1461"/>
    </row>
    <row r="193" spans="8:8" hidden="1">
      <c r="B193" s="1461"/>
      <c r="C193" s="1461"/>
      <c r="D193" s="1529"/>
      <c r="Z193" s="1529"/>
      <c r="AA193" s="1529"/>
      <c r="AB193" s="1529"/>
      <c r="AC193" s="1529"/>
      <c r="AD193" s="1529"/>
      <c r="AE193" s="1529"/>
      <c r="AF193" s="1529"/>
      <c r="AG193" s="1529"/>
      <c r="AH193" s="1529"/>
      <c r="AI193" s="1529"/>
      <c r="AJ193" s="1529"/>
      <c r="AK193" s="1529"/>
      <c r="AL193" s="1529"/>
      <c r="AM193" s="1529"/>
      <c r="AN193" s="1529"/>
      <c r="AO193" s="1529"/>
      <c r="AP193" s="1529"/>
      <c r="AQ193" s="1530"/>
      <c r="AR193" s="1461"/>
      <c r="AS193" s="1461"/>
      <c r="AT193" s="1461"/>
      <c r="AU193" s="1461"/>
      <c r="AV193" s="1461"/>
      <c r="AW193" s="1461"/>
      <c r="AX193" s="1461"/>
      <c r="AY193" s="1461"/>
      <c r="AZ193" s="1461"/>
      <c r="BA193" s="1461"/>
      <c r="BB193" s="1461"/>
      <c r="BC193" s="1461"/>
      <c r="BD193" s="1461"/>
      <c r="BE193" s="1461"/>
      <c r="BF193" s="1461"/>
      <c r="BG193" s="1461"/>
    </row>
    <row r="194" spans="8:8" hidden="1">
      <c r="B194" s="1461"/>
      <c r="C194" s="1461"/>
      <c r="D194" s="1529"/>
      <c r="Z194" s="1529"/>
      <c r="AA194" s="1529"/>
      <c r="AB194" s="1529"/>
      <c r="AC194" s="1529"/>
      <c r="AD194" s="1529"/>
      <c r="AE194" s="1529"/>
      <c r="AF194" s="1529"/>
      <c r="AG194" s="1529"/>
      <c r="AH194" s="1529"/>
      <c r="AI194" s="1529"/>
      <c r="AJ194" s="1529"/>
      <c r="AK194" s="1529"/>
      <c r="AL194" s="1529"/>
      <c r="AM194" s="1529"/>
      <c r="AN194" s="1529"/>
      <c r="AO194" s="1529"/>
      <c r="AP194" s="1529"/>
      <c r="AQ194" s="1530"/>
      <c r="AR194" s="1461"/>
      <c r="AS194" s="1461"/>
      <c r="AT194" s="1461"/>
      <c r="AU194" s="1461"/>
      <c r="AV194" s="1461"/>
      <c r="AW194" s="1461"/>
      <c r="AX194" s="1461"/>
      <c r="AY194" s="1461"/>
      <c r="AZ194" s="1461"/>
      <c r="BA194" s="1461"/>
      <c r="BB194" s="1461"/>
      <c r="BC194" s="1461"/>
      <c r="BD194" s="1461"/>
      <c r="BE194" s="1461"/>
      <c r="BF194" s="1461"/>
      <c r="BG194" s="1461"/>
    </row>
    <row r="195" spans="8:8" hidden="1">
      <c r="B195" s="1461"/>
      <c r="C195" s="1461"/>
      <c r="D195" s="1529"/>
      <c r="Z195" s="1529"/>
      <c r="AA195" s="1529"/>
      <c r="AB195" s="1529"/>
      <c r="AC195" s="1529"/>
      <c r="AD195" s="1529"/>
      <c r="AE195" s="1529"/>
      <c r="AF195" s="1529"/>
      <c r="AG195" s="1529"/>
      <c r="AH195" s="1529"/>
      <c r="AI195" s="1529"/>
      <c r="AJ195" s="1529"/>
      <c r="AK195" s="1529"/>
      <c r="AL195" s="1529"/>
      <c r="AM195" s="1529"/>
      <c r="AN195" s="1529"/>
      <c r="AO195" s="1529"/>
      <c r="AP195" s="1529"/>
      <c r="AQ195" s="1530"/>
      <c r="AR195" s="1461"/>
      <c r="AS195" s="1461"/>
      <c r="AT195" s="1461"/>
      <c r="AU195" s="1461"/>
      <c r="AV195" s="1461"/>
      <c r="AW195" s="1461"/>
      <c r="AX195" s="1461"/>
      <c r="AY195" s="1461"/>
      <c r="AZ195" s="1461"/>
      <c r="BA195" s="1461"/>
      <c r="BB195" s="1461"/>
      <c r="BC195" s="1461"/>
      <c r="BD195" s="1461"/>
      <c r="BE195" s="1461"/>
      <c r="BF195" s="1461"/>
      <c r="BG195" s="1461"/>
    </row>
    <row r="196" spans="8:8" hidden="1">
      <c r="B196" s="1461"/>
      <c r="C196" s="1461"/>
      <c r="D196" s="1529"/>
      <c r="Z196" s="1529"/>
      <c r="AA196" s="1529"/>
      <c r="AB196" s="1529"/>
      <c r="AC196" s="1529"/>
      <c r="AD196" s="1529"/>
      <c r="AE196" s="1529"/>
      <c r="AF196" s="1529"/>
      <c r="AG196" s="1529"/>
      <c r="AH196" s="1529"/>
      <c r="AI196" s="1529"/>
      <c r="AJ196" s="1529"/>
      <c r="AK196" s="1529"/>
      <c r="AL196" s="1529"/>
      <c r="AM196" s="1529"/>
      <c r="AN196" s="1529"/>
      <c r="AO196" s="1529"/>
      <c r="AP196" s="1529"/>
      <c r="AQ196" s="1530"/>
      <c r="AR196" s="1461"/>
      <c r="AS196" s="1461"/>
      <c r="AT196" s="1461"/>
      <c r="AU196" s="1461"/>
      <c r="AV196" s="1461"/>
      <c r="AW196" s="1461"/>
      <c r="AX196" s="1461"/>
      <c r="AY196" s="1461"/>
      <c r="AZ196" s="1461"/>
      <c r="BA196" s="1461"/>
      <c r="BB196" s="1461"/>
      <c r="BC196" s="1461"/>
      <c r="BD196" s="1461"/>
      <c r="BE196" s="1461"/>
      <c r="BF196" s="1461"/>
      <c r="BG196" s="1461"/>
    </row>
    <row r="197" spans="8:8" hidden="1">
      <c r="B197" s="1461"/>
      <c r="C197" s="1461"/>
      <c r="D197" s="1529"/>
      <c r="Z197" s="1529"/>
      <c r="AA197" s="1529"/>
      <c r="AB197" s="1529"/>
      <c r="AC197" s="1529"/>
      <c r="AD197" s="1529"/>
      <c r="AE197" s="1529"/>
      <c r="AF197" s="1529"/>
      <c r="AG197" s="1529"/>
      <c r="AH197" s="1529"/>
      <c r="AI197" s="1529"/>
      <c r="AJ197" s="1529"/>
      <c r="AK197" s="1529"/>
      <c r="AL197" s="1529"/>
      <c r="AM197" s="1529"/>
      <c r="AN197" s="1529"/>
      <c r="AO197" s="1529"/>
      <c r="AP197" s="1529"/>
      <c r="AQ197" s="1530"/>
      <c r="AR197" s="1461"/>
      <c r="AS197" s="1461"/>
      <c r="AT197" s="1461"/>
      <c r="AU197" s="1461"/>
      <c r="AV197" s="1461"/>
      <c r="AW197" s="1461"/>
      <c r="AX197" s="1461"/>
      <c r="AY197" s="1461"/>
      <c r="AZ197" s="1461"/>
      <c r="BA197" s="1461"/>
      <c r="BB197" s="1461"/>
      <c r="BC197" s="1461"/>
      <c r="BD197" s="1461"/>
      <c r="BE197" s="1461"/>
      <c r="BF197" s="1461"/>
      <c r="BG197" s="1461"/>
    </row>
    <row r="198" spans="8:8" hidden="1">
      <c r="B198" s="1461"/>
      <c r="C198" s="1461"/>
      <c r="D198" s="1529"/>
      <c r="Z198" s="1529"/>
      <c r="AA198" s="1529"/>
      <c r="AB198" s="1529"/>
      <c r="AC198" s="1529"/>
      <c r="AD198" s="1529"/>
      <c r="AE198" s="1529"/>
      <c r="AF198" s="1529"/>
      <c r="AG198" s="1529"/>
      <c r="AH198" s="1529"/>
      <c r="AI198" s="1529"/>
      <c r="AJ198" s="1529"/>
      <c r="AK198" s="1529"/>
      <c r="AL198" s="1529"/>
      <c r="AM198" s="1529"/>
      <c r="AN198" s="1529"/>
      <c r="AO198" s="1529"/>
      <c r="AP198" s="1529"/>
      <c r="AQ198" s="1530"/>
      <c r="AR198" s="1461"/>
      <c r="AS198" s="1461"/>
      <c r="AT198" s="1461"/>
      <c r="AU198" s="1461"/>
      <c r="AV198" s="1461"/>
      <c r="AW198" s="1461"/>
      <c r="AX198" s="1461"/>
      <c r="AY198" s="1461"/>
      <c r="AZ198" s="1461"/>
      <c r="BA198" s="1461"/>
      <c r="BB198" s="1461"/>
      <c r="BC198" s="1461"/>
      <c r="BD198" s="1461"/>
      <c r="BE198" s="1461"/>
      <c r="BF198" s="1461"/>
      <c r="BG198" s="1461"/>
    </row>
    <row r="199" spans="8:8" hidden="1">
      <c r="B199" s="1461"/>
      <c r="C199" s="1461"/>
      <c r="D199" s="1529"/>
      <c r="Z199" s="1529"/>
      <c r="AA199" s="1529"/>
      <c r="AB199" s="1529"/>
      <c r="AC199" s="1529"/>
      <c r="AD199" s="1529"/>
      <c r="AE199" s="1529"/>
      <c r="AF199" s="1529"/>
      <c r="AG199" s="1529"/>
      <c r="AH199" s="1529"/>
      <c r="AI199" s="1529"/>
      <c r="AJ199" s="1529"/>
      <c r="AK199" s="1529"/>
      <c r="AL199" s="1529"/>
      <c r="AM199" s="1529"/>
      <c r="AN199" s="1529"/>
      <c r="AO199" s="1529"/>
      <c r="AP199" s="1529"/>
      <c r="AQ199" s="1530"/>
      <c r="AR199" s="1461"/>
      <c r="AS199" s="1461"/>
      <c r="AT199" s="1461"/>
      <c r="AU199" s="1461"/>
      <c r="AV199" s="1461"/>
      <c r="AW199" s="1461"/>
      <c r="AX199" s="1461"/>
      <c r="AY199" s="1461"/>
      <c r="AZ199" s="1461"/>
      <c r="BA199" s="1461"/>
      <c r="BB199" s="1461"/>
      <c r="BC199" s="1461"/>
      <c r="BD199" s="1461"/>
      <c r="BE199" s="1461"/>
      <c r="BF199" s="1461"/>
      <c r="BG199" s="1461"/>
    </row>
    <row r="200" spans="8:8" hidden="1">
      <c r="B200" s="1461"/>
      <c r="C200" s="1461"/>
      <c r="D200" s="1529"/>
      <c r="Z200" s="1529"/>
      <c r="AA200" s="1529"/>
      <c r="AB200" s="1529"/>
      <c r="AC200" s="1529"/>
      <c r="AD200" s="1529"/>
      <c r="AE200" s="1529"/>
      <c r="AF200" s="1529"/>
      <c r="AG200" s="1529"/>
      <c r="AH200" s="1529"/>
      <c r="AI200" s="1529"/>
      <c r="AJ200" s="1529"/>
      <c r="AK200" s="1529"/>
      <c r="AL200" s="1529"/>
      <c r="AM200" s="1529"/>
      <c r="AN200" s="1529"/>
      <c r="AO200" s="1529"/>
      <c r="AP200" s="1529"/>
      <c r="AQ200" s="1530"/>
      <c r="AR200" s="1461"/>
      <c r="AS200" s="1461"/>
      <c r="AT200" s="1461"/>
      <c r="AU200" s="1461"/>
      <c r="AV200" s="1461"/>
      <c r="AW200" s="1461"/>
      <c r="AX200" s="1461"/>
      <c r="AY200" s="1461"/>
      <c r="AZ200" s="1461"/>
      <c r="BA200" s="1461"/>
      <c r="BB200" s="1461"/>
      <c r="BC200" s="1461"/>
      <c r="BD200" s="1461"/>
      <c r="BE200" s="1461"/>
      <c r="BF200" s="1461"/>
      <c r="BG200" s="1461"/>
    </row>
    <row r="201" spans="8:8" hidden="1">
      <c r="B201" s="1461"/>
      <c r="C201" s="1461"/>
      <c r="D201" s="1529"/>
      <c r="Z201" s="1529"/>
      <c r="AA201" s="1529"/>
      <c r="AB201" s="1529"/>
      <c r="AC201" s="1529"/>
      <c r="AD201" s="1529"/>
      <c r="AE201" s="1529"/>
      <c r="AF201" s="1529"/>
      <c r="AG201" s="1529"/>
      <c r="AH201" s="1529"/>
      <c r="AI201" s="1529"/>
      <c r="AJ201" s="1529"/>
      <c r="AK201" s="1529"/>
      <c r="AL201" s="1529"/>
      <c r="AM201" s="1529"/>
      <c r="AN201" s="1529"/>
      <c r="AO201" s="1529"/>
      <c r="AP201" s="1529"/>
      <c r="AQ201" s="1530"/>
      <c r="AR201" s="1461"/>
      <c r="AS201" s="1461"/>
      <c r="AT201" s="1461"/>
      <c r="AU201" s="1461"/>
      <c r="AV201" s="1461"/>
      <c r="AW201" s="1461"/>
      <c r="AX201" s="1461"/>
      <c r="AY201" s="1461"/>
      <c r="AZ201" s="1461"/>
      <c r="BA201" s="1461"/>
      <c r="BB201" s="1461"/>
      <c r="BC201" s="1461"/>
      <c r="BD201" s="1461"/>
      <c r="BE201" s="1461"/>
      <c r="BF201" s="1461"/>
      <c r="BG201" s="1461"/>
    </row>
    <row r="202" spans="8:8" hidden="1"/>
  </sheetData>
  <sheetProtection password="cda0" sheet="1" objects="1" scenarios="1" formatRows="0"/>
  <mergeCells count="55">
    <mergeCell ref="AY9:BD9"/>
    <mergeCell ref="O5:O6"/>
    <mergeCell ref="I7:I8"/>
    <mergeCell ref="E1:AQ1"/>
    <mergeCell ref="AQ7:AQ8"/>
    <mergeCell ref="E4:AQ4"/>
    <mergeCell ref="X5:AF5"/>
    <mergeCell ref="F5:F6"/>
    <mergeCell ref="Q7:U7"/>
    <mergeCell ref="N5:N6"/>
    <mergeCell ref="M7:M8"/>
    <mergeCell ref="S5:S6"/>
    <mergeCell ref="N7:N8"/>
    <mergeCell ref="P5:P6"/>
    <mergeCell ref="AN7:AN8"/>
    <mergeCell ref="AJ7:AL7"/>
    <mergeCell ref="J5:J6"/>
    <mergeCell ref="P7:P8"/>
    <mergeCell ref="T5:T6"/>
    <mergeCell ref="G5:G6"/>
    <mergeCell ref="E7:E8"/>
    <mergeCell ref="F7:F8"/>
    <mergeCell ref="G7:G8"/>
    <mergeCell ref="E5:E6"/>
    <mergeCell ref="I5:I6"/>
    <mergeCell ref="V7:V8"/>
    <mergeCell ref="H7:H8"/>
    <mergeCell ref="H5:H6"/>
    <mergeCell ref="M5:M6"/>
    <mergeCell ref="W5:W6"/>
    <mergeCell ref="K7:K8"/>
    <mergeCell ref="L7:L8"/>
    <mergeCell ref="R5:R6"/>
    <mergeCell ref="O7:O8"/>
    <mergeCell ref="K5:K6"/>
    <mergeCell ref="X7:AD7"/>
    <mergeCell ref="AG7:AI7"/>
    <mergeCell ref="AP9:AQ9"/>
    <mergeCell ref="E2:AQ2"/>
    <mergeCell ref="AM5:AM6"/>
    <mergeCell ref="AO5:AO6"/>
    <mergeCell ref="E3:AQ3"/>
    <mergeCell ref="J7:J8"/>
    <mergeCell ref="U5:U6"/>
    <mergeCell ref="W7:W8"/>
    <mergeCell ref="V5:V6"/>
    <mergeCell ref="AF7:AF8"/>
    <mergeCell ref="L5:L6"/>
    <mergeCell ref="AP7:AP8"/>
    <mergeCell ref="AP5:AQ6"/>
    <mergeCell ref="AM7:AM8"/>
    <mergeCell ref="AR2:AR111"/>
    <mergeCell ref="D10:D109"/>
    <mergeCell ref="D2:D9"/>
    <mergeCell ref="AS9:AX9"/>
  </mergeCells>
  <conditionalFormatting sqref="AF10:AF110">
    <cfRule type="cellIs" operator="greaterThan" priority="8" dxfId="30">
      <formula>$W10</formula>
    </cfRule>
    <cfRule type="cellIs" operator="lessThan" priority="7" dxfId="31">
      <formula>$W10</formula>
    </cfRule>
  </conditionalFormatting>
  <conditionalFormatting sqref="AQ10:AQ111">
    <cfRule type="cellIs" operator="equal" priority="15" dxfId="32">
      <formula>0</formula>
    </cfRule>
  </conditionalFormatting>
  <conditionalFormatting sqref="AN10:AN109">
    <cfRule type="expression" priority="1" dxfId="33">
      <formula>$AN10="OLD REGIME"</formula>
    </cfRule>
    <cfRule type="expression" priority="2" dxfId="34">
      <formula>$AN10="NEW REGIME"</formula>
    </cfRule>
  </conditionalFormatting>
  <conditionalFormatting sqref="B10:BG110">
    <cfRule type="expression" priority="12" dxfId="35">
      <formula>$G10=0</formula>
    </cfRule>
  </conditionalFormatting>
  <conditionalFormatting sqref="W10:W110">
    <cfRule type="cellIs" operator="lessThan" priority="9" dxfId="36">
      <formula>$AF10</formula>
    </cfRule>
    <cfRule type="cellIs" operator="greaterThan" priority="10" dxfId="37">
      <formula>$AF10</formula>
    </cfRule>
  </conditionalFormatting>
  <conditionalFormatting sqref="AP10:AP110">
    <cfRule type="cellIs" operator="lessThan" priority="5" dxfId="38">
      <formula>0</formula>
    </cfRule>
    <cfRule type="cellIs" operator="greaterThan" priority="6" dxfId="39">
      <formula>0</formula>
    </cfRule>
  </conditionalFormatting>
  <conditionalFormatting sqref="C10:AQ110">
    <cfRule type="expression" priority="13" dxfId="40">
      <formula>$C10="NT"</formula>
    </cfRule>
  </conditionalFormatting>
  <conditionalFormatting sqref="AQ10:AQ110">
    <cfRule type="expression" priority="3" dxfId="41">
      <formula>$AQ10="(REF)"</formula>
    </cfRule>
    <cfRule type="expression" priority="11" dxfId="42">
      <formula>$AQ10="(PAY)"</formula>
    </cfRule>
  </conditionalFormatting>
  <dataValidations count="3">
    <dataValidation allowBlank="1" type="list" errorStyle="stop" showInputMessage="1" showErrorMessage="1" sqref="AG7">
      <formula1>"INCOME TAX DEDUCT FROM SALARY TILL NOV 2024,INCOME TAX DEDUCT FROM SALARY TILL JAN  2025"</formula1>
    </dataValidation>
    <dataValidation allowBlank="1" type="list" errorStyle="stop" showInputMessage="1" showErrorMessage="1" sqref="AN10:AN109">
      <formula1>"OLD REGIME,NEW REGIME"</formula1>
    </dataValidation>
    <dataValidation allowBlank="1" type="list" errorStyle="stop" showInputMessage="1" showErrorMessage="1" sqref="I10:I109">
      <formula1>"50000,75000"</formula1>
    </dataValidation>
  </dataValidations>
  <printOptions horizontalCentered="1"/>
  <pageMargins left="0.1968503937007874" right="0.03937007874015748" top="0.1968503937007874" bottom="0.15748031496062992" header="0.07874015748031496" footer="0.0"/>
  <pageSetup paperSize="9" scale="65" orientation="landscape"/>
  <headerFooter>
    <oddFooter>&amp;C&amp;"Arial,Bold"&amp;11निर्माणकर्ता :-भागीरथ मल अध्यापक L-1 GSSS डसाणा खुर्द मौलासर (डीडवाना-कुचामन)</oddFooter>
  </headerFooter>
</worksheet>
</file>

<file path=xl/worksheets/sheet2.xml><?xml version="1.0" encoding="utf-8"?>
<worksheet xmlns:r="http://schemas.openxmlformats.org/officeDocument/2006/relationships" xmlns="http://schemas.openxmlformats.org/spreadsheetml/2006/main">
  <sheetPr>
    <tabColor rgb="FFFFFF00"/>
  </sheetPr>
  <dimension ref="A1:I23"/>
  <sheetViews>
    <sheetView workbookViewId="0" showGridLines="0" showRowColHeaders="0">
      <pane xSplit="1" ySplit="2" topLeftCell="D3" state="frozen" activePane="bottomRight"/>
      <selection pane="bottomRight" activeCell="E5" sqref="E5"/>
    </sheetView>
  </sheetViews>
  <sheetFormatPr defaultRowHeight="12.75" defaultColWidth="0" zeroHeight="1"/>
  <cols>
    <col min="1" max="1" customWidth="1" width="2.5703125" style="0"/>
    <col min="2" max="2" customWidth="1" width="58.85547" style="0"/>
    <col min="3" max="3" customWidth="1" width="44.85547" style="0"/>
    <col min="4" max="4" customWidth="1" width="41.285156" style="0"/>
    <col min="5" max="5" customWidth="1" width="34.140625" style="0"/>
    <col min="6" max="6" customWidth="1" width="2.7109375" style="0"/>
    <col min="7" max="26" hidden="1" customWidth="1" width="9.140625" style="0"/>
    <col min="27" max="16384" hidden="1" customWidth="0" width="9.140625" style="0"/>
  </cols>
  <sheetData>
    <row r="1" spans="8:8">
      <c r="A1" s="58"/>
      <c r="B1" s="58"/>
      <c r="C1" s="58"/>
      <c r="D1" s="58"/>
      <c r="E1" s="58"/>
      <c r="F1" s="58"/>
    </row>
    <row r="2" spans="8:8" ht="36.0" customHeight="1">
      <c r="A2" s="58"/>
      <c r="B2" s="59" t="s">
        <v>544</v>
      </c>
      <c r="C2" s="59"/>
      <c r="D2" s="59"/>
      <c r="E2" s="59"/>
      <c r="F2" s="58"/>
    </row>
    <row r="3" spans="8:8" ht="20.25">
      <c r="A3" s="58"/>
      <c r="B3" s="60" t="s">
        <v>169</v>
      </c>
      <c r="C3" s="61" t="s">
        <v>443</v>
      </c>
      <c r="D3" s="62"/>
      <c r="E3" s="63"/>
      <c r="F3" s="58"/>
    </row>
    <row r="4" spans="8:8" ht="20.25">
      <c r="A4" s="58"/>
      <c r="B4" s="64" t="s">
        <v>170</v>
      </c>
      <c r="C4" s="65" t="s">
        <v>149</v>
      </c>
      <c r="D4" s="66" t="s">
        <v>182</v>
      </c>
      <c r="E4" s="67" t="s">
        <v>244</v>
      </c>
      <c r="F4" s="58"/>
    </row>
    <row r="5" spans="8:8" ht="20.25">
      <c r="A5" s="58"/>
      <c r="B5" s="68" t="s">
        <v>171</v>
      </c>
      <c r="C5" s="69" t="s">
        <v>77</v>
      </c>
      <c r="D5" s="70" t="s">
        <v>191</v>
      </c>
      <c r="E5" s="71" t="s">
        <v>192</v>
      </c>
      <c r="F5" s="58"/>
    </row>
    <row r="6" spans="8:8" ht="20.25">
      <c r="A6" s="58"/>
      <c r="B6" s="64" t="s">
        <v>172</v>
      </c>
      <c r="C6" s="69" t="s">
        <v>156</v>
      </c>
      <c r="D6" s="66" t="s">
        <v>183</v>
      </c>
      <c r="E6" s="67" t="s">
        <v>167</v>
      </c>
      <c r="F6" s="58"/>
    </row>
    <row r="7" spans="8:8" ht="20.25">
      <c r="A7" s="58"/>
      <c r="B7" s="64" t="s">
        <v>173</v>
      </c>
      <c r="C7" s="69" t="s">
        <v>506</v>
      </c>
      <c r="D7" s="66" t="s">
        <v>184</v>
      </c>
      <c r="E7" s="72" t="s">
        <v>168</v>
      </c>
      <c r="F7" s="58"/>
    </row>
    <row r="8" spans="8:8" ht="20.25">
      <c r="A8" s="58"/>
      <c r="B8" s="73" t="s">
        <v>207</v>
      </c>
      <c r="C8" s="69">
        <v>1234567.0</v>
      </c>
      <c r="D8" s="66" t="s">
        <v>185</v>
      </c>
      <c r="E8" s="67" t="s">
        <v>153</v>
      </c>
      <c r="F8" s="58"/>
    </row>
    <row r="9" spans="8:8" ht="20.25">
      <c r="A9" s="58"/>
      <c r="B9" s="74" t="s">
        <v>174</v>
      </c>
      <c r="C9" s="69" t="s">
        <v>157</v>
      </c>
      <c r="D9" s="75" t="s">
        <v>205</v>
      </c>
      <c r="E9" s="76" t="s">
        <v>154</v>
      </c>
      <c r="F9" s="58"/>
    </row>
    <row r="10" spans="8:8" ht="20.25">
      <c r="A10" s="58"/>
      <c r="B10" s="64" t="s">
        <v>175</v>
      </c>
      <c r="C10" s="69">
        <v>7000.0</v>
      </c>
      <c r="D10" s="77" t="s">
        <v>186</v>
      </c>
      <c r="E10" s="67" t="s">
        <v>155</v>
      </c>
      <c r="F10" s="58"/>
    </row>
    <row r="11" spans="8:8" ht="20.25">
      <c r="A11" s="58"/>
      <c r="B11" s="64" t="s">
        <v>176</v>
      </c>
      <c r="C11" s="69">
        <v>73200.0</v>
      </c>
      <c r="D11" s="78" t="s">
        <v>187</v>
      </c>
      <c r="E11" s="79">
        <v>0.1</v>
      </c>
      <c r="F11" s="58"/>
    </row>
    <row r="12" spans="8:8" ht="20.25">
      <c r="A12" s="58"/>
      <c r="B12" s="64" t="s">
        <v>177</v>
      </c>
      <c r="C12" s="69" t="s">
        <v>144</v>
      </c>
      <c r="D12" s="66" t="s">
        <v>188</v>
      </c>
      <c r="E12" s="80">
        <v>45536.0</v>
      </c>
      <c r="F12" s="58"/>
    </row>
    <row r="13" spans="8:8" ht="20.25">
      <c r="A13" s="58"/>
      <c r="B13" s="64" t="s">
        <v>178</v>
      </c>
      <c r="C13" s="69" t="s">
        <v>144</v>
      </c>
      <c r="D13" s="77" t="s">
        <v>212</v>
      </c>
      <c r="E13" s="81">
        <v>5.0</v>
      </c>
      <c r="F13" s="58"/>
    </row>
    <row r="14" spans="8:8" ht="20.25">
      <c r="A14" s="58"/>
      <c r="B14" s="82" t="s">
        <v>180</v>
      </c>
      <c r="C14" s="83">
        <v>0.0</v>
      </c>
      <c r="D14" s="66" t="s">
        <v>189</v>
      </c>
      <c r="E14" s="67" t="s">
        <v>144</v>
      </c>
      <c r="F14" s="58"/>
    </row>
    <row r="15" spans="8:8" ht="20.25">
      <c r="A15" s="58"/>
      <c r="B15" s="64" t="s">
        <v>179</v>
      </c>
      <c r="C15" s="69" t="s">
        <v>70</v>
      </c>
      <c r="D15" s="66" t="s">
        <v>190</v>
      </c>
      <c r="E15" s="84">
        <v>700.0</v>
      </c>
      <c r="F15" s="58"/>
    </row>
    <row r="16" spans="8:8" ht="20.25">
      <c r="A16" s="58"/>
      <c r="B16" s="85" t="s">
        <v>181</v>
      </c>
      <c r="C16" s="69" t="s">
        <v>70</v>
      </c>
      <c r="D16" s="86" t="s">
        <v>220</v>
      </c>
      <c r="E16" s="67" t="s">
        <v>128</v>
      </c>
      <c r="F16" s="58"/>
    </row>
    <row r="17" spans="8:8" ht="20.25">
      <c r="A17" s="58"/>
      <c r="B17" s="87" t="s">
        <v>218</v>
      </c>
      <c r="C17" s="67">
        <v>0.0</v>
      </c>
      <c r="D17" s="87" t="s">
        <v>219</v>
      </c>
      <c r="E17" s="67">
        <v>0.0</v>
      </c>
      <c r="F17" s="58"/>
    </row>
    <row r="18" spans="8:8" ht="20.25">
      <c r="A18" s="58"/>
      <c r="B18" s="87" t="s">
        <v>208</v>
      </c>
      <c r="C18" s="88">
        <v>0.5</v>
      </c>
      <c r="D18" s="87" t="s">
        <v>210</v>
      </c>
      <c r="E18" s="67" t="s">
        <v>144</v>
      </c>
      <c r="F18" s="58"/>
    </row>
    <row r="19" spans="8:8" ht="20.25">
      <c r="A19" s="58"/>
      <c r="B19" s="89" t="s">
        <v>209</v>
      </c>
      <c r="C19" s="90">
        <v>0.53</v>
      </c>
      <c r="D19" s="89" t="s">
        <v>211</v>
      </c>
      <c r="E19" s="91" t="s">
        <v>144</v>
      </c>
      <c r="F19" s="58"/>
    </row>
    <row r="20" spans="8:8" ht="20.25">
      <c r="A20" s="58"/>
      <c r="B20" s="92" t="s">
        <v>222</v>
      </c>
      <c r="C20" s="69" t="s">
        <v>70</v>
      </c>
      <c r="D20" s="93" t="s">
        <v>221</v>
      </c>
      <c r="E20" s="67" t="s">
        <v>70</v>
      </c>
      <c r="F20" s="58"/>
    </row>
    <row r="21" spans="8:8" ht="6.0" customHeight="1">
      <c r="A21" s="58"/>
      <c r="F21" s="58"/>
    </row>
    <row r="22" spans="8:8" ht="3.75" customHeight="1">
      <c r="A22" s="58"/>
      <c r="F22" s="58"/>
    </row>
    <row r="23" spans="8:8" ht="46.5" customHeight="1">
      <c r="A23" s="58"/>
      <c r="B23" s="94" t="s">
        <v>532</v>
      </c>
      <c r="C23" s="95"/>
      <c r="D23" s="95"/>
      <c r="E23" s="96"/>
      <c r="F23" s="97"/>
      <c r="G23" s="98"/>
    </row>
    <row r="24" spans="8:8" ht="13.5"/>
  </sheetData>
  <sheetProtection algorithmName="SHA-512" hashValue="ai3ZGAuqfwCVloH/pE7IG4AR9GkxIxdlqaqo7/WdbL4VgZkskcUvrfDI0+sdvWa/RX2PE7k72ysnvMHZnB1eDA==" saltValue="YkYhGRU3qoMzbKivmTBKIg==" spinCount="100000" sheet="1" objects="1" scenarios="1" formatCells="0"/>
  <mergeCells count="3">
    <mergeCell ref="C3:E3"/>
    <mergeCell ref="B23:E23"/>
    <mergeCell ref="B2:E2"/>
  </mergeCells>
  <dataValidations count="10">
    <dataValidation allowBlank="1" type="list" errorStyle="stop" showInputMessage="1" showErrorMessage="1" sqref="E11">
      <formula1>"NA,10%,20%"</formula1>
    </dataValidation>
    <dataValidation allowBlank="1" type="list" errorStyle="stop" showInputMessage="1" showErrorMessage="1" sqref="C15:C16">
      <formula1>"YES,NO"</formula1>
    </dataValidation>
    <dataValidation allowBlank="1" type="list" errorStyle="stop" showInputMessage="1" showErrorMessage="1" sqref="E18:E20">
      <formula1>"YES,NO"</formula1>
    </dataValidation>
    <dataValidation allowBlank="1" type="list" errorStyle="stop" showInputMessage="1" showErrorMessage="1" sqref="C5">
      <formula1>$H$1:$H$25</formula1>
    </dataValidation>
    <dataValidation allowBlank="1" type="list" errorStyle="stop" showInputMessage="1" showErrorMessage="1" sqref="E6">
      <formula1>"STATE SERVICE,SUBORTINATE,MINISTERIAL,CLASS IV"</formula1>
    </dataValidation>
    <dataValidation allowBlank="1" type="list" errorStyle="stop" showInputMessage="1" showErrorMessage="1" sqref="C20">
      <formula1>"YES,NO"</formula1>
    </dataValidation>
    <dataValidation allowBlank="1" type="list" errorStyle="stop" showInputMessage="1" showErrorMessage="1" sqref="E14:E15">
      <formula1>"0,700,1400,2100"</formula1>
    </dataValidation>
    <dataValidation allowBlank="1" type="list" errorStyle="stop" showInputMessage="1" showErrorMessage="1" sqref="C12:C13">
      <formula1>"YES,NO"</formula1>
    </dataValidation>
    <dataValidation allowBlank="1" type="list" errorStyle="stop" showInputMessage="1" showErrorMessage="1" sqref="E14">
      <formula1>"YES,NO"</formula1>
    </dataValidation>
    <dataValidation allowBlank="1" type="list" errorStyle="stop" showInputMessage="1" showErrorMessage="1" sqref="E16">
      <formula1>"NA,320,620,1000"</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allowBlank="1" type="list" errorStyle="stop" showInputMessage="1" showErrorMessage="1">
          <x14:formula1>
            <xm:f>'[1]Sheet3'!$AI$8:$AI$19</xm:f>
          </x14:formula1>
          <xm:sqref>E12</xm:sqref>
        </x14:dataValidation>
      </x14:dataValidations>
    </ext>
  </extLst>
</worksheet>
</file>

<file path=xl/worksheets/sheet3.xml><?xml version="1.0" encoding="utf-8"?>
<worksheet xmlns:r="http://schemas.openxmlformats.org/officeDocument/2006/relationships" xmlns="http://schemas.openxmlformats.org/spreadsheetml/2006/main">
  <sheetPr>
    <tabColor rgb="FFFF0000"/>
    <pageSetUpPr fitToPage="1"/>
  </sheetPr>
  <dimension ref="A1:AQ36"/>
  <sheetViews>
    <sheetView workbookViewId="0" showGridLines="0" showRowColHeaders="0" zoomScale="70">
      <pane xSplit="2" ySplit="7" topLeftCell="B8" state="frozen" activePane="bottomRight"/>
      <selection pane="bottomRight" activeCell="C8" sqref="C8"/>
    </sheetView>
  </sheetViews>
  <sheetFormatPr defaultRowHeight="12.75" defaultColWidth="0" zeroHeight="1"/>
  <cols>
    <col min="1" max="1" customWidth="1" width="2.0" style="99"/>
    <col min="2" max="2" hidden="1" customWidth="1" width="5.140625" style="100"/>
    <col min="3" max="3" customWidth="1" width="15.285156" style="100"/>
    <col min="4" max="12" customWidth="1" width="8.140625" style="100"/>
    <col min="13" max="13" customWidth="1" width="11.7109375" style="100"/>
    <col min="14" max="25" customWidth="1" width="7.5703125" style="100"/>
    <col min="26" max="26" customWidth="1" width="9.285156" style="100"/>
    <col min="27" max="27" customWidth="1" width="10.5703125" style="100"/>
    <col min="28" max="28" customWidth="1" width="18.285156" style="100"/>
    <col min="29" max="29" hidden="1" customWidth="1" width="0.42578125" style="99"/>
    <col min="30" max="30" customWidth="1" width="21.0" style="100"/>
    <col min="31" max="34" hidden="1" customWidth="1" width="9.140625" style="100"/>
    <col min="35" max="35" hidden="1" customWidth="1" width="14.140625" style="100"/>
    <col min="36" max="36" hidden="1" customWidth="1" width="10.140625" style="100"/>
    <col min="37" max="40" hidden="1" customWidth="1" width="9.140625" style="100"/>
    <col min="41" max="41" customWidth="1" width="9.140625" style="101"/>
    <col min="42" max="16384" hidden="1" customWidth="0" width="9.140625" style="100"/>
  </cols>
  <sheetData>
    <row r="1" spans="8:8" ht="38.25" customHeight="1">
      <c r="A1" s="101"/>
      <c r="C1" s="102" t="s">
        <v>544</v>
      </c>
      <c r="D1" s="102"/>
      <c r="E1" s="102"/>
      <c r="F1" s="102"/>
      <c r="G1" s="102"/>
      <c r="H1" s="102"/>
      <c r="I1" s="102"/>
      <c r="J1" s="102"/>
      <c r="K1" s="102"/>
      <c r="L1" s="102"/>
      <c r="M1" s="102"/>
      <c r="N1" s="102"/>
      <c r="O1" s="102"/>
      <c r="P1" s="102"/>
      <c r="Q1" s="102"/>
      <c r="R1" s="102"/>
      <c r="S1" s="102"/>
      <c r="T1" s="102"/>
      <c r="U1" s="102"/>
      <c r="V1" s="102"/>
      <c r="W1" s="102"/>
      <c r="X1" s="102"/>
      <c r="Y1" s="102"/>
      <c r="Z1" s="102"/>
      <c r="AA1" s="102"/>
      <c r="AB1" s="102"/>
      <c r="AO1" s="100"/>
    </row>
    <row r="2" spans="8:8" ht="26.25">
      <c r="A2" s="101"/>
      <c r="C2" s="103" t="str">
        <f>UPPER(IF('MASTER DATA SHEET'!C3="","",CONCATENATE("Office of the"," ",'MASTER DATA SHEET'!C3)))</f>
        <v>OFFICE OF THE  PRINCIPAL,GOVT. SEN. SEC. SCHOOL DASANA KHURD (DEEDWANA-KUCHAMAN)</v>
      </c>
      <c r="D2" s="103"/>
      <c r="E2" s="103"/>
      <c r="F2" s="103"/>
      <c r="G2" s="103"/>
      <c r="H2" s="103"/>
      <c r="I2" s="103"/>
      <c r="J2" s="103"/>
      <c r="K2" s="103"/>
      <c r="L2" s="103"/>
      <c r="M2" s="103"/>
      <c r="N2" s="103"/>
      <c r="O2" s="103"/>
      <c r="P2" s="103"/>
      <c r="Q2" s="103"/>
      <c r="R2" s="103"/>
      <c r="S2" s="103"/>
      <c r="T2" s="103"/>
      <c r="U2" s="103"/>
      <c r="V2" s="103"/>
      <c r="W2" s="103"/>
      <c r="X2" s="103"/>
      <c r="Y2" s="103"/>
      <c r="Z2" s="103"/>
      <c r="AA2" s="103"/>
      <c r="AB2" s="103"/>
    </row>
    <row r="3" spans="8:8" ht="23.25">
      <c r="A3" s="101"/>
      <c r="C3" s="104" t="s">
        <v>163</v>
      </c>
      <c r="D3" s="104"/>
      <c r="E3" s="104"/>
      <c r="F3" s="104"/>
      <c r="G3" s="104"/>
      <c r="H3" s="104"/>
      <c r="I3" s="104"/>
      <c r="J3" s="104"/>
      <c r="K3" s="104"/>
      <c r="L3" s="104"/>
      <c r="M3" s="104"/>
      <c r="N3" s="104"/>
      <c r="O3" s="104"/>
      <c r="P3" s="104"/>
      <c r="Q3" s="104"/>
      <c r="R3" s="104"/>
      <c r="S3" s="104"/>
      <c r="T3" s="104"/>
      <c r="U3" s="104"/>
      <c r="V3" s="104"/>
      <c r="W3" s="104"/>
      <c r="X3" s="105">
        <v>45383.0</v>
      </c>
      <c r="Y3" s="105"/>
      <c r="Z3" s="106" t="s">
        <v>284</v>
      </c>
      <c r="AA3" s="105">
        <v>45747.0</v>
      </c>
      <c r="AB3" s="105"/>
      <c r="AD3" s="107" t="s">
        <v>605</v>
      </c>
    </row>
    <row r="4" spans="8:8" ht="3.75" customHeight="1">
      <c r="A4" s="101"/>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D4" s="107"/>
    </row>
    <row r="5" spans="8:8" s="109" ht="21.0" customFormat="1" customHeight="1">
      <c r="A5" s="110"/>
      <c r="C5" s="111" t="s">
        <v>158</v>
      </c>
      <c r="D5" s="112" t="str">
        <f>UPPER(IF('MASTER DATA SHEET'!$C$4="","",'MASTER DATA SHEET'!$C$4))</f>
        <v>BHAGIRATH MAL</v>
      </c>
      <c r="E5" s="112"/>
      <c r="F5" s="112"/>
      <c r="G5" s="112"/>
      <c r="H5" s="112"/>
      <c r="I5" s="112"/>
      <c r="J5" s="113" t="s">
        <v>261</v>
      </c>
      <c r="K5" s="113"/>
      <c r="L5" s="114" t="str">
        <f>UPPER(IF('MASTER DATA SHEET'!$E$4="","",CONCATENATE('MASTER DATA SHEET'!$E$4," ","पे लेवल"," ",'MASTER DATA SHEET'!$C$5)))</f>
        <v>TEACHER L-1 पे लेवल L-14</v>
      </c>
      <c r="M5" s="114"/>
      <c r="N5" s="114"/>
      <c r="O5" s="113" t="s">
        <v>161</v>
      </c>
      <c r="P5" s="113"/>
      <c r="Q5" s="114" t="str">
        <f>IF('MASTER DATA SHEET'!$C$6="","",'MASTER DATA SHEET'!$C$6)</f>
        <v>AAAAAXXXXA</v>
      </c>
      <c r="R5" s="114"/>
      <c r="S5" s="114"/>
      <c r="T5" s="114"/>
      <c r="U5" s="115" t="s">
        <v>159</v>
      </c>
      <c r="V5" s="115"/>
      <c r="W5" s="114" t="str">
        <f>IF('MASTER DATA SHEET'!$C$7="","",'MASTER DATA SHEET'!$C$7)</f>
        <v>BAAAXXXXXA</v>
      </c>
      <c r="X5" s="114"/>
      <c r="Y5" s="113" t="s">
        <v>193</v>
      </c>
      <c r="Z5" s="113"/>
      <c r="AA5" s="116" t="str">
        <f>IF('MASTER DATA SHEET'!E7="","",'MASTER DATA SHEET'!E7)</f>
        <v>0XXXXXXXXXXXXX5</v>
      </c>
      <c r="AB5" s="116"/>
      <c r="AC5" s="117"/>
      <c r="AD5" s="107"/>
      <c r="AO5" s="110"/>
    </row>
    <row r="6" spans="8:8" s="109" ht="30.0" customFormat="1" customHeight="1">
      <c r="A6" s="110"/>
      <c r="C6" s="118" t="s">
        <v>195</v>
      </c>
      <c r="D6" s="119" t="str">
        <f>IF('MASTER DATA SHEET'!$E$5="","",'MASTER DATA SHEET'!$E$5)</f>
        <v>RJXXXXXXXXXXXXXXX</v>
      </c>
      <c r="E6" s="119"/>
      <c r="F6" s="119"/>
      <c r="G6" s="119" t="s">
        <v>194</v>
      </c>
      <c r="H6" s="119"/>
      <c r="I6" s="120" t="str">
        <f>IF('MASTER DATA SHEET'!$E$8="","",'MASTER DATA SHEET'!$E$8)</f>
        <v>ABCD</v>
      </c>
      <c r="J6" s="120"/>
      <c r="K6" s="120"/>
      <c r="L6" s="120"/>
      <c r="M6" s="120"/>
      <c r="N6" s="121" t="s">
        <v>206</v>
      </c>
      <c r="O6" s="119">
        <f>'MASTER DATA SHEET'!C8</f>
        <v>1234567.0</v>
      </c>
      <c r="P6" s="119"/>
      <c r="Q6" s="122" t="s">
        <v>160</v>
      </c>
      <c r="R6" s="122"/>
      <c r="S6" s="123" t="str">
        <f>IF('MASTER DATA SHEET'!C9="","",'MASTER DATA SHEET'!C9)</f>
        <v>74XXX7</v>
      </c>
      <c r="T6" s="123"/>
      <c r="U6" s="124" t="s">
        <v>205</v>
      </c>
      <c r="V6" s="124"/>
      <c r="W6" s="125" t="str">
        <f>IF('MASTER DATA SHEET'!E9="","",'MASTER DATA SHEET'!E9)</f>
        <v>8XXXXX8</v>
      </c>
      <c r="Y6" s="126" t="s">
        <v>162</v>
      </c>
      <c r="Z6" s="126"/>
      <c r="AA6" s="116" t="str">
        <f>IF('MASTER DATA SHEET'!E10="","",'MASTER DATA SHEET'!E10)</f>
        <v>9XXXXXXXX1</v>
      </c>
      <c r="AB6" s="116"/>
      <c r="AC6" s="117"/>
      <c r="AD6" s="107"/>
      <c r="AO6" s="110"/>
    </row>
    <row r="7" spans="8:8" s="127" ht="114.75" customFormat="1" customHeight="1">
      <c r="A7" s="128"/>
      <c r="C7" s="129" t="s">
        <v>164</v>
      </c>
      <c r="D7" s="130" t="s">
        <v>165</v>
      </c>
      <c r="E7" s="129" t="s">
        <v>5</v>
      </c>
      <c r="F7" s="129" t="s">
        <v>53</v>
      </c>
      <c r="G7" s="129" t="s">
        <v>196</v>
      </c>
      <c r="H7" s="129" t="s">
        <v>166</v>
      </c>
      <c r="I7" s="129" t="s">
        <v>198</v>
      </c>
      <c r="J7" s="129" t="s">
        <v>197</v>
      </c>
      <c r="K7" s="131" t="str">
        <f>IF(AND('MASTER DATA SHEET'!$E$20="YES",'MASTER DATA SHEET'!$C$20="YES"),"OTHER ALLOWANCE","OTHER ALLOWANCE 1")</f>
        <v>OTHER ALLOWANCE 1</v>
      </c>
      <c r="L7" s="131" t="s">
        <v>518</v>
      </c>
      <c r="M7" s="129" t="s">
        <v>510</v>
      </c>
      <c r="N7" s="130" t="str">
        <f>IF('MASTER DATA SHEET'!C20="No","GPF","GPF 2004")</f>
        <v>GPF</v>
      </c>
      <c r="O7" s="130" t="str">
        <f>IF('MASTER DATA SHEET'!C20="No","GPF LOAN","GPF 2004 LOAN")</f>
        <v>GPF LOAN</v>
      </c>
      <c r="P7" s="130" t="s">
        <v>199</v>
      </c>
      <c r="Q7" s="130" t="s">
        <v>200</v>
      </c>
      <c r="R7" s="130" t="s">
        <v>201</v>
      </c>
      <c r="S7" s="130" t="s">
        <v>129</v>
      </c>
      <c r="T7" s="130" t="s">
        <v>0</v>
      </c>
      <c r="U7" s="130" t="s">
        <v>511</v>
      </c>
      <c r="V7" s="130" t="s">
        <v>512</v>
      </c>
      <c r="W7" s="130" t="s">
        <v>513</v>
      </c>
      <c r="X7" s="132" t="str">
        <f>IF(AND('MASTER DATA SHEET'!$E$20="YES",'MASTER DATA SHEET'!$C$20="Yes"),"OTHER DEDUCTION","OTHER DEDUCTION 1")</f>
        <v>OTHER DEDUCTION 1</v>
      </c>
      <c r="Y7" s="133" t="s">
        <v>130</v>
      </c>
      <c r="Z7" s="130" t="s">
        <v>514</v>
      </c>
      <c r="AA7" s="130" t="s">
        <v>515</v>
      </c>
      <c r="AB7" s="134" t="s">
        <v>516</v>
      </c>
      <c r="AC7" s="135" t="s">
        <v>517</v>
      </c>
      <c r="AD7" s="136" t="s">
        <v>606</v>
      </c>
      <c r="AE7" s="137"/>
      <c r="AF7" s="137"/>
      <c r="AG7" s="137"/>
      <c r="AH7" s="137"/>
      <c r="AI7" s="137"/>
      <c r="AJ7" s="137"/>
      <c r="AK7" s="137"/>
      <c r="AL7" s="137"/>
      <c r="AM7" s="137"/>
      <c r="AN7" s="137"/>
      <c r="AO7" s="138"/>
    </row>
    <row r="8" spans="8:8" s="139" ht="22.5" customFormat="1" customHeight="1">
      <c r="A8" s="140"/>
      <c r="B8" s="139">
        <v>3.0</v>
      </c>
      <c r="C8" s="141">
        <v>45352.0</v>
      </c>
      <c r="D8" s="142">
        <f>'MASTER DATA SHEET'!C11</f>
        <v>73200.0</v>
      </c>
      <c r="E8" s="143">
        <f>IF('MASTER DATA SHEET'!$C$16="YES",0,ROUND(50%*D8,0))</f>
        <v>36600.0</v>
      </c>
      <c r="F8" s="143">
        <f>IF('MASTER DATA SHEET'!$E$11="NA",0,IF('MASTER DATA SHEET'!$E$11=10%,ROUND(0.09*D8,0),ROUND(0.18*D8,0)))</f>
        <v>6588.0</v>
      </c>
      <c r="G8" s="144"/>
      <c r="H8" s="144">
        <f>IF('MASTER DATA SHEET'!$C$17="","",'MASTER DATA SHEET'!$C$17)</f>
        <v>0.0</v>
      </c>
      <c r="I8" s="144">
        <f>IF('MASTER DATA SHEET'!$E$17="","",'MASTER DATA SHEET'!$E$17)</f>
        <v>0.0</v>
      </c>
      <c r="J8" s="143" t="str">
        <f>IF('MASTER DATA SHEET'!$E$16="NA","",'MASTER DATA SHEET'!$E$16)</f>
        <v/>
      </c>
      <c r="K8" s="145">
        <v>0.0</v>
      </c>
      <c r="L8" s="145">
        <v>0.0</v>
      </c>
      <c r="M8" s="146">
        <f t="shared" si="0" ref="M8:M27">SUM(D8:L8)</f>
        <v>116388.0</v>
      </c>
      <c r="N8" s="143">
        <f t="shared" si="1" ref="N8:N19">IF(D8&lt;23101,1450,IF(D8&lt;28501,1625,IF(D8&lt;38501,2100,IF(D8&lt;51501,2850,IF(D8&lt;62001,3575,IF(D8&lt;72001,4200,IF(D8&lt;80001,4800,IF(D8&lt;116001,6150,IF(D8&lt;167001,8900,10500)))))))))</f>
        <v>4800.0</v>
      </c>
      <c r="O8" s="145">
        <v>0.0</v>
      </c>
      <c r="P8" s="143">
        <f>'MASTER DATA SHEET'!$C$10</f>
        <v>7000.0</v>
      </c>
      <c r="Q8" s="145">
        <v>0.0</v>
      </c>
      <c r="R8" s="145">
        <v>0.0</v>
      </c>
      <c r="S8" s="143">
        <f t="shared" si="2" ref="S8:S19">IF(D8&lt;18001,265,IF(D8&lt;33501,440,IF(D8&lt;54001,658,875)))</f>
        <v>875.0</v>
      </c>
      <c r="T8" s="145">
        <f>'MASTER DATA SHEET'!C14</f>
        <v>0.0</v>
      </c>
      <c r="U8" s="143">
        <v>0.0</v>
      </c>
      <c r="V8" s="145">
        <v>7000.0</v>
      </c>
      <c r="W8" s="143"/>
      <c r="X8" s="145"/>
      <c r="Y8" s="147"/>
      <c r="Z8" s="148">
        <f t="shared" si="3" ref="Z8:Z27">SUM(N8:Y8)</f>
        <v>19675.0</v>
      </c>
      <c r="AA8" s="146">
        <f t="shared" si="4" ref="AA8:AA27">M8-Z8</f>
        <v>96713.0</v>
      </c>
      <c r="AB8" s="149"/>
      <c r="AC8" s="150"/>
      <c r="AD8" s="151" t="s">
        <v>546</v>
      </c>
      <c r="AI8" s="152">
        <v>45352.0</v>
      </c>
      <c r="AJ8" s="153">
        <f>'MASTER DATA SHEET'!C11</f>
        <v>73200.0</v>
      </c>
      <c r="AK8" s="154">
        <v>0.5</v>
      </c>
      <c r="AL8" s="155">
        <f>E8</f>
        <v>36600.0</v>
      </c>
      <c r="AM8" s="139">
        <v>0.0</v>
      </c>
      <c r="AO8" s="140"/>
    </row>
    <row r="9" spans="8:8" s="139" ht="22.5" customFormat="1" customHeight="1">
      <c r="A9" s="140"/>
      <c r="B9" s="139">
        <v>4.0</v>
      </c>
      <c r="C9" s="141">
        <v>45383.0</v>
      </c>
      <c r="D9" s="142">
        <f>D8</f>
        <v>73200.0</v>
      </c>
      <c r="E9" s="143">
        <f>IF('MASTER DATA SHEET'!$C$16="YES",0,ROUND(50%*D9,0))</f>
        <v>36600.0</v>
      </c>
      <c r="F9" s="143">
        <f>IF('MASTER DATA SHEET'!$E$11="NA",0,IF('MASTER DATA SHEET'!$E$11=10%,ROUND(0.09*D9,0),ROUND(0.18*D9,0)))</f>
        <v>6588.0</v>
      </c>
      <c r="G9" s="144"/>
      <c r="H9" s="144">
        <f>H8</f>
        <v>0.0</v>
      </c>
      <c r="I9" s="144">
        <f>I8</f>
        <v>0.0</v>
      </c>
      <c r="J9" s="143" t="str">
        <f>J8</f>
        <v/>
      </c>
      <c r="K9" s="145">
        <f>K8</f>
        <v>0.0</v>
      </c>
      <c r="L9" s="145">
        <f>L8</f>
        <v>0.0</v>
      </c>
      <c r="M9" s="146">
        <f t="shared" si="0"/>
        <v>116388.0</v>
      </c>
      <c r="N9" s="143">
        <f t="shared" si="1"/>
        <v>4800.0</v>
      </c>
      <c r="O9" s="145">
        <f>O8</f>
        <v>0.0</v>
      </c>
      <c r="P9" s="143">
        <f>'MASTER DATA SHEET'!$C$10</f>
        <v>7000.0</v>
      </c>
      <c r="Q9" s="145">
        <f t="shared" si="5" ref="Q9:Q19">IF(Q$8=0,0,Q8)</f>
        <v>0.0</v>
      </c>
      <c r="R9" s="145"/>
      <c r="S9" s="143">
        <f t="shared" si="2"/>
        <v>875.0</v>
      </c>
      <c r="T9" s="145">
        <f>T8</f>
        <v>0.0</v>
      </c>
      <c r="U9" s="143">
        <f>'MASTER DATA SHEET'!E15</f>
        <v>700.0</v>
      </c>
      <c r="V9" s="145">
        <f>V8</f>
        <v>7000.0</v>
      </c>
      <c r="W9" s="143"/>
      <c r="X9" s="145"/>
      <c r="Y9" s="145"/>
      <c r="Z9" s="148">
        <f t="shared" si="3"/>
        <v>20375.0</v>
      </c>
      <c r="AA9" s="146">
        <f t="shared" si="4"/>
        <v>96013.0</v>
      </c>
      <c r="AB9" s="149"/>
      <c r="AC9" s="150"/>
      <c r="AD9" s="151"/>
      <c r="AI9" s="152">
        <v>45383.0</v>
      </c>
      <c r="AJ9" s="156">
        <f>D9</f>
        <v>73200.0</v>
      </c>
      <c r="AK9" s="154">
        <v>0.5</v>
      </c>
      <c r="AL9" s="155">
        <f t="shared" si="6" ref="AL9:AL19">E9</f>
        <v>36600.0</v>
      </c>
      <c r="AM9" s="139">
        <v>0.0</v>
      </c>
      <c r="AO9" s="140"/>
    </row>
    <row r="10" spans="8:8" s="139" ht="22.5" customFormat="1" customHeight="1">
      <c r="A10" s="140"/>
      <c r="B10" s="139">
        <v>5.0</v>
      </c>
      <c r="C10" s="141">
        <v>45413.0</v>
      </c>
      <c r="D10" s="142">
        <f>D9</f>
        <v>73200.0</v>
      </c>
      <c r="E10" s="143">
        <f>IF('MASTER DATA SHEET'!$C$16="YES",0,ROUND(50%*D10,0))</f>
        <v>36600.0</v>
      </c>
      <c r="F10" s="143">
        <f>IF('MASTER DATA SHEET'!$E$11="NA",0,IF('MASTER DATA SHEET'!$E$11=10%,ROUND(0.09*D10,0),ROUND(0.18*D10,0)))</f>
        <v>6588.0</v>
      </c>
      <c r="G10" s="144"/>
      <c r="H10" s="144">
        <f t="shared" si="7" ref="H10:H19">H9</f>
        <v>0.0</v>
      </c>
      <c r="I10" s="144">
        <f t="shared" si="8" ref="I10:I19">I9</f>
        <v>0.0</v>
      </c>
      <c r="J10" s="143" t="str">
        <f t="shared" si="9" ref="J10:J19">J9</f>
        <v/>
      </c>
      <c r="K10" s="145">
        <f>K9</f>
        <v>0.0</v>
      </c>
      <c r="L10" s="145">
        <f t="shared" si="10" ref="L10:L19">L9</f>
        <v>0.0</v>
      </c>
      <c r="M10" s="146">
        <f t="shared" si="0"/>
        <v>116388.0</v>
      </c>
      <c r="N10" s="143">
        <f t="shared" si="1"/>
        <v>4800.0</v>
      </c>
      <c r="O10" s="145">
        <f t="shared" si="11" ref="O10:O19">O9</f>
        <v>0.0</v>
      </c>
      <c r="P10" s="143">
        <f>'MASTER DATA SHEET'!$C$10</f>
        <v>7000.0</v>
      </c>
      <c r="Q10" s="145">
        <f t="shared" si="5"/>
        <v>0.0</v>
      </c>
      <c r="R10" s="145"/>
      <c r="S10" s="143">
        <f t="shared" si="2"/>
        <v>875.0</v>
      </c>
      <c r="T10" s="145">
        <f t="shared" si="12" ref="T10:T19">T9</f>
        <v>0.0</v>
      </c>
      <c r="U10" s="143">
        <v>0.0</v>
      </c>
      <c r="V10" s="145">
        <f t="shared" si="13" ref="V10:V19">V9</f>
        <v>7000.0</v>
      </c>
      <c r="W10" s="143"/>
      <c r="X10" s="145"/>
      <c r="Y10" s="145"/>
      <c r="Z10" s="148">
        <f t="shared" si="3"/>
        <v>19675.0</v>
      </c>
      <c r="AA10" s="146">
        <f t="shared" si="4"/>
        <v>96713.0</v>
      </c>
      <c r="AB10" s="149"/>
      <c r="AC10" s="150"/>
      <c r="AD10" s="151"/>
      <c r="AI10" s="152">
        <v>45413.0</v>
      </c>
      <c r="AJ10" s="156">
        <f t="shared" si="14" ref="AJ10:AJ19">D10</f>
        <v>73200.0</v>
      </c>
      <c r="AK10" s="154">
        <v>0.5</v>
      </c>
      <c r="AL10" s="155">
        <f t="shared" si="6"/>
        <v>36600.0</v>
      </c>
      <c r="AM10" s="139">
        <v>0.0</v>
      </c>
      <c r="AO10" s="140"/>
    </row>
    <row r="11" spans="8:8" s="139" ht="22.5" customFormat="1" customHeight="1">
      <c r="A11" s="140"/>
      <c r="B11" s="139">
        <v>6.0</v>
      </c>
      <c r="C11" s="141">
        <v>45444.0</v>
      </c>
      <c r="D11" s="142">
        <f>D10</f>
        <v>73200.0</v>
      </c>
      <c r="E11" s="143">
        <f>IF('MASTER DATA SHEET'!$C$16="YES",0,ROUND(50%*D11,0))</f>
        <v>36600.0</v>
      </c>
      <c r="F11" s="143">
        <f>IF('MASTER DATA SHEET'!$E$11="NA",0,IF('MASTER DATA SHEET'!$E$11=10%,ROUND(0.09*D11,0),ROUND(0.18*D11,0)))</f>
        <v>6588.0</v>
      </c>
      <c r="G11" s="144"/>
      <c r="H11" s="144">
        <f t="shared" si="7"/>
        <v>0.0</v>
      </c>
      <c r="I11" s="144">
        <f t="shared" si="8"/>
        <v>0.0</v>
      </c>
      <c r="J11" s="143" t="str">
        <f t="shared" si="9"/>
        <v/>
      </c>
      <c r="K11" s="145">
        <f t="shared" si="15" ref="K10:K19">K10</f>
        <v>0.0</v>
      </c>
      <c r="L11" s="145">
        <f t="shared" si="10"/>
        <v>0.0</v>
      </c>
      <c r="M11" s="146">
        <f t="shared" si="0"/>
        <v>116388.0</v>
      </c>
      <c r="N11" s="143">
        <f t="shared" si="1"/>
        <v>4800.0</v>
      </c>
      <c r="O11" s="145">
        <f t="shared" si="11"/>
        <v>0.0</v>
      </c>
      <c r="P11" s="143">
        <f>'MASTER DATA SHEET'!$C$10</f>
        <v>7000.0</v>
      </c>
      <c r="Q11" s="145">
        <f t="shared" si="5"/>
        <v>0.0</v>
      </c>
      <c r="R11" s="145"/>
      <c r="S11" s="143">
        <f t="shared" si="2"/>
        <v>875.0</v>
      </c>
      <c r="T11" s="145">
        <f t="shared" si="12"/>
        <v>0.0</v>
      </c>
      <c r="U11" s="143">
        <v>0.0</v>
      </c>
      <c r="V11" s="145">
        <f t="shared" si="13"/>
        <v>7000.0</v>
      </c>
      <c r="W11" s="143"/>
      <c r="X11" s="145"/>
      <c r="Y11" s="145"/>
      <c r="Z11" s="148">
        <f t="shared" si="3"/>
        <v>19675.0</v>
      </c>
      <c r="AA11" s="146">
        <f t="shared" si="4"/>
        <v>96713.0</v>
      </c>
      <c r="AB11" s="149"/>
      <c r="AC11" s="150"/>
      <c r="AD11" s="151"/>
      <c r="AI11" s="152">
        <v>45444.0</v>
      </c>
      <c r="AJ11" s="156">
        <f t="shared" si="14"/>
        <v>73200.0</v>
      </c>
      <c r="AK11" s="154">
        <v>0.5</v>
      </c>
      <c r="AL11" s="155">
        <f t="shared" si="6"/>
        <v>36600.0</v>
      </c>
      <c r="AM11" s="139">
        <v>0.0</v>
      </c>
      <c r="AO11" s="140"/>
    </row>
    <row r="12" spans="8:8" s="139" ht="22.5" customFormat="1" customHeight="1">
      <c r="A12" s="140"/>
      <c r="B12" s="139">
        <v>7.0</v>
      </c>
      <c r="C12" s="141">
        <v>45474.0</v>
      </c>
      <c r="D12" s="142">
        <f>IF('MASTER DATA SHEET'!C16="NO",ROUND(D11*103%,-2),D11)</f>
        <v>75400.0</v>
      </c>
      <c r="E12" s="143">
        <f>IF('MASTER DATA SHEET'!$C$16="YES",0,ROUND(50%*D12,0))</f>
        <v>37700.0</v>
      </c>
      <c r="F12" s="143">
        <f>IF('MASTER DATA SHEET'!$E$11="NA",0,IF('MASTER DATA SHEET'!$E$11=10%,ROUND(0.09*D12,0),ROUND(0.18*D12,0)))</f>
        <v>6786.0</v>
      </c>
      <c r="G12" s="144"/>
      <c r="H12" s="144">
        <f t="shared" si="7"/>
        <v>0.0</v>
      </c>
      <c r="I12" s="144">
        <f t="shared" si="8"/>
        <v>0.0</v>
      </c>
      <c r="J12" s="143" t="str">
        <f t="shared" si="9"/>
        <v/>
      </c>
      <c r="K12" s="145">
        <f t="shared" si="15"/>
        <v>0.0</v>
      </c>
      <c r="L12" s="145">
        <f t="shared" si="10"/>
        <v>0.0</v>
      </c>
      <c r="M12" s="146">
        <f t="shared" si="0"/>
        <v>119886.0</v>
      </c>
      <c r="N12" s="143">
        <f t="shared" si="1"/>
        <v>4800.0</v>
      </c>
      <c r="O12" s="145">
        <f>O11</f>
        <v>0.0</v>
      </c>
      <c r="P12" s="143">
        <f>'MASTER DATA SHEET'!$C$10</f>
        <v>7000.0</v>
      </c>
      <c r="Q12" s="145">
        <f t="shared" si="5"/>
        <v>0.0</v>
      </c>
      <c r="R12" s="145"/>
      <c r="S12" s="143">
        <f t="shared" si="2"/>
        <v>875.0</v>
      </c>
      <c r="T12" s="145">
        <f>T11</f>
        <v>0.0</v>
      </c>
      <c r="U12" s="143">
        <v>0.0</v>
      </c>
      <c r="V12" s="145">
        <f t="shared" si="13"/>
        <v>7000.0</v>
      </c>
      <c r="W12" s="143"/>
      <c r="X12" s="145"/>
      <c r="Y12" s="145"/>
      <c r="Z12" s="148">
        <f t="shared" si="3"/>
        <v>19675.0</v>
      </c>
      <c r="AA12" s="146">
        <f t="shared" si="4"/>
        <v>100211.0</v>
      </c>
      <c r="AB12" s="149"/>
      <c r="AC12" s="150"/>
      <c r="AD12" s="157" t="s">
        <v>545</v>
      </c>
      <c r="AI12" s="152">
        <v>45474.0</v>
      </c>
      <c r="AJ12" s="156">
        <f t="shared" si="14"/>
        <v>75400.0</v>
      </c>
      <c r="AK12" s="154">
        <v>0.5</v>
      </c>
      <c r="AL12" s="155">
        <f t="shared" si="6"/>
        <v>37700.0</v>
      </c>
      <c r="AM12" s="139">
        <f>ROUND(AJ12/2*3%,0)</f>
        <v>1131.0</v>
      </c>
      <c r="AO12" s="140"/>
    </row>
    <row r="13" spans="8:8" s="139" ht="22.5" customFormat="1" customHeight="1">
      <c r="A13" s="140"/>
      <c r="B13" s="139">
        <v>8.0</v>
      </c>
      <c r="C13" s="141">
        <v>45505.0</v>
      </c>
      <c r="D13" s="142">
        <f t="shared" si="16" ref="D13:D19">D12</f>
        <v>75400.0</v>
      </c>
      <c r="E13" s="143">
        <f>IF('MASTER DATA SHEET'!$C$16="YES",0,ROUND(50%*D13,0))</f>
        <v>37700.0</v>
      </c>
      <c r="F13" s="143">
        <f>IF('MASTER DATA SHEET'!$E$11="NA",0,IF('MASTER DATA SHEET'!$E$11=10%,ROUND(0.09*D13,0),ROUND(0.18*D13,0)))</f>
        <v>6786.0</v>
      </c>
      <c r="G13" s="144"/>
      <c r="H13" s="144">
        <f t="shared" si="7"/>
        <v>0.0</v>
      </c>
      <c r="I13" s="144">
        <f t="shared" si="8"/>
        <v>0.0</v>
      </c>
      <c r="J13" s="143" t="str">
        <f t="shared" si="9"/>
        <v/>
      </c>
      <c r="K13" s="145">
        <f t="shared" si="15"/>
        <v>0.0</v>
      </c>
      <c r="L13" s="145">
        <f t="shared" si="10"/>
        <v>0.0</v>
      </c>
      <c r="M13" s="146">
        <f t="shared" si="0"/>
        <v>119886.0</v>
      </c>
      <c r="N13" s="143">
        <f t="shared" si="1"/>
        <v>4800.0</v>
      </c>
      <c r="O13" s="145">
        <f t="shared" si="11"/>
        <v>0.0</v>
      </c>
      <c r="P13" s="143">
        <f>'MASTER DATA SHEET'!$C$10</f>
        <v>7000.0</v>
      </c>
      <c r="Q13" s="145">
        <f t="shared" si="5"/>
        <v>0.0</v>
      </c>
      <c r="R13" s="145"/>
      <c r="S13" s="143">
        <f t="shared" si="2"/>
        <v>875.0</v>
      </c>
      <c r="T13" s="145">
        <f t="shared" si="12"/>
        <v>0.0</v>
      </c>
      <c r="U13" s="143">
        <v>0.0</v>
      </c>
      <c r="V13" s="145">
        <f>V12</f>
        <v>7000.0</v>
      </c>
      <c r="W13" s="143"/>
      <c r="X13" s="145"/>
      <c r="Y13" s="145"/>
      <c r="Z13" s="148">
        <f t="shared" si="3"/>
        <v>19675.0</v>
      </c>
      <c r="AA13" s="146">
        <f t="shared" si="4"/>
        <v>100211.0</v>
      </c>
      <c r="AB13" s="149"/>
      <c r="AC13" s="150"/>
      <c r="AD13" s="157"/>
      <c r="AI13" s="152">
        <v>45505.0</v>
      </c>
      <c r="AJ13" s="156">
        <f t="shared" si="14"/>
        <v>75400.0</v>
      </c>
      <c r="AK13" s="154">
        <v>0.5</v>
      </c>
      <c r="AL13" s="155">
        <f t="shared" si="6"/>
        <v>37700.0</v>
      </c>
      <c r="AM13" s="139">
        <f>ROUND(AJ13/2*3%,0)</f>
        <v>1131.0</v>
      </c>
      <c r="AO13" s="140"/>
    </row>
    <row r="14" spans="8:8" s="139" ht="22.5" customFormat="1" customHeight="1">
      <c r="A14" s="140"/>
      <c r="B14" s="139">
        <v>9.0</v>
      </c>
      <c r="C14" s="141">
        <v>45536.0</v>
      </c>
      <c r="D14" s="142">
        <f t="shared" si="16"/>
        <v>75400.0</v>
      </c>
      <c r="E14" s="143">
        <f>IF('MASTER DATA SHEET'!$C$16="YES",0,ROUND(50%*D14,0))</f>
        <v>37700.0</v>
      </c>
      <c r="F14" s="143">
        <f>IF('MASTER DATA SHEET'!$E$11="NA",0,IF('MASTER DATA SHEET'!$E$11=10%,ROUND(0.09*D14,0),ROUND(0.18*D14,0)))</f>
        <v>6786.0</v>
      </c>
      <c r="G14" s="144"/>
      <c r="H14" s="144">
        <f t="shared" si="7"/>
        <v>0.0</v>
      </c>
      <c r="I14" s="144">
        <f t="shared" si="8"/>
        <v>0.0</v>
      </c>
      <c r="J14" s="143" t="str">
        <f t="shared" si="9"/>
        <v/>
      </c>
      <c r="K14" s="145">
        <f t="shared" si="15"/>
        <v>0.0</v>
      </c>
      <c r="L14" s="145">
        <f t="shared" si="10"/>
        <v>0.0</v>
      </c>
      <c r="M14" s="146">
        <f t="shared" si="0"/>
        <v>119886.0</v>
      </c>
      <c r="N14" s="143">
        <f t="shared" si="1"/>
        <v>4800.0</v>
      </c>
      <c r="O14" s="145">
        <f t="shared" si="11"/>
        <v>0.0</v>
      </c>
      <c r="P14" s="143">
        <f>'MASTER DATA SHEET'!$C$10</f>
        <v>7000.0</v>
      </c>
      <c r="Q14" s="145">
        <f t="shared" si="5"/>
        <v>0.0</v>
      </c>
      <c r="R14" s="145"/>
      <c r="S14" s="143">
        <f t="shared" si="2"/>
        <v>875.0</v>
      </c>
      <c r="T14" s="145">
        <f t="shared" si="12"/>
        <v>0.0</v>
      </c>
      <c r="U14" s="143">
        <v>0.0</v>
      </c>
      <c r="V14" s="145">
        <f t="shared" si="13"/>
        <v>7000.0</v>
      </c>
      <c r="W14" s="143"/>
      <c r="X14" s="145"/>
      <c r="Y14" s="145"/>
      <c r="Z14" s="148">
        <f t="shared" si="3"/>
        <v>19675.0</v>
      </c>
      <c r="AA14" s="146">
        <f t="shared" si="4"/>
        <v>100211.0</v>
      </c>
      <c r="AB14" s="149"/>
      <c r="AC14" s="150"/>
      <c r="AD14" s="157"/>
      <c r="AI14" s="152">
        <v>45536.0</v>
      </c>
      <c r="AJ14" s="156">
        <f t="shared" si="14"/>
        <v>75400.0</v>
      </c>
      <c r="AK14" s="154">
        <v>0.5</v>
      </c>
      <c r="AL14" s="155">
        <f t="shared" si="6"/>
        <v>37700.0</v>
      </c>
      <c r="AM14" s="139">
        <f>ROUND(AJ14/2*3%,0)</f>
        <v>1131.0</v>
      </c>
      <c r="AO14" s="140"/>
    </row>
    <row r="15" spans="8:8" s="139" ht="22.5" customFormat="1" customHeight="1">
      <c r="A15" s="140"/>
      <c r="B15" s="139">
        <v>10.0</v>
      </c>
      <c r="C15" s="141">
        <v>45566.0</v>
      </c>
      <c r="D15" s="142">
        <f t="shared" si="16"/>
        <v>75400.0</v>
      </c>
      <c r="E15" s="143">
        <f>IF('MASTER DATA SHEET'!$C$16="YES",0,ROUND(50%*D15,0))</f>
        <v>37700.0</v>
      </c>
      <c r="F15" s="143">
        <f>IF('MASTER DATA SHEET'!$E$11="NA",0,IF('MASTER DATA SHEET'!$E$11=10%,ROUND(0.09*D15,0),ROUND(0.18*D15,0)))</f>
        <v>6786.0</v>
      </c>
      <c r="G15" s="144"/>
      <c r="H15" s="144">
        <f t="shared" si="7"/>
        <v>0.0</v>
      </c>
      <c r="I15" s="144">
        <f t="shared" si="8"/>
        <v>0.0</v>
      </c>
      <c r="J15" s="143" t="str">
        <f t="shared" si="9"/>
        <v/>
      </c>
      <c r="K15" s="145">
        <f t="shared" si="15"/>
        <v>0.0</v>
      </c>
      <c r="L15" s="145">
        <f t="shared" si="10"/>
        <v>0.0</v>
      </c>
      <c r="M15" s="146">
        <f t="shared" si="0"/>
        <v>119886.0</v>
      </c>
      <c r="N15" s="143">
        <f t="shared" si="1"/>
        <v>4800.0</v>
      </c>
      <c r="O15" s="145">
        <f t="shared" si="11"/>
        <v>0.0</v>
      </c>
      <c r="P15" s="143">
        <f>'MASTER DATA SHEET'!$C$10</f>
        <v>7000.0</v>
      </c>
      <c r="Q15" s="145">
        <f t="shared" si="5"/>
        <v>0.0</v>
      </c>
      <c r="R15" s="145"/>
      <c r="S15" s="143">
        <f t="shared" si="2"/>
        <v>875.0</v>
      </c>
      <c r="T15" s="145">
        <f t="shared" si="12"/>
        <v>0.0</v>
      </c>
      <c r="U15" s="143">
        <v>0.0</v>
      </c>
      <c r="V15" s="145">
        <f t="shared" si="13"/>
        <v>7000.0</v>
      </c>
      <c r="W15" s="143"/>
      <c r="X15" s="145"/>
      <c r="Y15" s="145"/>
      <c r="Z15" s="148">
        <f t="shared" si="3"/>
        <v>19675.0</v>
      </c>
      <c r="AA15" s="146">
        <f t="shared" si="4"/>
        <v>100211.0</v>
      </c>
      <c r="AB15" s="149"/>
      <c r="AC15" s="150"/>
      <c r="AD15" s="157"/>
      <c r="AI15" s="152">
        <v>45566.0</v>
      </c>
      <c r="AJ15" s="156">
        <f t="shared" si="14"/>
        <v>75400.0</v>
      </c>
      <c r="AK15" s="154">
        <v>0.5</v>
      </c>
      <c r="AL15" s="155">
        <f t="shared" si="6"/>
        <v>37700.0</v>
      </c>
      <c r="AM15" s="139">
        <f>ROUND(AJ15/2*3%,0)</f>
        <v>1131.0</v>
      </c>
      <c r="AO15" s="140"/>
    </row>
    <row r="16" spans="8:8" s="139" ht="22.5" customFormat="1" customHeight="1">
      <c r="A16" s="140"/>
      <c r="B16" s="139">
        <v>11.0</v>
      </c>
      <c r="C16" s="141">
        <v>45597.0</v>
      </c>
      <c r="D16" s="142">
        <f t="shared" si="16"/>
        <v>75400.0</v>
      </c>
      <c r="E16" s="143">
        <f>IF('MASTER DATA SHEET'!$C$16="YES",0,ROUND(53%*D16,0))</f>
        <v>39962.0</v>
      </c>
      <c r="F16" s="143">
        <f>IF('MASTER DATA SHEET'!$E$11="NA",0,IF('MASTER DATA SHEET'!$E$11=10%,ROUND(0.1*D16,0),ROUND(0.2*D16,0)))</f>
        <v>7540.0</v>
      </c>
      <c r="G16" s="144"/>
      <c r="H16" s="144">
        <f t="shared" si="7"/>
        <v>0.0</v>
      </c>
      <c r="I16" s="144">
        <f t="shared" si="8"/>
        <v>0.0</v>
      </c>
      <c r="J16" s="143" t="str">
        <f t="shared" si="9"/>
        <v/>
      </c>
      <c r="K16" s="145">
        <f t="shared" si="15"/>
        <v>0.0</v>
      </c>
      <c r="L16" s="145">
        <f t="shared" si="10"/>
        <v>0.0</v>
      </c>
      <c r="M16" s="146">
        <f t="shared" si="0"/>
        <v>122902.0</v>
      </c>
      <c r="N16" s="143">
        <f t="shared" si="1"/>
        <v>4800.0</v>
      </c>
      <c r="O16" s="145">
        <f t="shared" si="11"/>
        <v>0.0</v>
      </c>
      <c r="P16" s="143">
        <f>'MASTER DATA SHEET'!$C$10</f>
        <v>7000.0</v>
      </c>
      <c r="Q16" s="145">
        <f t="shared" si="5"/>
        <v>0.0</v>
      </c>
      <c r="R16" s="145"/>
      <c r="S16" s="143">
        <f t="shared" si="2"/>
        <v>875.0</v>
      </c>
      <c r="T16" s="145">
        <f t="shared" si="12"/>
        <v>0.0</v>
      </c>
      <c r="U16" s="143">
        <v>0.0</v>
      </c>
      <c r="V16" s="145">
        <f t="shared" si="13"/>
        <v>7000.0</v>
      </c>
      <c r="W16" s="143"/>
      <c r="X16" s="145"/>
      <c r="Y16" s="145"/>
      <c r="Z16" s="148">
        <f t="shared" si="3"/>
        <v>19675.0</v>
      </c>
      <c r="AA16" s="146">
        <f t="shared" si="4"/>
        <v>103227.0</v>
      </c>
      <c r="AB16" s="149"/>
      <c r="AC16" s="150"/>
      <c r="AI16" s="152">
        <v>45597.0</v>
      </c>
      <c r="AJ16" s="156">
        <f t="shared" si="14"/>
        <v>75400.0</v>
      </c>
      <c r="AK16" s="154">
        <v>0.53</v>
      </c>
      <c r="AL16" s="155">
        <f t="shared" si="6"/>
        <v>39962.0</v>
      </c>
      <c r="AO16" s="140"/>
    </row>
    <row r="17" spans="8:8" s="139" ht="22.5" customFormat="1" customHeight="1">
      <c r="A17" s="140"/>
      <c r="B17" s="139">
        <v>12.0</v>
      </c>
      <c r="C17" s="141">
        <v>45627.0</v>
      </c>
      <c r="D17" s="142">
        <f t="shared" si="16"/>
        <v>75400.0</v>
      </c>
      <c r="E17" s="143">
        <f>IF('MASTER DATA SHEET'!$C$16="YES",0,ROUND(53%*D17,0))</f>
        <v>39962.0</v>
      </c>
      <c r="F17" s="143">
        <f>IF('MASTER DATA SHEET'!$E$11="NA",0,IF('MASTER DATA SHEET'!$E$11=10%,ROUND(0.1*D17,0),ROUND(0.2*D17,0)))</f>
        <v>7540.0</v>
      </c>
      <c r="G17" s="144"/>
      <c r="H17" s="144">
        <f t="shared" si="7"/>
        <v>0.0</v>
      </c>
      <c r="I17" s="144">
        <f t="shared" si="8"/>
        <v>0.0</v>
      </c>
      <c r="J17" s="143" t="str">
        <f t="shared" si="9"/>
        <v/>
      </c>
      <c r="K17" s="145">
        <f t="shared" si="15"/>
        <v>0.0</v>
      </c>
      <c r="L17" s="145">
        <f t="shared" si="10"/>
        <v>0.0</v>
      </c>
      <c r="M17" s="146">
        <f t="shared" si="0"/>
        <v>122902.0</v>
      </c>
      <c r="N17" s="143">
        <f t="shared" si="1"/>
        <v>4800.0</v>
      </c>
      <c r="O17" s="145">
        <f t="shared" si="11"/>
        <v>0.0</v>
      </c>
      <c r="P17" s="143">
        <f>'MASTER DATA SHEET'!$C$10</f>
        <v>7000.0</v>
      </c>
      <c r="Q17" s="145">
        <f t="shared" si="5"/>
        <v>0.0</v>
      </c>
      <c r="R17" s="145"/>
      <c r="S17" s="143">
        <f t="shared" si="2"/>
        <v>875.0</v>
      </c>
      <c r="T17" s="145">
        <f t="shared" si="12"/>
        <v>0.0</v>
      </c>
      <c r="U17" s="143">
        <v>0.0</v>
      </c>
      <c r="V17" s="145">
        <f t="shared" si="13"/>
        <v>7000.0</v>
      </c>
      <c r="W17" s="143">
        <f>IF('MASTER DATA SHEET'!E14="NO",0,IF('MASTER DATA SHEET'!E6="STATE SERVICE",500,250))</f>
        <v>250.0</v>
      </c>
      <c r="X17" s="145"/>
      <c r="Y17" s="145"/>
      <c r="Z17" s="148">
        <f t="shared" si="3"/>
        <v>19925.0</v>
      </c>
      <c r="AA17" s="146">
        <f t="shared" si="4"/>
        <v>102977.0</v>
      </c>
      <c r="AB17" s="149"/>
      <c r="AC17" s="150"/>
      <c r="AI17" s="152">
        <v>45627.0</v>
      </c>
      <c r="AJ17" s="156">
        <f t="shared" si="14"/>
        <v>75400.0</v>
      </c>
      <c r="AK17" s="154">
        <v>0.53</v>
      </c>
      <c r="AL17" s="155">
        <f t="shared" si="6"/>
        <v>39962.0</v>
      </c>
      <c r="AO17" s="140"/>
    </row>
    <row r="18" spans="8:8" s="139" ht="22.5" customFormat="1" customHeight="1">
      <c r="A18" s="140"/>
      <c r="B18" s="139">
        <v>1.0</v>
      </c>
      <c r="C18" s="141">
        <v>45658.0</v>
      </c>
      <c r="D18" s="142">
        <f t="shared" si="16"/>
        <v>75400.0</v>
      </c>
      <c r="E18" s="143">
        <f>IF('MASTER DATA SHEET'!$C$16="YES",0,ROUND(53%*D18,0))</f>
        <v>39962.0</v>
      </c>
      <c r="F18" s="143">
        <f>IF('MASTER DATA SHEET'!$E$11="NA",0,IF('MASTER DATA SHEET'!$E$11=10%,ROUND(0.1*D18,0),ROUND(0.2*D18,0)))</f>
        <v>7540.0</v>
      </c>
      <c r="G18" s="144"/>
      <c r="H18" s="144">
        <f t="shared" si="7"/>
        <v>0.0</v>
      </c>
      <c r="I18" s="144">
        <f t="shared" si="8"/>
        <v>0.0</v>
      </c>
      <c r="J18" s="143" t="str">
        <f t="shared" si="9"/>
        <v/>
      </c>
      <c r="K18" s="145">
        <f t="shared" si="15"/>
        <v>0.0</v>
      </c>
      <c r="L18" s="145">
        <f t="shared" si="10"/>
        <v>0.0</v>
      </c>
      <c r="M18" s="146">
        <f t="shared" si="0"/>
        <v>122902.0</v>
      </c>
      <c r="N18" s="143">
        <f t="shared" si="1"/>
        <v>4800.0</v>
      </c>
      <c r="O18" s="145">
        <f t="shared" si="11"/>
        <v>0.0</v>
      </c>
      <c r="P18" s="143">
        <f>'MASTER DATA SHEET'!$C$10</f>
        <v>7000.0</v>
      </c>
      <c r="Q18" s="145">
        <f t="shared" si="5"/>
        <v>0.0</v>
      </c>
      <c r="R18" s="145"/>
      <c r="S18" s="143">
        <f t="shared" si="2"/>
        <v>875.0</v>
      </c>
      <c r="T18" s="145">
        <f t="shared" si="12"/>
        <v>0.0</v>
      </c>
      <c r="U18" s="143"/>
      <c r="V18" s="145">
        <f t="shared" si="13"/>
        <v>7000.0</v>
      </c>
      <c r="W18" s="143"/>
      <c r="X18" s="145"/>
      <c r="Y18" s="145"/>
      <c r="Z18" s="148">
        <f t="shared" si="3"/>
        <v>19675.0</v>
      </c>
      <c r="AA18" s="146">
        <f t="shared" si="4"/>
        <v>103227.0</v>
      </c>
      <c r="AB18" s="149"/>
      <c r="AC18" s="150"/>
      <c r="AI18" s="152">
        <v>45658.0</v>
      </c>
      <c r="AJ18" s="156">
        <f t="shared" si="14"/>
        <v>75400.0</v>
      </c>
      <c r="AK18" s="154">
        <v>0.53</v>
      </c>
      <c r="AL18" s="155">
        <f t="shared" si="6"/>
        <v>39962.0</v>
      </c>
      <c r="AO18" s="140"/>
    </row>
    <row r="19" spans="8:8" s="139" ht="22.5" customFormat="1" customHeight="1">
      <c r="A19" s="140"/>
      <c r="B19" s="139">
        <v>2.0</v>
      </c>
      <c r="C19" s="141">
        <v>45689.0</v>
      </c>
      <c r="D19" s="142">
        <f t="shared" si="16"/>
        <v>75400.0</v>
      </c>
      <c r="E19" s="143">
        <f>IF('MASTER DATA SHEET'!$C$16="YES",0,ROUND(53%*D19,0))</f>
        <v>39962.0</v>
      </c>
      <c r="F19" s="143">
        <f>IF('MASTER DATA SHEET'!$E$11="NA",0,IF('MASTER DATA SHEET'!$E$11=10%,ROUND(0.1*D19,0),ROUND(0.2*D19,0)))</f>
        <v>7540.0</v>
      </c>
      <c r="G19" s="144"/>
      <c r="H19" s="144">
        <f t="shared" si="7"/>
        <v>0.0</v>
      </c>
      <c r="I19" s="144">
        <f t="shared" si="8"/>
        <v>0.0</v>
      </c>
      <c r="J19" s="143" t="str">
        <f t="shared" si="9"/>
        <v/>
      </c>
      <c r="K19" s="145">
        <f t="shared" si="15"/>
        <v>0.0</v>
      </c>
      <c r="L19" s="145">
        <f t="shared" si="10"/>
        <v>0.0</v>
      </c>
      <c r="M19" s="146">
        <f t="shared" si="0"/>
        <v>122902.0</v>
      </c>
      <c r="N19" s="143">
        <f t="shared" si="1"/>
        <v>4800.0</v>
      </c>
      <c r="O19" s="145">
        <f t="shared" si="11"/>
        <v>0.0</v>
      </c>
      <c r="P19" s="143">
        <f>'MASTER DATA SHEET'!$C$10</f>
        <v>7000.0</v>
      </c>
      <c r="Q19" s="145">
        <f t="shared" si="5"/>
        <v>0.0</v>
      </c>
      <c r="R19" s="145"/>
      <c r="S19" s="143">
        <f t="shared" si="2"/>
        <v>875.0</v>
      </c>
      <c r="T19" s="145">
        <f t="shared" si="12"/>
        <v>0.0</v>
      </c>
      <c r="U19" s="143">
        <v>0.0</v>
      </c>
      <c r="V19" s="145">
        <f t="shared" si="13"/>
        <v>7000.0</v>
      </c>
      <c r="W19" s="143"/>
      <c r="X19" s="145"/>
      <c r="Y19" s="145"/>
      <c r="Z19" s="148">
        <f t="shared" si="3"/>
        <v>19675.0</v>
      </c>
      <c r="AA19" s="146">
        <f t="shared" si="4"/>
        <v>103227.0</v>
      </c>
      <c r="AB19" s="149"/>
      <c r="AC19" s="150"/>
      <c r="AI19" s="152">
        <v>45689.0</v>
      </c>
      <c r="AJ19" s="156">
        <f t="shared" si="14"/>
        <v>75400.0</v>
      </c>
      <c r="AK19" s="154">
        <v>0.53</v>
      </c>
      <c r="AL19" s="155">
        <f t="shared" si="6"/>
        <v>39962.0</v>
      </c>
      <c r="AO19" s="140"/>
    </row>
    <row r="20" spans="8:8" s="139" ht="39.75" customFormat="1" customHeight="1">
      <c r="A20" s="140"/>
      <c r="C20" s="158" t="s">
        <v>202</v>
      </c>
      <c r="D20" s="142"/>
      <c r="E20" s="143">
        <f>IF('MASTER DATA SHEET'!$E$18="YES",ROUND('MASTER DATA SHEET'!$C$11*0.04*2,0),0)</f>
        <v>5856.0</v>
      </c>
      <c r="F20" s="143"/>
      <c r="G20" s="144"/>
      <c r="H20" s="144"/>
      <c r="I20" s="143"/>
      <c r="J20" s="143"/>
      <c r="K20" s="145"/>
      <c r="L20" s="145"/>
      <c r="M20" s="146">
        <f t="shared" si="0"/>
        <v>5856.0</v>
      </c>
      <c r="N20" s="143">
        <f>E20</f>
        <v>5856.0</v>
      </c>
      <c r="O20" s="145"/>
      <c r="P20" s="143"/>
      <c r="Q20" s="145"/>
      <c r="R20" s="145"/>
      <c r="S20" s="143"/>
      <c r="T20" s="145"/>
      <c r="U20" s="143"/>
      <c r="V20" s="145"/>
      <c r="W20" s="143"/>
      <c r="X20" s="145"/>
      <c r="Y20" s="145"/>
      <c r="Z20" s="148">
        <f t="shared" si="3"/>
        <v>5856.0</v>
      </c>
      <c r="AA20" s="146">
        <f t="shared" si="4"/>
        <v>0.0</v>
      </c>
      <c r="AB20" s="149"/>
      <c r="AC20" s="150"/>
      <c r="AO20" s="140"/>
    </row>
    <row r="21" spans="8:8" s="139" ht="39.75" customFormat="1" customHeight="1">
      <c r="A21" s="140"/>
      <c r="C21" s="158" t="s">
        <v>203</v>
      </c>
      <c r="D21" s="159"/>
      <c r="E21" s="143">
        <f>IF(AND('MASTER DATA SHEET'!C19&gt;'MASTER DATA SHEET'!C18,'MASTER DATA SHEET'!E19="yes"),ROUND(D12*0.03*4,0),0)</f>
        <v>9048.0</v>
      </c>
      <c r="F21" s="143"/>
      <c r="G21" s="144"/>
      <c r="H21" s="144"/>
      <c r="I21" s="143"/>
      <c r="J21" s="143"/>
      <c r="K21" s="145"/>
      <c r="L21" s="145"/>
      <c r="M21" s="146">
        <f t="shared" si="0"/>
        <v>9048.0</v>
      </c>
      <c r="N21" s="143">
        <f>E21</f>
        <v>9048.0</v>
      </c>
      <c r="O21" s="145"/>
      <c r="P21" s="143"/>
      <c r="Q21" s="145"/>
      <c r="R21" s="145"/>
      <c r="S21" s="143"/>
      <c r="T21" s="145"/>
      <c r="U21" s="143"/>
      <c r="V21" s="145"/>
      <c r="W21" s="143"/>
      <c r="X21" s="145"/>
      <c r="Y21" s="145"/>
      <c r="Z21" s="148">
        <f t="shared" si="3"/>
        <v>9048.0</v>
      </c>
      <c r="AA21" s="146">
        <f t="shared" si="4"/>
        <v>0.0</v>
      </c>
      <c r="AB21" s="149"/>
      <c r="AC21" s="150"/>
      <c r="AE21" s="160">
        <f>ROUND(D12*3%,0)</f>
        <v>2262.0</v>
      </c>
      <c r="AF21" s="160">
        <f>ROUND(AE21*10%,0)</f>
        <v>226.0</v>
      </c>
      <c r="AG21" s="160">
        <f>AE21-AF21</f>
        <v>2036.0</v>
      </c>
      <c r="AO21" s="140"/>
    </row>
    <row r="22" spans="8:8" s="139" ht="30.0" customFormat="1" customHeight="1">
      <c r="A22" s="140"/>
      <c r="C22" s="158" t="s">
        <v>213</v>
      </c>
      <c r="D22" s="142"/>
      <c r="E22" s="143"/>
      <c r="F22" s="143"/>
      <c r="G22" s="143">
        <f>(IF('MASTER DATA SHEET'!$E$13=1,ROUND((6774/12)*1,0),IF('MASTER DATA SHEET'!$E$13=2,ROUND((6774/12)*2,0),IF('MASTER DATA SHEET'!$E$13=3,ROUND((6774/12)*3,0),IF('MASTER DATA SHEET'!$E$13=4,ROUND((6774/12)*4,0),IF('MASTER DATA SHEET'!$E$13=5,ROUND((6774/12)*5,0),IF('MASTER DATA SHEET'!$E$13=6,ROUND((6774/12)*6,0),IF('MASTER DATA SHEET'!$E$13=7,ROUND((6774/12)*7,0),IF('MASTER DATA SHEET'!$E$13=8,ROUND((6774/12)*8,0),IF('MASTER DATA SHEET'!$E$13=9,ROUND((6774/12)*9,0),IF('MASTER DATA SHEET'!$E$13=10,ROUND((6774/12)*10,0),IF('MASTER DATA SHEET'!$E$13=11,ROUND((6774/12)*11,0),IF('MASTER DATA SHEET'!$E$13=12,ROUND((6774/12)*12,0),0)))))))))))))</f>
        <v>2823.0</v>
      </c>
      <c r="H22" s="161"/>
      <c r="I22" s="143"/>
      <c r="J22" s="143"/>
      <c r="K22" s="145"/>
      <c r="L22" s="145"/>
      <c r="M22" s="146">
        <f t="shared" si="0"/>
        <v>2823.0</v>
      </c>
      <c r="N22" s="143" t="str">
        <f>IF(D22="","",ROUND((G22*25%),0))</f>
        <v/>
      </c>
      <c r="O22" s="145"/>
      <c r="P22" s="143"/>
      <c r="Q22" s="145"/>
      <c r="R22" s="145"/>
      <c r="S22" s="143"/>
      <c r="T22" s="145"/>
      <c r="U22" s="143"/>
      <c r="V22" s="145"/>
      <c r="W22" s="143"/>
      <c r="X22" s="145"/>
      <c r="Y22" s="145"/>
      <c r="Z22" s="148">
        <f t="shared" si="3"/>
        <v>0.0</v>
      </c>
      <c r="AA22" s="146">
        <f t="shared" si="4"/>
        <v>2823.0</v>
      </c>
      <c r="AB22" s="149"/>
      <c r="AC22" s="150"/>
      <c r="AE22" s="160">
        <f>ROUND(D13*3%,0)</f>
        <v>2262.0</v>
      </c>
      <c r="AF22" s="160">
        <f>ROUND(AE22*10%,0)</f>
        <v>226.0</v>
      </c>
      <c r="AG22" s="160">
        <f>AE22-AF22</f>
        <v>2036.0</v>
      </c>
      <c r="AO22" s="140"/>
    </row>
    <row r="23" spans="8:8" s="139" ht="30.0" customFormat="1" customHeight="1">
      <c r="A23" s="140"/>
      <c r="C23" s="158" t="s">
        <v>204</v>
      </c>
      <c r="D23" s="142">
        <f>IF('MASTER DATA SHEET'!C12="YES",IF('MASTER DATA SHEET'!E12="","",VLOOKUP('MASTER DATA SHEET'!E12,$AI$8:$AM$19,2,0)/2),0)</f>
        <v>37700.0</v>
      </c>
      <c r="E23" s="143">
        <f>IF('MASTER DATA SHEET'!E12="","",D23*VLOOKUP('MASTER DATA SHEET'!E12,$AI$8:$AM$19,3,0))</f>
        <v>18850.0</v>
      </c>
      <c r="F23" s="161"/>
      <c r="G23" s="161"/>
      <c r="H23" s="161"/>
      <c r="I23" s="143"/>
      <c r="J23" s="143"/>
      <c r="K23" s="145"/>
      <c r="L23" s="145"/>
      <c r="M23" s="146">
        <f t="shared" si="0"/>
        <v>56550.0</v>
      </c>
      <c r="N23" s="161"/>
      <c r="O23" s="145"/>
      <c r="P23" s="143"/>
      <c r="Q23" s="145"/>
      <c r="R23" s="145"/>
      <c r="S23" s="143"/>
      <c r="T23" s="145"/>
      <c r="U23" s="143"/>
      <c r="V23" s="145">
        <v>15000.0</v>
      </c>
      <c r="W23" s="143"/>
      <c r="X23" s="145"/>
      <c r="Y23" s="145"/>
      <c r="Z23" s="148">
        <f t="shared" si="3"/>
        <v>15000.0</v>
      </c>
      <c r="AA23" s="146">
        <f t="shared" si="4"/>
        <v>41550.0</v>
      </c>
      <c r="AB23" s="149"/>
      <c r="AC23" s="150"/>
      <c r="AE23" s="160">
        <f>ROUND(D14*3%,0)</f>
        <v>2262.0</v>
      </c>
      <c r="AF23" s="160">
        <f>ROUND(AE23*10%,0)</f>
        <v>226.0</v>
      </c>
      <c r="AG23" s="160">
        <f>AE23-AF23</f>
        <v>2036.0</v>
      </c>
      <c r="AO23" s="140"/>
    </row>
    <row r="24" spans="8:8" s="139" ht="30.0" customFormat="1" customHeight="1">
      <c r="A24" s="140"/>
      <c r="C24" s="158" t="s">
        <v>215</v>
      </c>
      <c r="D24" s="142"/>
      <c r="E24" s="155"/>
      <c r="F24" s="143"/>
      <c r="G24" s="161"/>
      <c r="H24" s="161"/>
      <c r="I24" s="143"/>
      <c r="J24" s="143"/>
      <c r="K24" s="145"/>
      <c r="L24" s="145"/>
      <c r="M24" s="146">
        <f t="shared" si="0"/>
        <v>0.0</v>
      </c>
      <c r="N24" s="143"/>
      <c r="O24" s="145"/>
      <c r="P24" s="143"/>
      <c r="Q24" s="145"/>
      <c r="R24" s="145"/>
      <c r="S24" s="143"/>
      <c r="T24" s="145"/>
      <c r="U24" s="143"/>
      <c r="V24" s="145"/>
      <c r="W24" s="143"/>
      <c r="X24" s="145"/>
      <c r="Y24" s="145"/>
      <c r="Z24" s="148">
        <f t="shared" si="3"/>
        <v>0.0</v>
      </c>
      <c r="AA24" s="146">
        <f t="shared" si="4"/>
        <v>0.0</v>
      </c>
      <c r="AB24" s="149"/>
      <c r="AC24" s="150"/>
      <c r="AE24" s="160">
        <f>ROUND(D15*3%,0)</f>
        <v>2262.0</v>
      </c>
      <c r="AF24" s="160">
        <f>ROUND(AE24*10%,0)</f>
        <v>226.0</v>
      </c>
      <c r="AG24" s="160">
        <f>AE24-AF24</f>
        <v>2036.0</v>
      </c>
      <c r="AO24" s="140"/>
    </row>
    <row r="25" spans="8:8" s="139" ht="30.0" customFormat="1" customHeight="1">
      <c r="A25" s="140"/>
      <c r="C25" s="158" t="s">
        <v>216</v>
      </c>
      <c r="D25" s="142"/>
      <c r="E25" s="143"/>
      <c r="F25" s="143"/>
      <c r="G25" s="161"/>
      <c r="H25" s="161"/>
      <c r="I25" s="143"/>
      <c r="J25" s="143"/>
      <c r="K25" s="145"/>
      <c r="L25" s="145"/>
      <c r="M25" s="146">
        <f t="shared" si="0"/>
        <v>0.0</v>
      </c>
      <c r="N25" s="143"/>
      <c r="O25" s="145"/>
      <c r="P25" s="143"/>
      <c r="Q25" s="145"/>
      <c r="R25" s="145"/>
      <c r="S25" s="143"/>
      <c r="T25" s="145"/>
      <c r="U25" s="143"/>
      <c r="V25" s="145"/>
      <c r="W25" s="143"/>
      <c r="X25" s="145"/>
      <c r="Y25" s="145"/>
      <c r="Z25" s="148">
        <f t="shared" si="3"/>
        <v>0.0</v>
      </c>
      <c r="AA25" s="146">
        <f t="shared" si="4"/>
        <v>0.0</v>
      </c>
      <c r="AB25" s="149"/>
      <c r="AC25" s="150"/>
      <c r="AE25" s="160">
        <f>SUM(AE21:AE24)</f>
        <v>9048.0</v>
      </c>
      <c r="AF25" s="160">
        <f>SUM(AF21:AF24)</f>
        <v>904.0</v>
      </c>
      <c r="AG25" s="160">
        <f>SUM(AG21:AG24)</f>
        <v>8144.0</v>
      </c>
      <c r="AO25" s="140"/>
    </row>
    <row r="26" spans="8:8" s="139" ht="30.0" customFormat="1" customHeight="1">
      <c r="A26" s="140"/>
      <c r="C26" s="158" t="s">
        <v>217</v>
      </c>
      <c r="D26" s="142"/>
      <c r="E26" s="143"/>
      <c r="F26" s="143"/>
      <c r="G26" s="161"/>
      <c r="H26" s="161"/>
      <c r="I26" s="143"/>
      <c r="J26" s="143"/>
      <c r="K26" s="145"/>
      <c r="L26" s="145"/>
      <c r="M26" s="146">
        <f t="shared" si="0"/>
        <v>0.0</v>
      </c>
      <c r="N26" s="143"/>
      <c r="O26" s="145"/>
      <c r="P26" s="143"/>
      <c r="Q26" s="145"/>
      <c r="R26" s="145"/>
      <c r="S26" s="143"/>
      <c r="T26" s="145"/>
      <c r="U26" s="143"/>
      <c r="V26" s="145"/>
      <c r="W26" s="143"/>
      <c r="X26" s="145"/>
      <c r="Y26" s="145"/>
      <c r="Z26" s="148">
        <f t="shared" si="3"/>
        <v>0.0</v>
      </c>
      <c r="AA26" s="146">
        <f t="shared" si="4"/>
        <v>0.0</v>
      </c>
      <c r="AB26" s="149"/>
      <c r="AC26" s="150"/>
      <c r="AE26" s="160">
        <f>IF('MASTER DATA SHEET'!C12="YES",IF(AND('MASTER DATA SHEET'!E12&gt;6,'MASTER DATA SHEET'!E12&lt;10),ROUND(D23*3%,0),0))</f>
        <v>0.0</v>
      </c>
      <c r="AO26" s="140"/>
    </row>
    <row r="27" spans="8:8" s="139" ht="30.0" customFormat="1" customHeight="1">
      <c r="A27" s="140"/>
      <c r="C27" s="158" t="s">
        <v>214</v>
      </c>
      <c r="D27" s="142"/>
      <c r="E27" s="143">
        <f>IF('MASTER DATA SHEET'!C12="NO",0,IF('MASTER DATA SHEET'!E12=$AI$8,$AM$8,IF('MASTER DATA SHEET'!E12=AI9,AM9,IF('MASTER DATA SHEET'!E12=$AI$12,$AM$12,IF('MASTER DATA SHEET'!E12=$AI$13,$AM$13,IF('MASTER DATA SHEET'!E12=$AI$14,$AM$14,IF('MASTER DATA SHEET'!E12=$AI$15,AM$15,"")))))))</f>
        <v>1131.0</v>
      </c>
      <c r="F27" s="143"/>
      <c r="G27" s="161"/>
      <c r="H27" s="161"/>
      <c r="I27" s="143"/>
      <c r="J27" s="143"/>
      <c r="K27" s="145"/>
      <c r="L27" s="145"/>
      <c r="M27" s="146">
        <f t="shared" si="0"/>
        <v>1131.0</v>
      </c>
      <c r="N27" s="143"/>
      <c r="O27" s="145"/>
      <c r="P27" s="143"/>
      <c r="Q27" s="145"/>
      <c r="R27" s="145"/>
      <c r="S27" s="143"/>
      <c r="T27" s="145"/>
      <c r="U27" s="143"/>
      <c r="V27" s="145"/>
      <c r="W27" s="143"/>
      <c r="X27" s="145"/>
      <c r="Y27" s="145"/>
      <c r="Z27" s="148">
        <f t="shared" si="3"/>
        <v>0.0</v>
      </c>
      <c r="AA27" s="146">
        <f t="shared" si="4"/>
        <v>1131.0</v>
      </c>
      <c r="AB27" s="149"/>
      <c r="AC27" s="150"/>
      <c r="AO27" s="140"/>
    </row>
    <row r="28" spans="8:8" s="162" ht="81.0" customFormat="1" customHeight="1">
      <c r="A28" s="163"/>
      <c r="C28" s="164" t="s">
        <v>34</v>
      </c>
      <c r="D28" s="165">
        <f>SUM(D8:D27)</f>
        <v>933700.0</v>
      </c>
      <c r="E28" s="165">
        <f>SUM(E8:E27)</f>
        <v>491933.0</v>
      </c>
      <c r="F28" s="165">
        <f t="shared" si="17" ref="F28:M28">SUM(F8:F27)</f>
        <v>83656.0</v>
      </c>
      <c r="G28" s="165">
        <f t="shared" si="17"/>
        <v>2823.0</v>
      </c>
      <c r="H28" s="165">
        <f t="shared" si="17"/>
        <v>0.0</v>
      </c>
      <c r="I28" s="165">
        <f t="shared" si="17"/>
        <v>0.0</v>
      </c>
      <c r="J28" s="165">
        <f t="shared" si="17"/>
        <v>0.0</v>
      </c>
      <c r="K28" s="165">
        <f t="shared" si="17"/>
        <v>0.0</v>
      </c>
      <c r="L28" s="166">
        <f t="shared" si="17"/>
        <v>0.0</v>
      </c>
      <c r="M28" s="167">
        <f t="shared" si="17"/>
        <v>1512112.0</v>
      </c>
      <c r="N28" s="166">
        <f t="shared" si="18" ref="N28:S28">SUM(N8:N27)</f>
        <v>72504.0</v>
      </c>
      <c r="O28" s="166">
        <f t="shared" si="18"/>
        <v>0.0</v>
      </c>
      <c r="P28" s="166">
        <f t="shared" si="18"/>
        <v>84000.0</v>
      </c>
      <c r="Q28" s="166">
        <f t="shared" si="18"/>
        <v>0.0</v>
      </c>
      <c r="R28" s="166">
        <f t="shared" si="18"/>
        <v>0.0</v>
      </c>
      <c r="S28" s="166">
        <f t="shared" si="18"/>
        <v>10500.0</v>
      </c>
      <c r="T28" s="166">
        <f t="shared" si="19" ref="T28:AA28">SUM(T8:T27)</f>
        <v>0.0</v>
      </c>
      <c r="U28" s="166">
        <f t="shared" si="19"/>
        <v>700.0</v>
      </c>
      <c r="V28" s="166">
        <f t="shared" si="19"/>
        <v>99000.0</v>
      </c>
      <c r="W28" s="166">
        <f t="shared" si="19"/>
        <v>250.0</v>
      </c>
      <c r="X28" s="166">
        <f t="shared" si="19"/>
        <v>0.0</v>
      </c>
      <c r="Y28" s="166">
        <f t="shared" si="19"/>
        <v>0.0</v>
      </c>
      <c r="Z28" s="166">
        <f t="shared" si="19"/>
        <v>266954.0</v>
      </c>
      <c r="AA28" s="166">
        <f t="shared" si="19"/>
        <v>1245158.0</v>
      </c>
      <c r="AB28" s="168"/>
      <c r="AC28" s="169"/>
      <c r="AO28" s="163"/>
    </row>
    <row r="29" spans="8:8" s="170" customFormat="1">
      <c r="A29" s="171"/>
      <c r="AC29" s="172"/>
      <c r="AO29" s="171"/>
    </row>
    <row r="30" spans="8:8" s="170" customFormat="1">
      <c r="A30" s="171"/>
      <c r="AC30" s="172"/>
      <c r="AO30" s="171"/>
    </row>
    <row r="31" spans="8:8" s="170" customFormat="1">
      <c r="A31" s="171"/>
      <c r="AC31" s="172"/>
      <c r="AO31" s="171"/>
    </row>
    <row r="32" spans="8:8">
      <c r="A32" s="101"/>
    </row>
    <row r="33" spans="8:8" s="173" ht="20.25" customFormat="1">
      <c r="A33" s="174"/>
      <c r="F33" s="175" t="s">
        <v>607</v>
      </c>
      <c r="Y33" s="176" t="s">
        <v>608</v>
      </c>
      <c r="AC33" s="177"/>
      <c r="AO33" s="174"/>
    </row>
    <row r="34" spans="8:8" ht="21.75" customHeight="1">
      <c r="A34" s="101"/>
      <c r="D34" s="173"/>
      <c r="E34" s="178" t="str">
        <f>IF('MASTER DATA SHEET'!$C$4="","",CONCATENATE('MASTER DATA SHEET'!$C$4," ","(",'MASTER DATA SHEET'!$C$5,")"))</f>
        <v>BHAGIRATH MAL (L-14)</v>
      </c>
      <c r="F34" s="178"/>
      <c r="G34" s="178"/>
      <c r="H34" s="178"/>
      <c r="I34" s="178"/>
      <c r="J34" s="178"/>
      <c r="K34" s="179"/>
      <c r="L34" s="179"/>
      <c r="M34" s="180"/>
      <c r="N34" s="180"/>
      <c r="O34" s="180"/>
      <c r="P34" s="179"/>
      <c r="Q34" s="179"/>
      <c r="R34" s="179"/>
      <c r="S34" s="179"/>
      <c r="T34" s="179"/>
      <c r="U34" s="181"/>
      <c r="V34" s="181"/>
      <c r="W34" s="182" t="str">
        <f>IF('MASTER DATA SHEET'!E8="","",CONCATENATE('MASTER DATA SHEET'!E8," ","(",'MASTER DATA SHEET'!C8,")"))</f>
        <v>ABCD (1234567)</v>
      </c>
      <c r="X34" s="182"/>
      <c r="Y34" s="182"/>
      <c r="Z34" s="182"/>
      <c r="AA34" s="182"/>
    </row>
    <row r="35" spans="8:8" ht="21.75" hidden="1" customHeight="1">
      <c r="A35" s="101"/>
    </row>
    <row r="36" spans="8:8">
      <c r="A36" s="101"/>
    </row>
  </sheetData>
  <sheetProtection password="cda0" sheet="1" objects="1" scenarios="1" formatCells="0"/>
  <protectedRanges>
    <protectedRange sqref="H8:L19 G24:L27" password="8d00" name="ALLOW"/>
    <protectedRange sqref="N8:X27" password="de50" name="DEDUCTION"/>
  </protectedRanges>
  <mergeCells count="28">
    <mergeCell ref="C2:AB2"/>
    <mergeCell ref="I6:M6"/>
    <mergeCell ref="D6:F6"/>
    <mergeCell ref="M34:O34"/>
    <mergeCell ref="W34:AA34"/>
    <mergeCell ref="E34:J34"/>
    <mergeCell ref="AD8:AD11"/>
    <mergeCell ref="D5:I5"/>
    <mergeCell ref="AD3:AD6"/>
    <mergeCell ref="O6:P6"/>
    <mergeCell ref="AD12:AD15"/>
    <mergeCell ref="C3:W3"/>
    <mergeCell ref="C1:AB1"/>
    <mergeCell ref="Y6:Z6"/>
    <mergeCell ref="J5:K5"/>
    <mergeCell ref="Q6:R6"/>
    <mergeCell ref="U5:V5"/>
    <mergeCell ref="AA5:AB5"/>
    <mergeCell ref="U6:V6"/>
    <mergeCell ref="O5:P5"/>
    <mergeCell ref="Q5:T5"/>
    <mergeCell ref="Y5:Z5"/>
    <mergeCell ref="W5:X5"/>
    <mergeCell ref="L5:N5"/>
    <mergeCell ref="X3:Y3"/>
    <mergeCell ref="AA6:AB6"/>
    <mergeCell ref="G6:H6"/>
    <mergeCell ref="AA3:AB3"/>
  </mergeCells>
  <conditionalFormatting sqref="F8:F19">
    <cfRule type="cellIs" operator="equal" priority="2" stopIfTrue="1" dxfId="0">
      <formula>0</formula>
    </cfRule>
  </conditionalFormatting>
  <conditionalFormatting sqref="X8:X27 M11:M27 Y22 I23:M23 O23:Y23 D8:D20 D22:D27 E25:E27 J8:X8 I20:Y21 I24:Y27 F24:F27 I22:W22 F20:F22 E8:E23 J9:Y19">
    <cfRule type="cellIs" operator="equal" priority="11" stopIfTrue="1" dxfId="1">
      <formula>0</formula>
    </cfRule>
  </conditionalFormatting>
  <conditionalFormatting sqref="G8:L27">
    <cfRule type="cellIs" operator="equal" priority="1" stopIfTrue="1" dxfId="2">
      <formula>0</formula>
    </cfRule>
  </conditionalFormatting>
  <printOptions horizontalCentered="1"/>
  <pageMargins left="0.2755905511811024" right="0.11811023622047245" top="0.2362204724409449" bottom="0.03937007874015748" header="0.0" footer="0.0"/>
  <pageSetup paperSize="9" scale="63" orientation="landscape" blackAndWhite="1"/>
  <headerFooter alignWithMargins="0">
    <oddFooter>&amp;Cनिर्माणकर्ता :-भागीरथ मल अध्यापक L-1 GSSS डसाणा खुर्द मौलासर (डीडवाना-कुचामन)</oddFooter>
  </headerFooter>
  <drawing r:id="rId1"/>
  <legacyDrawing r:id="rId2"/>
</worksheet>
</file>

<file path=xl/worksheets/sheet4.xml><?xml version="1.0" encoding="utf-8"?>
<worksheet xmlns:r="http://schemas.openxmlformats.org/officeDocument/2006/relationships" xmlns="http://schemas.openxmlformats.org/spreadsheetml/2006/main">
  <sheetPr>
    <tabColor rgb="FFFFFF00"/>
  </sheetPr>
  <dimension ref="A1:AD586"/>
  <sheetViews>
    <sheetView workbookViewId="0" topLeftCell="A11" showGridLines="0" showRowColHeaders="0" zoomScale="110">
      <selection activeCell="E21" sqref="E21:F25"/>
    </sheetView>
  </sheetViews>
  <sheetFormatPr defaultRowHeight="15.75" defaultColWidth="0" zeroHeight="1"/>
  <cols>
    <col min="1" max="1" customWidth="1" width="51.85547" style="183"/>
    <col min="2" max="2" customWidth="1" width="12.5703125" style="183"/>
    <col min="3" max="3" customWidth="1" width="11.425781" style="183"/>
    <col min="4" max="4" customWidth="1" width="70.28516" style="183"/>
    <col min="5" max="5" customWidth="1" bestFit="1" width="11.855469" style="183"/>
    <col min="6" max="6" customWidth="1" width="20.425781" style="184"/>
    <col min="7" max="7" customWidth="1" width="8.285156" style="183"/>
    <col min="8" max="8" hidden="1" customWidth="1" width="12.0" style="183"/>
    <col min="9" max="9" hidden="1" customWidth="1" width="8.5703125" style="185"/>
    <col min="10" max="10" hidden="1" customWidth="1" width="12.140625" style="185"/>
    <col min="11" max="11" hidden="1" customWidth="1" width="12.425781" style="185"/>
    <col min="12" max="12" hidden="1" customWidth="1" width="11.5703125" style="185"/>
    <col min="13" max="13" hidden="1" customWidth="1" width="5.7109375" style="183"/>
    <col min="14" max="14" hidden="1" customWidth="1" width="4.8554688" style="185"/>
    <col min="15" max="15" hidden="1" customWidth="1" width="7.8554688" style="185"/>
    <col min="16" max="16" hidden="1" customWidth="1" width="10.0" style="185"/>
    <col min="17" max="17" hidden="1" customWidth="1" width="9.285156" style="185"/>
    <col min="18" max="18" hidden="1" customWidth="1" width="11.7109375" style="185"/>
    <col min="19" max="19" hidden="1" customWidth="1" width="7.140625" style="185"/>
    <col min="20" max="20" hidden="1" customWidth="1" width="6.7109375" style="186"/>
    <col min="21" max="21" hidden="1" customWidth="1" width="14.5703125" style="185"/>
    <col min="22" max="22" hidden="1" customWidth="1" width="7.8554688" style="185"/>
    <col min="23" max="23" hidden="1" customWidth="1" width="2.0" style="185"/>
    <col min="24" max="24" customWidth="1" width="5.7109375" style="185"/>
    <col min="25" max="25" hidden="1" customWidth="1" width="6.0" style="185"/>
    <col min="26" max="26" hidden="1" customWidth="1" width="8.0" style="185"/>
    <col min="27" max="27" hidden="1" customWidth="1" width="7.0" style="185"/>
    <col min="28" max="28" hidden="1" customWidth="1" width="6.5703125" style="185"/>
    <col min="29" max="16384" hidden="1" customWidth="0" width="9.140625" style="183"/>
  </cols>
  <sheetData>
    <row r="1" spans="8:8" ht="30.75" customHeight="1">
      <c r="A1" s="187" t="s">
        <v>54</v>
      </c>
      <c r="B1" s="188"/>
      <c r="C1" s="188"/>
      <c r="D1" s="188"/>
      <c r="E1" s="188"/>
      <c r="F1" s="189"/>
      <c r="G1" s="190"/>
      <c r="I1" s="183"/>
      <c r="J1" s="183"/>
      <c r="K1" s="183"/>
      <c r="L1" s="183"/>
      <c r="M1" s="191"/>
      <c r="N1" s="192"/>
      <c r="O1" s="191"/>
      <c r="P1" s="191"/>
      <c r="Q1" s="191"/>
      <c r="R1" s="191"/>
      <c r="S1" s="191"/>
      <c r="T1" s="193"/>
      <c r="U1" s="194" t="s">
        <v>75</v>
      </c>
      <c r="V1" s="194" t="s">
        <v>76</v>
      </c>
      <c r="W1" s="194" t="s">
        <v>83</v>
      </c>
      <c r="AA1" s="183"/>
      <c r="AB1" s="183"/>
    </row>
    <row r="2" spans="8:8" ht="27.75" customHeight="1">
      <c r="A2" s="195" t="str">
        <f>'GA-55'!D5&amp;"      "&amp;'GA-55'!L5&amp;"                        PAN NO. -  "&amp;'GA-55'!Q5</f>
        <v>BHAGIRATH MAL      TEACHER L-1 पे लेवल L-14                        PAN NO. -  AAAAAXXXXA</v>
      </c>
      <c r="B2" s="196"/>
      <c r="C2" s="197"/>
      <c r="D2" s="197"/>
      <c r="E2" s="197"/>
      <c r="F2" s="198"/>
      <c r="G2" s="190"/>
      <c r="K2" s="199" t="s">
        <v>127</v>
      </c>
      <c r="M2" s="191"/>
      <c r="N2" s="192"/>
      <c r="O2" s="192"/>
      <c r="P2" s="192"/>
      <c r="Q2" s="192"/>
      <c r="R2" s="192"/>
      <c r="S2" s="192"/>
      <c r="T2" s="200">
        <v>3.0</v>
      </c>
      <c r="U2" s="201">
        <f>'GA-55'!D8</f>
        <v>73200.0</v>
      </c>
      <c r="V2" s="201">
        <f>'GA-55'!E8</f>
        <v>36600.0</v>
      </c>
      <c r="W2" s="201">
        <f>'GA-55'!F8</f>
        <v>6588.0</v>
      </c>
    </row>
    <row r="3" spans="8:8" ht="21.0" customHeight="1">
      <c r="A3" s="202" t="s">
        <v>48</v>
      </c>
      <c r="B3" s="203">
        <v>83556.0</v>
      </c>
      <c r="C3" s="204"/>
      <c r="D3" s="205" t="s">
        <v>62</v>
      </c>
      <c r="E3" s="203">
        <v>75000.0</v>
      </c>
      <c r="F3" s="206" t="s">
        <v>82</v>
      </c>
      <c r="G3" s="190"/>
      <c r="M3" s="191"/>
      <c r="N3" s="192"/>
      <c r="O3" s="192"/>
      <c r="P3" s="192"/>
      <c r="Q3" s="192"/>
      <c r="R3" s="192"/>
      <c r="S3" s="192"/>
      <c r="T3" s="200">
        <v>4.0</v>
      </c>
      <c r="U3" s="201">
        <f>'GA-55'!D9</f>
        <v>73200.0</v>
      </c>
      <c r="V3" s="201">
        <f>'GA-55'!E9</f>
        <v>36600.0</v>
      </c>
      <c r="W3" s="201">
        <f>'GA-55'!F9</f>
        <v>6588.0</v>
      </c>
    </row>
    <row r="4" spans="8:8" ht="18.75" customHeight="1">
      <c r="A4" s="207" t="s">
        <v>223</v>
      </c>
      <c r="B4" s="208">
        <v>0.0</v>
      </c>
      <c r="C4" s="204"/>
      <c r="D4" s="209" t="s">
        <v>590</v>
      </c>
      <c r="E4" s="208">
        <v>0.0</v>
      </c>
      <c r="F4" s="210">
        <f>'TAX (OLD REGIME)'!P4</f>
        <v>1512112.0</v>
      </c>
      <c r="G4" s="190"/>
      <c r="K4" s="211">
        <f>SUM('TAX (OLD REGIME)'!H21:I30)</f>
        <v>157204.0</v>
      </c>
      <c r="M4" s="191"/>
      <c r="N4" s="192"/>
      <c r="O4" s="192"/>
      <c r="P4" s="192"/>
      <c r="Q4" s="192"/>
      <c r="R4" s="192"/>
      <c r="S4" s="192"/>
      <c r="T4" s="200">
        <v>5.0</v>
      </c>
      <c r="U4" s="201">
        <f>'GA-55'!D10</f>
        <v>73200.0</v>
      </c>
      <c r="V4" s="201">
        <f>'GA-55'!E10</f>
        <v>36600.0</v>
      </c>
      <c r="W4" s="201">
        <f>'GA-55'!F10</f>
        <v>6588.0</v>
      </c>
    </row>
    <row r="5" spans="8:8" ht="18.75" customHeight="1">
      <c r="A5" s="202" t="s">
        <v>224</v>
      </c>
      <c r="B5" s="208">
        <v>0.0</v>
      </c>
      <c r="C5" s="204"/>
      <c r="D5" s="205" t="s">
        <v>61</v>
      </c>
      <c r="E5" s="208">
        <v>0.0</v>
      </c>
      <c r="F5" s="212" t="s">
        <v>81</v>
      </c>
      <c r="G5" s="190"/>
      <c r="J5" s="213">
        <f>SUM(E4:E5)</f>
        <v>0.0</v>
      </c>
      <c r="K5" s="211">
        <f>SUM('TAX (OLD REGIME)'!N23:O29)</f>
        <v>0.0</v>
      </c>
      <c r="M5" s="191"/>
      <c r="N5" s="192"/>
      <c r="O5" s="192"/>
      <c r="P5" s="192"/>
      <c r="Q5" s="192"/>
      <c r="R5" s="192"/>
      <c r="S5" s="192"/>
      <c r="T5" s="200">
        <v>6.0</v>
      </c>
      <c r="U5" s="201">
        <f>'GA-55'!D11</f>
        <v>73200.0</v>
      </c>
      <c r="V5" s="201">
        <f>'GA-55'!E11</f>
        <v>36600.0</v>
      </c>
      <c r="W5" s="201">
        <f>'GA-55'!F11</f>
        <v>6588.0</v>
      </c>
    </row>
    <row r="6" spans="8:8" ht="18.75" customHeight="1">
      <c r="A6" s="202" t="s">
        <v>49</v>
      </c>
      <c r="B6" s="208">
        <v>0.0</v>
      </c>
      <c r="C6" s="204"/>
      <c r="D6" s="205" t="s">
        <v>66</v>
      </c>
      <c r="E6" s="208">
        <v>0.0</v>
      </c>
      <c r="F6" s="214" t="s">
        <v>527</v>
      </c>
      <c r="G6" s="215" t="s">
        <v>78</v>
      </c>
      <c r="H6" s="185"/>
      <c r="J6" s="213">
        <f>SUM(E4:E6)</f>
        <v>0.0</v>
      </c>
      <c r="K6" s="211">
        <f>'TAX (OLD REGIME)'!P32</f>
        <v>0.0</v>
      </c>
      <c r="M6" s="191"/>
      <c r="N6" s="192"/>
      <c r="O6" s="192"/>
      <c r="P6" s="192"/>
      <c r="Q6" s="192"/>
      <c r="R6" s="192"/>
      <c r="S6" s="192"/>
      <c r="T6" s="200">
        <v>7.0</v>
      </c>
      <c r="U6" s="201">
        <f>'GA-55'!D12</f>
        <v>75400.0</v>
      </c>
      <c r="V6" s="201">
        <f>'GA-55'!E12</f>
        <v>37700.0</v>
      </c>
      <c r="W6" s="201">
        <f>'GA-55'!F12</f>
        <v>6786.0</v>
      </c>
    </row>
    <row r="7" spans="8:8" ht="18.75" customHeight="1">
      <c r="A7" s="202" t="s">
        <v>50</v>
      </c>
      <c r="B7" s="208">
        <v>0.0</v>
      </c>
      <c r="C7" s="204"/>
      <c r="D7" s="205" t="s">
        <v>63</v>
      </c>
      <c r="E7" s="208">
        <v>0.0</v>
      </c>
      <c r="F7" s="216">
        <f>'TAX (OLD REGIME)'!P62</f>
        <v>188311.0</v>
      </c>
      <c r="G7" s="217" t="s">
        <v>79</v>
      </c>
      <c r="H7" s="218">
        <f>IF(K7-150001&lt;0,0,IF(K7-150000&lt;50000,K7-150000,50000))</f>
        <v>7204.0</v>
      </c>
      <c r="K7" s="219">
        <f>SUM(K4:K6)</f>
        <v>157204.0</v>
      </c>
      <c r="M7" s="191"/>
      <c r="N7" s="192"/>
      <c r="O7" s="220"/>
      <c r="P7" s="221" t="s">
        <v>75</v>
      </c>
      <c r="Q7" s="221" t="s">
        <v>76</v>
      </c>
      <c r="R7" s="221" t="s">
        <v>34</v>
      </c>
      <c r="S7" s="192"/>
      <c r="T7" s="200">
        <v>8.0</v>
      </c>
      <c r="U7" s="201">
        <f>'GA-55'!D13</f>
        <v>75400.0</v>
      </c>
      <c r="V7" s="201">
        <f>'GA-55'!E13</f>
        <v>37700.0</v>
      </c>
      <c r="W7" s="201">
        <f>'GA-55'!F13</f>
        <v>6786.0</v>
      </c>
    </row>
    <row r="8" spans="8:8" ht="18.75" customHeight="1">
      <c r="A8" s="202" t="s">
        <v>72</v>
      </c>
      <c r="B8" s="208">
        <v>0.0</v>
      </c>
      <c r="C8" s="204"/>
      <c r="D8" s="205" t="s">
        <v>426</v>
      </c>
      <c r="E8" s="208">
        <v>0.0</v>
      </c>
      <c r="F8" s="214" t="s">
        <v>528</v>
      </c>
      <c r="G8" s="222" t="s">
        <v>80</v>
      </c>
      <c r="H8" s="185"/>
      <c r="M8" s="191"/>
      <c r="N8" s="192"/>
      <c r="O8" s="223">
        <v>1.0</v>
      </c>
      <c r="P8" s="224">
        <f>'GA-55'!D8</f>
        <v>73200.0</v>
      </c>
      <c r="Q8" s="224">
        <f>'GA-55'!E8</f>
        <v>36600.0</v>
      </c>
      <c r="R8" s="224">
        <f>SUM(P8:Q8)</f>
        <v>109800.0</v>
      </c>
      <c r="S8" s="192"/>
      <c r="T8" s="200">
        <v>9.0</v>
      </c>
      <c r="U8" s="201">
        <f>'GA-55'!D14</f>
        <v>75400.0</v>
      </c>
      <c r="V8" s="201">
        <f>'GA-55'!E14</f>
        <v>37700.0</v>
      </c>
      <c r="W8" s="201">
        <f>'GA-55'!F14</f>
        <v>6786.0</v>
      </c>
    </row>
    <row r="9" spans="8:8" ht="18.75" customHeight="1">
      <c r="A9" s="202" t="s">
        <v>73</v>
      </c>
      <c r="B9" s="208">
        <v>0.0</v>
      </c>
      <c r="C9" s="204"/>
      <c r="D9" s="205" t="s">
        <v>138</v>
      </c>
      <c r="E9" s="208">
        <v>0.0</v>
      </c>
      <c r="F9" s="216">
        <f>'TAX (NEW REGIME)'!P52</f>
        <v>132519.0</v>
      </c>
      <c r="G9" s="225"/>
      <c r="H9" s="185"/>
      <c r="I9" s="226">
        <f>IF(J9&gt;K9,K9,J9)</f>
        <v>0.0</v>
      </c>
      <c r="J9" s="227">
        <f>IF('MASTER DATA SHEET'!C20="No",0,ROUND(10%*'GA-55'!M28,0))</f>
        <v>0.0</v>
      </c>
      <c r="K9" s="227">
        <f>IF('MASTER DATA SHEET'!C20="No",0,'GA-55'!N28)</f>
        <v>0.0</v>
      </c>
      <c r="M9" s="191"/>
      <c r="N9" s="192"/>
      <c r="O9" s="223">
        <v>2.0</v>
      </c>
      <c r="P9" s="224">
        <f>'GA-55'!D9</f>
        <v>73200.0</v>
      </c>
      <c r="Q9" s="224">
        <f>'GA-55'!E9</f>
        <v>36600.0</v>
      </c>
      <c r="R9" s="224">
        <f t="shared" si="0" ref="R9:R19">SUM(P9:Q9)</f>
        <v>109800.0</v>
      </c>
      <c r="S9" s="192"/>
      <c r="T9" s="200">
        <v>10.0</v>
      </c>
      <c r="U9" s="201">
        <f>'GA-55'!D15</f>
        <v>75400.0</v>
      </c>
      <c r="V9" s="201">
        <f>'GA-55'!E15</f>
        <v>37700.0</v>
      </c>
      <c r="W9" s="201">
        <f>'GA-55'!F15</f>
        <v>6786.0</v>
      </c>
    </row>
    <row r="10" spans="8:8" ht="18.75" customHeight="1">
      <c r="A10" s="202" t="s">
        <v>225</v>
      </c>
      <c r="B10" s="208">
        <v>0.0</v>
      </c>
      <c r="C10" s="204"/>
      <c r="D10" s="205" t="s">
        <v>233</v>
      </c>
      <c r="E10" s="208">
        <v>0.0</v>
      </c>
      <c r="F10" s="228" t="s">
        <v>529</v>
      </c>
      <c r="G10" s="229"/>
      <c r="H10" s="218">
        <f>IF('MASTER DATA SHEET'!C20="NO",50000,H7)</f>
        <v>50000.0</v>
      </c>
      <c r="I10" s="226"/>
      <c r="J10" s="226">
        <f>SUM('TAX (OLD REGIME)'!I21:I30,'TAX (OLD REGIME)'!O21:O29)</f>
        <v>0.0</v>
      </c>
      <c r="K10" s="226"/>
      <c r="M10" s="191"/>
      <c r="N10" s="192"/>
      <c r="O10" s="223">
        <v>3.0</v>
      </c>
      <c r="P10" s="224">
        <f>'GA-55'!D10</f>
        <v>73200.0</v>
      </c>
      <c r="Q10" s="224">
        <f>'GA-55'!E10</f>
        <v>36600.0</v>
      </c>
      <c r="R10" s="224">
        <f t="shared" si="0"/>
        <v>109800.0</v>
      </c>
      <c r="S10" s="192"/>
      <c r="T10" s="200">
        <v>11.0</v>
      </c>
      <c r="U10" s="201">
        <f>'GA-55'!D16</f>
        <v>75400.0</v>
      </c>
      <c r="V10" s="201">
        <f>'GA-55'!E16</f>
        <v>39962.0</v>
      </c>
      <c r="W10" s="201">
        <f>'GA-55'!F16</f>
        <v>7540.0</v>
      </c>
    </row>
    <row r="11" spans="8:8" ht="18.75" customHeight="1">
      <c r="A11" s="202" t="s">
        <v>226</v>
      </c>
      <c r="B11" s="208">
        <v>0.0</v>
      </c>
      <c r="C11" s="204"/>
      <c r="D11" s="205" t="s">
        <v>234</v>
      </c>
      <c r="E11" s="208">
        <v>0.0</v>
      </c>
      <c r="F11" s="216">
        <f>'GA-55'!V28</f>
        <v>99000.0</v>
      </c>
      <c r="G11" s="190"/>
      <c r="H11" s="230"/>
      <c r="I11" s="226">
        <f>IF('MASTER DATA SHEET'!C15="No",25000,50000)</f>
        <v>25000.0</v>
      </c>
      <c r="J11" s="226"/>
      <c r="K11" s="226"/>
      <c r="M11" s="191"/>
      <c r="N11" s="192"/>
      <c r="O11" s="223">
        <v>4.0</v>
      </c>
      <c r="P11" s="224">
        <f>'GA-55'!D11</f>
        <v>73200.0</v>
      </c>
      <c r="Q11" s="224">
        <f>'GA-55'!E11</f>
        <v>36600.0</v>
      </c>
      <c r="R11" s="224">
        <f t="shared" si="0"/>
        <v>109800.0</v>
      </c>
      <c r="S11" s="192"/>
      <c r="T11" s="200">
        <v>12.0</v>
      </c>
      <c r="U11" s="201">
        <f>'GA-55'!D17</f>
        <v>75400.0</v>
      </c>
      <c r="V11" s="201">
        <f>'GA-55'!E17</f>
        <v>39962.0</v>
      </c>
      <c r="W11" s="201">
        <f>'GA-55'!F17</f>
        <v>7540.0</v>
      </c>
    </row>
    <row r="12" spans="8:8" ht="18.75" customHeight="1">
      <c r="A12" s="202" t="s">
        <v>227</v>
      </c>
      <c r="B12" s="208">
        <v>0.0</v>
      </c>
      <c r="C12" s="204"/>
      <c r="D12" s="205" t="s">
        <v>235</v>
      </c>
      <c r="E12" s="208">
        <v>0.0</v>
      </c>
      <c r="F12" s="231" t="s">
        <v>530</v>
      </c>
      <c r="G12" s="190"/>
      <c r="H12" s="230"/>
      <c r="I12" s="226"/>
      <c r="J12" s="226"/>
      <c r="K12" s="226"/>
      <c r="M12" s="191"/>
      <c r="N12" s="192"/>
      <c r="O12" s="223">
        <v>5.0</v>
      </c>
      <c r="P12" s="224">
        <f>'GA-55'!D12</f>
        <v>75400.0</v>
      </c>
      <c r="Q12" s="224">
        <f>'GA-55'!E12</f>
        <v>37700.0</v>
      </c>
      <c r="R12" s="224">
        <f t="shared" si="0"/>
        <v>113100.0</v>
      </c>
      <c r="S12" s="192"/>
      <c r="T12" s="200">
        <v>1.0</v>
      </c>
      <c r="U12" s="201">
        <f>'GA-55'!D18</f>
        <v>75400.0</v>
      </c>
      <c r="V12" s="201">
        <f>'GA-55'!E18</f>
        <v>39962.0</v>
      </c>
      <c r="W12" s="201">
        <f>'GA-55'!F18</f>
        <v>7540.0</v>
      </c>
    </row>
    <row r="13" spans="8:8" ht="18.75" customHeight="1">
      <c r="A13" s="202" t="s">
        <v>51</v>
      </c>
      <c r="B13" s="208">
        <v>0.0</v>
      </c>
      <c r="C13" s="204"/>
      <c r="D13" s="205" t="s">
        <v>236</v>
      </c>
      <c r="E13" s="208">
        <v>0.0</v>
      </c>
      <c r="F13" s="231"/>
      <c r="G13" s="190"/>
      <c r="H13" s="230"/>
      <c r="I13" s="226">
        <f>IF('MASTER DATA SHEET'!C15="No",40000,100000)</f>
        <v>40000.0</v>
      </c>
      <c r="J13" s="226"/>
      <c r="K13" s="226"/>
      <c r="M13" s="191"/>
      <c r="N13" s="192"/>
      <c r="O13" s="223">
        <v>6.0</v>
      </c>
      <c r="P13" s="224">
        <f>'GA-55'!D13</f>
        <v>75400.0</v>
      </c>
      <c r="Q13" s="224">
        <f>'GA-55'!E13</f>
        <v>37700.0</v>
      </c>
      <c r="R13" s="224">
        <f t="shared" si="0"/>
        <v>113100.0</v>
      </c>
      <c r="S13" s="192"/>
      <c r="T13" s="200">
        <v>2.0</v>
      </c>
      <c r="U13" s="201">
        <f>'GA-55'!D19</f>
        <v>75400.0</v>
      </c>
      <c r="V13" s="201">
        <f>'GA-55'!E19</f>
        <v>39962.0</v>
      </c>
      <c r="W13" s="201">
        <f>'GA-55'!F19</f>
        <v>7540.0</v>
      </c>
    </row>
    <row r="14" spans="8:8" ht="18.75" customHeight="1">
      <c r="A14" s="202" t="s">
        <v>228</v>
      </c>
      <c r="B14" s="208">
        <v>0.0</v>
      </c>
      <c r="C14" s="204"/>
      <c r="D14" s="205" t="s">
        <v>237</v>
      </c>
      <c r="E14" s="208">
        <v>0.0</v>
      </c>
      <c r="F14" s="231"/>
      <c r="G14" s="190"/>
      <c r="H14" s="230"/>
      <c r="I14" s="226"/>
      <c r="J14" s="226"/>
      <c r="K14" s="226"/>
      <c r="M14" s="191"/>
      <c r="N14" s="192"/>
      <c r="O14" s="223">
        <v>7.0</v>
      </c>
      <c r="P14" s="224">
        <f>'GA-55'!D14</f>
        <v>75400.0</v>
      </c>
      <c r="Q14" s="224">
        <f>'GA-55'!E14</f>
        <v>37700.0</v>
      </c>
      <c r="R14" s="224">
        <f t="shared" si="0"/>
        <v>113100.0</v>
      </c>
      <c r="S14" s="192"/>
      <c r="T14" s="200"/>
      <c r="U14" s="219">
        <f>SUM(U2:U13)+P20</f>
        <v>933700.0</v>
      </c>
      <c r="V14" s="219">
        <f>SUM(V2:V13)+Q20</f>
        <v>491933.0</v>
      </c>
      <c r="W14" s="219">
        <f>SUM(W2:W13)</f>
        <v>83656.0</v>
      </c>
    </row>
    <row r="15" spans="8:8" ht="18.75" customHeight="1">
      <c r="A15" s="202" t="s">
        <v>52</v>
      </c>
      <c r="B15" s="208">
        <v>0.0</v>
      </c>
      <c r="C15" s="204"/>
      <c r="D15" s="205" t="s">
        <v>238</v>
      </c>
      <c r="E15" s="203">
        <v>0.0</v>
      </c>
      <c r="F15" s="232">
        <f>'TAX (OLD REGIME)'!P31</f>
        <v>150000.0</v>
      </c>
      <c r="G15" s="190"/>
      <c r="H15" s="230"/>
      <c r="I15" s="226"/>
      <c r="J15" s="226"/>
      <c r="K15" s="226"/>
      <c r="M15" s="191"/>
      <c r="N15" s="192"/>
      <c r="O15" s="223">
        <v>8.0</v>
      </c>
      <c r="P15" s="224">
        <f>'GA-55'!D15</f>
        <v>75400.0</v>
      </c>
      <c r="Q15" s="224">
        <f>'GA-55'!E15</f>
        <v>37700.0</v>
      </c>
      <c r="R15" s="224">
        <f t="shared" si="0"/>
        <v>113100.0</v>
      </c>
      <c r="S15" s="192"/>
      <c r="U15" s="185">
        <f>SUM('GA-55'!D20:E21,'GA-55'!D23:E27)</f>
        <v>72585.0</v>
      </c>
    </row>
    <row r="16" spans="8:8" ht="18.75" customHeight="1">
      <c r="A16" s="202" t="s">
        <v>229</v>
      </c>
      <c r="B16" s="208">
        <v>0.0</v>
      </c>
      <c r="C16" s="204"/>
      <c r="D16" s="205" t="s">
        <v>239</v>
      </c>
      <c r="E16" s="208">
        <v>0.0</v>
      </c>
      <c r="F16" s="233" t="s">
        <v>1</v>
      </c>
      <c r="G16" s="190"/>
      <c r="H16" s="230"/>
      <c r="I16" s="226"/>
      <c r="J16" s="226"/>
      <c r="K16" s="226"/>
      <c r="M16" s="191"/>
      <c r="N16" s="192"/>
      <c r="O16" s="223">
        <v>9.0</v>
      </c>
      <c r="P16" s="224">
        <f>'GA-55'!D16</f>
        <v>75400.0</v>
      </c>
      <c r="Q16" s="224">
        <f>'GA-55'!E16</f>
        <v>39962.0</v>
      </c>
      <c r="R16" s="224">
        <f t="shared" si="0"/>
        <v>115362.0</v>
      </c>
      <c r="S16" s="192"/>
      <c r="T16" s="186" t="s">
        <v>78</v>
      </c>
      <c r="U16" s="234">
        <f>U14+V14</f>
        <v>1425633.0</v>
      </c>
    </row>
    <row r="17" spans="8:8" ht="31.5" customHeight="1">
      <c r="A17" s="202" t="s">
        <v>230</v>
      </c>
      <c r="B17" s="208">
        <v>0.0</v>
      </c>
      <c r="C17" s="204"/>
      <c r="D17" s="209" t="s">
        <v>602</v>
      </c>
      <c r="E17" s="208">
        <v>0.0</v>
      </c>
      <c r="F17" s="233"/>
      <c r="G17" s="190"/>
      <c r="H17" s="230"/>
      <c r="I17" s="226"/>
      <c r="J17" s="226"/>
      <c r="K17" s="226"/>
      <c r="M17" s="191"/>
      <c r="N17" s="192"/>
      <c r="O17" s="223">
        <v>10.0</v>
      </c>
      <c r="P17" s="224">
        <f>'GA-55'!D17</f>
        <v>75400.0</v>
      </c>
      <c r="Q17" s="224">
        <f>'GA-55'!E17</f>
        <v>39962.0</v>
      </c>
      <c r="R17" s="224">
        <f t="shared" si="0"/>
        <v>115362.0</v>
      </c>
      <c r="S17" s="192"/>
    </row>
    <row r="18" spans="8:8" ht="18.75" customHeight="1">
      <c r="A18" s="202" t="s">
        <v>231</v>
      </c>
      <c r="B18" s="208">
        <v>0.0</v>
      </c>
      <c r="C18" s="204"/>
      <c r="D18" s="205" t="s">
        <v>64</v>
      </c>
      <c r="E18" s="208">
        <v>0.0</v>
      </c>
      <c r="F18" s="233"/>
      <c r="G18" s="190"/>
      <c r="H18" s="230"/>
      <c r="I18" s="226">
        <f>R21</f>
        <v>142563.0</v>
      </c>
      <c r="J18" s="226"/>
      <c r="K18" s="226"/>
      <c r="M18" s="191"/>
      <c r="N18" s="192"/>
      <c r="O18" s="223">
        <v>11.0</v>
      </c>
      <c r="P18" s="224">
        <f>'GA-55'!D18</f>
        <v>75400.0</v>
      </c>
      <c r="Q18" s="224">
        <f>'GA-55'!E18</f>
        <v>39962.0</v>
      </c>
      <c r="R18" s="224">
        <f t="shared" si="0"/>
        <v>115362.0</v>
      </c>
      <c r="S18" s="192"/>
      <c r="T18" s="186">
        <v>0.1</v>
      </c>
      <c r="U18" s="234">
        <f>ROUND(U16*10%,0)</f>
        <v>142563.0</v>
      </c>
    </row>
    <row r="19" spans="8:8" ht="18.75" customHeight="1">
      <c r="A19" s="202" t="s">
        <v>59</v>
      </c>
      <c r="B19" s="208">
        <v>0.0</v>
      </c>
      <c r="C19" s="204"/>
      <c r="D19" s="205" t="s">
        <v>65</v>
      </c>
      <c r="E19" s="208">
        <v>0.0</v>
      </c>
      <c r="F19" s="235">
        <f>IF(B3=0,0,I18+B3)</f>
        <v>226119.0</v>
      </c>
      <c r="G19" s="190"/>
      <c r="H19" s="230"/>
      <c r="I19" s="226"/>
      <c r="J19" s="226"/>
      <c r="K19" s="226"/>
      <c r="M19" s="191"/>
      <c r="N19" s="192"/>
      <c r="O19" s="223">
        <v>12.0</v>
      </c>
      <c r="P19" s="224">
        <f>'GA-55'!D19</f>
        <v>75400.0</v>
      </c>
      <c r="Q19" s="224">
        <f>'GA-55'!E19</f>
        <v>39962.0</v>
      </c>
      <c r="R19" s="224">
        <f t="shared" si="0"/>
        <v>115362.0</v>
      </c>
      <c r="S19" s="192"/>
      <c r="T19" s="186">
        <v>0.4</v>
      </c>
      <c r="U19" s="234">
        <f>ROUND(U16*40%,0)</f>
        <v>570253.0</v>
      </c>
    </row>
    <row r="20" spans="8:8" ht="18.75" customHeight="1">
      <c r="A20" s="202" t="s">
        <v>232</v>
      </c>
      <c r="B20" s="208">
        <v>0.0</v>
      </c>
      <c r="C20" s="204"/>
      <c r="D20" s="205" t="s">
        <v>67</v>
      </c>
      <c r="E20" s="208">
        <v>0.0</v>
      </c>
      <c r="F20" s="235"/>
      <c r="G20" s="190"/>
      <c r="H20" s="230"/>
      <c r="I20" s="226"/>
      <c r="J20" s="226"/>
      <c r="K20" s="226"/>
      <c r="M20" s="191"/>
      <c r="N20" s="192"/>
      <c r="O20" s="220"/>
      <c r="P20" s="224">
        <f>SUM('GA-55'!D20:D27)</f>
        <v>37700.0</v>
      </c>
      <c r="Q20" s="224">
        <f>SUM('GA-55'!E20:E27)</f>
        <v>34885.0</v>
      </c>
      <c r="R20" s="236">
        <f>SUM(R8:R19)+P20+Q20</f>
        <v>1425633.0</v>
      </c>
      <c r="S20" s="192"/>
      <c r="T20" s="237"/>
    </row>
    <row r="21" spans="8:8" ht="19.5" customHeight="1">
      <c r="A21" s="238" t="str">
        <f>('TAX (OLD REGIME)'!B65)</f>
        <v>INCOME TAX PAYABLE (OLD TAX REGIME)</v>
      </c>
      <c r="B21" s="239"/>
      <c r="C21" s="240"/>
      <c r="D21" s="241">
        <f>'TAX (OLD REGIME)'!P65</f>
        <v>89311.0</v>
      </c>
      <c r="E21" s="242" t="str">
        <f>IF(D21&gt;D24,"आपके लिए मेरी आयकर गणना अनुसार NEW TAX REGIME  लाभदायक है I","आपके लिए मेरी आयकर गणना अनुसार OLD TAX REGIME  लाभदायक है I")</f>
        <v>आपके लिए मेरी आयकर गणना अनुसार NEW TAX REGIME  लाभदायक है I</v>
      </c>
      <c r="F21" s="243"/>
      <c r="G21" s="190"/>
      <c r="H21" s="185"/>
      <c r="I21" s="227">
        <f>'GA-55'!H28</f>
        <v>0.0</v>
      </c>
      <c r="J21" s="226"/>
      <c r="K21" s="226"/>
      <c r="M21" s="191"/>
      <c r="N21" s="192"/>
      <c r="O21" s="244" t="s">
        <v>461</v>
      </c>
      <c r="P21" s="245">
        <f>SUM('GA-55'!E20:E21,'GA-55'!E24:E26)</f>
        <v>14904.0</v>
      </c>
      <c r="Q21" s="246"/>
      <c r="R21" s="247">
        <f>ROUND(R20*10%,0)</f>
        <v>142563.0</v>
      </c>
      <c r="S21" s="192"/>
    </row>
    <row r="22" spans="8:8" ht="19.5" customHeight="1">
      <c r="A22" s="248" t="str">
        <f>"TOTAL REBATE OF(US 80C, 80CCC,80CCD(1)) =  "&amp;'TAX (OLD REGIME)'!N30</f>
        <v>TOTAL REBATE OF(US 80C, 80CCC,80CCD(1)) =  157204</v>
      </c>
      <c r="B22" s="249"/>
      <c r="C22" s="250"/>
      <c r="D22" s="251" t="str">
        <f>"INVESTABLE AMOUNT= "&amp;(150000-'TAX (OLD REGIME)'!P31)</f>
        <v>INVESTABLE AMOUNT= 0</v>
      </c>
      <c r="E22" s="242"/>
      <c r="F22" s="243"/>
      <c r="G22" s="190"/>
      <c r="H22" s="185"/>
      <c r="M22" s="191"/>
      <c r="N22" s="192"/>
      <c r="O22" s="252" t="s">
        <v>462</v>
      </c>
      <c r="P22" s="245">
        <f>SUM('GA-55'!D24:D26)</f>
        <v>0.0</v>
      </c>
      <c r="Q22" s="192"/>
      <c r="R22" s="192"/>
      <c r="S22" s="192"/>
    </row>
    <row r="23" spans="8:8" ht="5.25" customHeight="1">
      <c r="A23" s="253"/>
      <c r="B23" s="254"/>
      <c r="C23" s="254"/>
      <c r="D23" s="255"/>
      <c r="E23" s="242"/>
      <c r="F23" s="243"/>
      <c r="G23" s="190"/>
      <c r="H23" s="185"/>
      <c r="M23" s="191"/>
      <c r="N23" s="192"/>
      <c r="O23" s="192"/>
      <c r="P23" s="192"/>
      <c r="Q23" s="192"/>
      <c r="R23" s="192"/>
      <c r="S23" s="192"/>
    </row>
    <row r="24" spans="8:8" ht="24.75" customHeight="1">
      <c r="A24" s="256" t="str">
        <f>'TAX (NEW REGIME)'!B55</f>
        <v>INCOME TAX PAYABLE (NEW TAX REGIME)</v>
      </c>
      <c r="B24" s="257"/>
      <c r="C24" s="258"/>
      <c r="D24" s="259">
        <f>'TAX (NEW REGIME)'!P55</f>
        <v>33519.0</v>
      </c>
      <c r="E24" s="242"/>
      <c r="F24" s="243"/>
      <c r="G24" s="190"/>
      <c r="H24" s="185"/>
      <c r="M24" s="191"/>
      <c r="N24" s="192"/>
      <c r="O24" s="192"/>
      <c r="P24" s="192"/>
      <c r="Q24" s="192"/>
      <c r="R24" s="192"/>
      <c r="S24" s="192"/>
    </row>
    <row r="25" spans="8:8" ht="21.75" customHeight="1">
      <c r="A25" s="260" t="s">
        <v>531</v>
      </c>
      <c r="B25" s="261"/>
      <c r="C25" s="258"/>
      <c r="D25" s="259">
        <v>0.0</v>
      </c>
      <c r="E25" s="262"/>
      <c r="F25" s="263"/>
      <c r="G25" s="190"/>
      <c r="H25" s="185"/>
      <c r="M25" s="191"/>
      <c r="N25" s="192"/>
      <c r="O25" s="192"/>
      <c r="P25" s="192"/>
      <c r="Q25" s="192"/>
      <c r="R25" s="192"/>
      <c r="S25" s="192"/>
    </row>
    <row r="26" spans="8:8" ht="39.75" customHeight="1">
      <c r="A26" s="264" t="s">
        <v>521</v>
      </c>
      <c r="B26" s="265"/>
      <c r="C26" s="265"/>
      <c r="D26" s="266"/>
      <c r="E26" s="267"/>
      <c r="F26" s="268"/>
      <c r="G26" s="190"/>
      <c r="H26" s="185"/>
      <c r="M26" s="191"/>
      <c r="N26" s="192"/>
      <c r="O26" s="192"/>
      <c r="P26" s="192"/>
      <c r="Q26" s="192"/>
      <c r="R26" s="192"/>
      <c r="S26" s="192"/>
    </row>
    <row r="27" spans="8:8" ht="17.25" customHeight="1">
      <c r="A27" s="269" t="s">
        <v>522</v>
      </c>
      <c r="B27" s="269"/>
      <c r="C27" s="270"/>
      <c r="D27" s="271">
        <f>U14</f>
        <v>933700.0</v>
      </c>
      <c r="E27" s="272"/>
      <c r="F27" s="273"/>
      <c r="G27" s="190"/>
      <c r="H27" s="185"/>
      <c r="M27" s="191"/>
      <c r="N27" s="192"/>
      <c r="O27" s="192"/>
      <c r="P27" s="192"/>
      <c r="Q27" s="192"/>
      <c r="R27" s="192"/>
      <c r="S27" s="192"/>
      <c r="U27" s="274">
        <f>D32</f>
        <v>83656.0</v>
      </c>
    </row>
    <row r="28" spans="8:8" ht="17.25" customHeight="1">
      <c r="A28" s="269" t="s">
        <v>523</v>
      </c>
      <c r="B28" s="269"/>
      <c r="C28" s="270"/>
      <c r="D28" s="275">
        <f>V14</f>
        <v>491933.0</v>
      </c>
      <c r="E28" s="272"/>
      <c r="F28" s="273"/>
      <c r="G28" s="190"/>
      <c r="H28" s="185"/>
      <c r="M28" s="191"/>
      <c r="N28" s="192"/>
      <c r="O28" s="192"/>
      <c r="P28" s="192"/>
      <c r="Q28" s="192"/>
      <c r="R28" s="192"/>
      <c r="S28" s="192"/>
      <c r="U28" s="274">
        <f>U19</f>
        <v>570253.0</v>
      </c>
    </row>
    <row r="29" spans="8:8" ht="17.25" customHeight="1">
      <c r="A29" s="269" t="s">
        <v>524</v>
      </c>
      <c r="B29" s="269"/>
      <c r="C29" s="270"/>
      <c r="D29" s="276">
        <v>226219.0</v>
      </c>
      <c r="E29" s="277"/>
      <c r="F29" s="278"/>
      <c r="G29" s="190"/>
      <c r="H29" s="185"/>
      <c r="M29" s="191"/>
      <c r="N29" s="192"/>
      <c r="O29" s="192"/>
      <c r="P29" s="192"/>
      <c r="Q29" s="192"/>
      <c r="R29" s="192"/>
      <c r="S29" s="192"/>
      <c r="U29" s="279">
        <f>IF((D29-U18)&lt;0,0,(D29-U18))</f>
        <v>83656.0</v>
      </c>
    </row>
    <row r="30" spans="8:8" ht="17.25" customHeight="1">
      <c r="A30" s="280"/>
      <c r="B30" s="281"/>
      <c r="C30" s="282"/>
      <c r="D30" s="283"/>
      <c r="E30" s="277"/>
      <c r="F30" s="278"/>
      <c r="G30" s="190"/>
      <c r="H30" s="185"/>
      <c r="U30" s="279">
        <f>MIN(U27:U29)</f>
        <v>83656.0</v>
      </c>
    </row>
    <row r="31" spans="8:8" ht="17.25" customHeight="1">
      <c r="A31" s="269" t="s">
        <v>525</v>
      </c>
      <c r="B31" s="269"/>
      <c r="C31" s="270"/>
      <c r="D31" s="271">
        <f>U19</f>
        <v>570253.0</v>
      </c>
      <c r="E31" s="277"/>
      <c r="F31" s="278"/>
      <c r="G31" s="190"/>
      <c r="H31" s="185"/>
    </row>
    <row r="32" spans="8:8" ht="17.25" customHeight="1">
      <c r="A32" s="269" t="s">
        <v>526</v>
      </c>
      <c r="B32" s="269"/>
      <c r="C32" s="270"/>
      <c r="D32" s="275">
        <f>W14+'GA-55'!F20</f>
        <v>83656.0</v>
      </c>
      <c r="E32" s="277"/>
      <c r="F32" s="278"/>
      <c r="G32" s="190"/>
      <c r="H32" s="185"/>
    </row>
    <row r="33" spans="8:8" ht="17.25" customHeight="1">
      <c r="A33" s="269" t="s">
        <v>86</v>
      </c>
      <c r="B33" s="269"/>
      <c r="C33" s="270"/>
      <c r="D33" s="284">
        <f>U29</f>
        <v>83656.0</v>
      </c>
      <c r="E33" s="277"/>
      <c r="F33" s="278"/>
      <c r="G33" s="190"/>
      <c r="H33" s="185"/>
    </row>
    <row r="34" spans="8:8" ht="17.25" customHeight="1">
      <c r="A34" s="280"/>
      <c r="B34" s="281"/>
      <c r="C34" s="282"/>
      <c r="D34" s="283"/>
      <c r="E34" s="277"/>
      <c r="F34" s="278"/>
      <c r="G34" s="190"/>
      <c r="H34" s="185"/>
    </row>
    <row r="35" spans="8:8" ht="18.75" customHeight="1">
      <c r="A35" s="285" t="s">
        <v>84</v>
      </c>
      <c r="B35" s="285"/>
      <c r="C35" s="286"/>
      <c r="D35" s="287">
        <f>U30</f>
        <v>83656.0</v>
      </c>
      <c r="E35" s="277"/>
      <c r="F35" s="278"/>
      <c r="G35" s="190"/>
      <c r="H35" s="185"/>
      <c r="I35" s="183"/>
      <c r="J35" s="183"/>
      <c r="K35" s="183"/>
      <c r="L35" s="183"/>
      <c r="N35" s="183"/>
      <c r="O35" s="183"/>
      <c r="P35" s="183"/>
      <c r="Q35" s="183"/>
      <c r="R35" s="183"/>
      <c r="S35" s="183"/>
      <c r="T35" s="183"/>
      <c r="U35" s="183"/>
      <c r="V35" s="183"/>
      <c r="W35" s="183"/>
      <c r="X35" s="183"/>
      <c r="Y35" s="183"/>
      <c r="Z35" s="183"/>
      <c r="AA35" s="183"/>
      <c r="AB35" s="183"/>
    </row>
    <row r="36" spans="8:8" ht="18.75" customHeight="1">
      <c r="A36" s="285" t="s">
        <v>85</v>
      </c>
      <c r="B36" s="285"/>
      <c r="C36" s="288"/>
      <c r="D36" s="287">
        <f>D32-D35</f>
        <v>0.0</v>
      </c>
      <c r="E36" s="277"/>
      <c r="F36" s="278"/>
      <c r="G36" s="190"/>
      <c r="H36" s="185"/>
      <c r="I36" s="183"/>
      <c r="J36" s="183"/>
      <c r="K36" s="183"/>
      <c r="L36" s="183"/>
      <c r="N36" s="183"/>
      <c r="O36" s="183"/>
      <c r="P36" s="183"/>
      <c r="Q36" s="183"/>
      <c r="R36" s="183"/>
      <c r="S36" s="183"/>
      <c r="T36" s="183"/>
      <c r="U36" s="183"/>
      <c r="V36" s="183"/>
      <c r="W36" s="183"/>
      <c r="X36" s="183"/>
      <c r="Y36" s="183"/>
      <c r="Z36" s="183"/>
      <c r="AA36" s="183"/>
      <c r="AB36" s="183"/>
    </row>
    <row r="37" spans="8:8" ht="6.75" customHeight="1">
      <c r="E37" s="289"/>
      <c r="F37" s="290"/>
      <c r="G37" s="190"/>
      <c r="H37" s="185"/>
      <c r="I37" s="183"/>
      <c r="J37" s="183"/>
      <c r="K37" s="183"/>
      <c r="L37" s="183"/>
      <c r="N37" s="183"/>
      <c r="O37" s="183"/>
      <c r="P37" s="183"/>
      <c r="Q37" s="183"/>
      <c r="R37" s="183"/>
      <c r="S37" s="183"/>
      <c r="T37" s="183"/>
      <c r="U37" s="183"/>
      <c r="V37" s="183"/>
      <c r="W37" s="183"/>
      <c r="X37" s="183"/>
      <c r="Y37" s="183"/>
      <c r="Z37" s="183"/>
      <c r="AA37" s="183"/>
      <c r="AB37" s="183"/>
    </row>
    <row r="38" spans="8:8" ht="20.25" customHeight="1">
      <c r="A38" s="291" t="s">
        <v>427</v>
      </c>
      <c r="B38" s="292" t="s">
        <v>428</v>
      </c>
      <c r="C38" s="292"/>
      <c r="D38" s="292"/>
      <c r="E38" s="292"/>
      <c r="F38" s="292"/>
      <c r="G38" s="190"/>
      <c r="H38" s="192"/>
      <c r="I38" s="191"/>
      <c r="J38" s="191"/>
      <c r="K38" s="191"/>
      <c r="L38" s="191"/>
      <c r="M38" s="191"/>
      <c r="O38" s="191"/>
      <c r="P38" s="191"/>
      <c r="Q38" s="191"/>
      <c r="R38" s="191"/>
      <c r="S38" s="191"/>
      <c r="T38" s="191"/>
      <c r="U38" s="191"/>
      <c r="V38" s="191"/>
      <c r="W38" s="191"/>
      <c r="X38" s="191"/>
      <c r="Y38" s="191"/>
      <c r="Z38" s="191"/>
      <c r="AA38" s="191"/>
      <c r="AB38" s="191"/>
    </row>
    <row r="39" spans="8:8" ht="16.5" customHeight="1">
      <c r="A39" s="293" t="s">
        <v>434</v>
      </c>
      <c r="B39" s="294" t="s">
        <v>429</v>
      </c>
      <c r="C39" s="295" t="s">
        <v>430</v>
      </c>
      <c r="D39" s="296" t="s">
        <v>435</v>
      </c>
      <c r="E39" s="297" t="s">
        <v>431</v>
      </c>
      <c r="F39" s="298" t="s">
        <v>429</v>
      </c>
      <c r="G39" s="190"/>
      <c r="H39" s="192"/>
      <c r="I39" s="191"/>
      <c r="J39" s="191"/>
      <c r="K39" s="191"/>
      <c r="L39" s="191"/>
      <c r="M39" s="191"/>
      <c r="N39" s="191"/>
      <c r="O39" s="191"/>
      <c r="P39" s="191"/>
      <c r="Q39" s="191"/>
      <c r="R39" s="191"/>
      <c r="S39" s="191"/>
      <c r="T39" s="191"/>
      <c r="U39" s="191"/>
      <c r="V39" s="191"/>
      <c r="W39" s="191"/>
      <c r="X39" s="191"/>
      <c r="Y39" s="191"/>
      <c r="Z39" s="191"/>
      <c r="AA39" s="191"/>
      <c r="AB39" s="191"/>
    </row>
    <row r="40" spans="8:8" ht="16.5" customHeight="1">
      <c r="A40" s="299" t="s">
        <v>432</v>
      </c>
      <c r="B40" s="300">
        <f>B6</f>
        <v>0.0</v>
      </c>
      <c r="C40" s="301"/>
      <c r="D40" s="302"/>
      <c r="E40" s="302"/>
      <c r="F40" s="300">
        <v>0.0</v>
      </c>
      <c r="G40" s="190"/>
      <c r="H40" s="192"/>
      <c r="I40" s="191"/>
      <c r="J40" s="191"/>
      <c r="K40" s="191"/>
      <c r="L40" s="191"/>
      <c r="M40" s="191"/>
      <c r="N40" s="191"/>
      <c r="O40" s="191"/>
      <c r="P40" s="191"/>
      <c r="Q40" s="191"/>
      <c r="R40" s="191"/>
      <c r="S40" s="191"/>
      <c r="T40" s="191"/>
      <c r="U40" s="191"/>
      <c r="V40" s="191"/>
      <c r="W40" s="191"/>
      <c r="X40" s="191"/>
      <c r="Y40" s="191"/>
      <c r="Z40" s="191"/>
      <c r="AA40" s="191"/>
      <c r="AB40" s="191"/>
    </row>
    <row r="41" spans="8:8" ht="16.5" customHeight="1">
      <c r="A41" s="299" t="s">
        <v>433</v>
      </c>
      <c r="B41" s="300">
        <f>(E4+E5)</f>
        <v>0.0</v>
      </c>
      <c r="C41" s="303"/>
      <c r="D41" s="302"/>
      <c r="E41" s="302"/>
      <c r="F41" s="300">
        <v>0.0</v>
      </c>
      <c r="G41" s="190"/>
      <c r="H41" s="192"/>
      <c r="I41" s="191"/>
      <c r="J41" s="191"/>
      <c r="K41" s="191"/>
      <c r="L41" s="191"/>
      <c r="M41" s="191"/>
      <c r="N41" s="191"/>
      <c r="O41" s="191"/>
      <c r="P41" s="191"/>
      <c r="Q41" s="191"/>
      <c r="R41" s="191"/>
      <c r="S41" s="191"/>
      <c r="T41" s="191"/>
      <c r="U41" s="191"/>
      <c r="V41" s="191"/>
      <c r="W41" s="191"/>
      <c r="X41" s="191"/>
      <c r="Y41" s="191"/>
      <c r="Z41" s="191"/>
      <c r="AA41" s="191"/>
      <c r="AB41" s="191"/>
    </row>
    <row r="42" spans="8:8" ht="16.5" customHeight="1">
      <c r="A42" s="299" t="s">
        <v>436</v>
      </c>
      <c r="B42" s="300">
        <f>E6</f>
        <v>0.0</v>
      </c>
      <c r="C42" s="303"/>
      <c r="D42" s="302"/>
      <c r="E42" s="302"/>
      <c r="F42" s="300">
        <v>0.0</v>
      </c>
      <c r="G42" s="190"/>
      <c r="H42" s="192"/>
      <c r="I42" s="191"/>
      <c r="J42" s="191"/>
      <c r="K42" s="191"/>
      <c r="L42" s="191"/>
      <c r="M42" s="191"/>
      <c r="N42" s="191"/>
      <c r="O42" s="191"/>
      <c r="P42" s="191"/>
      <c r="Q42" s="191"/>
      <c r="R42" s="191"/>
      <c r="S42" s="191"/>
      <c r="T42" s="191"/>
      <c r="U42" s="191"/>
      <c r="V42" s="191"/>
      <c r="W42" s="191"/>
      <c r="X42" s="191"/>
      <c r="Y42" s="191"/>
      <c r="Z42" s="191"/>
      <c r="AA42" s="191"/>
      <c r="AB42" s="191"/>
    </row>
    <row r="43" spans="8:8" ht="16.5" customHeight="1">
      <c r="A43" s="299" t="s">
        <v>437</v>
      </c>
      <c r="B43" s="300">
        <v>0.0</v>
      </c>
      <c r="C43" s="303"/>
      <c r="D43" s="302"/>
      <c r="E43" s="302"/>
      <c r="F43" s="300">
        <v>0.0</v>
      </c>
      <c r="G43" s="190"/>
      <c r="H43" s="192"/>
      <c r="I43" s="191"/>
      <c r="J43" s="191"/>
      <c r="K43" s="191"/>
      <c r="L43" s="191"/>
      <c r="M43" s="191"/>
      <c r="N43" s="191"/>
      <c r="O43" s="191"/>
      <c r="P43" s="191"/>
      <c r="Q43" s="191"/>
      <c r="R43" s="191"/>
      <c r="S43" s="191"/>
      <c r="T43" s="191"/>
      <c r="U43" s="191"/>
      <c r="V43" s="191"/>
      <c r="W43" s="191"/>
      <c r="X43" s="191"/>
      <c r="Y43" s="191"/>
      <c r="Z43" s="191"/>
      <c r="AA43" s="191"/>
      <c r="AB43" s="191"/>
    </row>
    <row r="44" spans="8:8" ht="45.75" customHeight="1">
      <c r="A44" s="304" t="s">
        <v>532</v>
      </c>
      <c r="B44" s="305"/>
      <c r="C44" s="305"/>
      <c r="D44" s="305"/>
      <c r="E44" s="305"/>
      <c r="F44" s="305"/>
      <c r="G44" s="190"/>
      <c r="H44" s="185"/>
      <c r="I44" s="183"/>
      <c r="J44" s="183"/>
      <c r="K44" s="183"/>
      <c r="L44" s="183"/>
      <c r="N44" s="183"/>
      <c r="O44" s="183"/>
      <c r="P44" s="183"/>
      <c r="Q44" s="183"/>
      <c r="R44" s="183"/>
      <c r="S44" s="183"/>
      <c r="T44" s="183"/>
      <c r="U44" s="183"/>
      <c r="V44" s="183"/>
      <c r="W44" s="183"/>
      <c r="X44" s="183"/>
      <c r="Y44" s="183"/>
      <c r="Z44" s="183"/>
      <c r="AA44" s="183"/>
      <c r="AB44" s="183"/>
    </row>
    <row r="45" spans="8:8" ht="15.75" hidden="1">
      <c r="H45" s="185"/>
      <c r="I45" s="183"/>
      <c r="J45" s="183"/>
      <c r="K45" s="183"/>
      <c r="L45" s="183"/>
      <c r="N45" s="183"/>
      <c r="O45" s="183"/>
      <c r="P45" s="183"/>
      <c r="Q45" s="183"/>
      <c r="R45" s="183"/>
      <c r="S45" s="183"/>
      <c r="T45" s="183"/>
      <c r="U45" s="183"/>
      <c r="V45" s="183"/>
      <c r="W45" s="183"/>
      <c r="X45" s="183"/>
      <c r="Y45" s="183"/>
      <c r="Z45" s="183"/>
      <c r="AA45" s="183"/>
      <c r="AB45" s="183"/>
    </row>
    <row r="46" spans="8:8" ht="15.75" hidden="1">
      <c r="H46" s="185"/>
      <c r="I46" s="183"/>
      <c r="J46" s="183"/>
      <c r="K46" s="183"/>
      <c r="L46" s="183"/>
      <c r="N46" s="183"/>
      <c r="O46" s="183"/>
      <c r="P46" s="183"/>
      <c r="Q46" s="183"/>
      <c r="R46" s="183"/>
      <c r="S46" s="183"/>
      <c r="T46" s="183"/>
      <c r="U46" s="183"/>
      <c r="V46" s="183"/>
      <c r="W46" s="183"/>
      <c r="X46" s="183"/>
      <c r="Y46" s="183"/>
      <c r="Z46" s="183"/>
      <c r="AA46" s="183"/>
      <c r="AB46" s="183"/>
    </row>
    <row r="47" spans="8:8" ht="15.75" hidden="1">
      <c r="H47" s="185"/>
      <c r="I47" s="183"/>
      <c r="J47" s="183"/>
      <c r="K47" s="183"/>
      <c r="L47" s="183"/>
      <c r="N47" s="183"/>
      <c r="O47" s="183"/>
      <c r="P47" s="183"/>
      <c r="Q47" s="183"/>
      <c r="R47" s="183"/>
      <c r="S47" s="183"/>
      <c r="T47" s="183"/>
      <c r="U47" s="183"/>
      <c r="V47" s="183"/>
      <c r="W47" s="183"/>
      <c r="X47" s="183"/>
      <c r="Y47" s="183"/>
      <c r="Z47" s="183"/>
      <c r="AA47" s="183"/>
      <c r="AB47" s="183"/>
    </row>
    <row r="48" spans="8:8" ht="15.75" hidden="1">
      <c r="H48" s="185"/>
      <c r="I48" s="183"/>
      <c r="J48" s="183"/>
      <c r="K48" s="183"/>
      <c r="L48" s="183"/>
      <c r="N48" s="183"/>
      <c r="O48" s="183"/>
      <c r="P48" s="183"/>
      <c r="Q48" s="183"/>
      <c r="R48" s="183"/>
      <c r="S48" s="183"/>
      <c r="T48" s="183"/>
      <c r="U48" s="183"/>
      <c r="V48" s="183"/>
      <c r="W48" s="183"/>
      <c r="X48" s="183"/>
      <c r="Y48" s="183"/>
      <c r="Z48" s="183"/>
      <c r="AA48" s="183"/>
      <c r="AB48" s="183"/>
    </row>
    <row r="49" spans="8:8" ht="15.75" hidden="1">
      <c r="H49" s="185"/>
      <c r="I49" s="183"/>
      <c r="J49" s="183"/>
      <c r="K49" s="183"/>
      <c r="L49" s="183"/>
      <c r="N49" s="183"/>
      <c r="O49" s="183"/>
      <c r="P49" s="183"/>
      <c r="Q49" s="183"/>
      <c r="R49" s="183"/>
      <c r="S49" s="183"/>
      <c r="T49" s="183"/>
      <c r="U49" s="183"/>
      <c r="V49" s="183"/>
      <c r="W49" s="183"/>
      <c r="X49" s="183"/>
      <c r="Y49" s="183"/>
      <c r="Z49" s="183"/>
      <c r="AA49" s="183"/>
      <c r="AB49" s="183"/>
    </row>
    <row r="50" spans="8:8" ht="15.75" hidden="1">
      <c r="H50" s="185"/>
      <c r="I50" s="183"/>
      <c r="J50" s="183"/>
      <c r="K50" s="183"/>
      <c r="L50" s="183"/>
      <c r="N50" s="183"/>
      <c r="O50" s="183"/>
      <c r="P50" s="183"/>
      <c r="Q50" s="183"/>
      <c r="R50" s="183"/>
      <c r="S50" s="183"/>
      <c r="T50" s="183"/>
      <c r="U50" s="183"/>
      <c r="V50" s="183"/>
      <c r="W50" s="183"/>
      <c r="X50" s="183"/>
      <c r="Y50" s="183"/>
      <c r="Z50" s="183"/>
      <c r="AA50" s="183"/>
      <c r="AB50" s="183"/>
    </row>
    <row r="51" spans="8:8" ht="15.75" hidden="1">
      <c r="H51" s="185"/>
      <c r="I51" s="183"/>
      <c r="J51" s="183"/>
      <c r="K51" s="183"/>
      <c r="L51" s="183"/>
      <c r="N51" s="183"/>
      <c r="O51" s="183"/>
      <c r="P51" s="183"/>
      <c r="Q51" s="183"/>
      <c r="R51" s="183"/>
      <c r="S51" s="183"/>
      <c r="T51" s="183"/>
      <c r="U51" s="183"/>
      <c r="V51" s="183"/>
      <c r="W51" s="183"/>
      <c r="X51" s="183"/>
      <c r="Y51" s="183"/>
      <c r="Z51" s="183"/>
      <c r="AA51" s="183"/>
      <c r="AB51" s="183"/>
    </row>
    <row r="52" spans="8:8" ht="15.75" hidden="1">
      <c r="H52" s="185"/>
      <c r="I52" s="183"/>
      <c r="J52" s="183"/>
      <c r="K52" s="183"/>
      <c r="L52" s="183"/>
      <c r="N52" s="183"/>
      <c r="O52" s="183"/>
      <c r="P52" s="183"/>
      <c r="Q52" s="183"/>
      <c r="R52" s="183"/>
      <c r="S52" s="183"/>
      <c r="T52" s="183"/>
      <c r="U52" s="183"/>
      <c r="V52" s="183"/>
      <c r="W52" s="183"/>
      <c r="X52" s="183"/>
      <c r="Y52" s="183"/>
      <c r="Z52" s="183"/>
      <c r="AA52" s="183"/>
      <c r="AB52" s="183"/>
    </row>
    <row r="53" spans="8:8" ht="15.75" hidden="1">
      <c r="H53" s="185"/>
      <c r="I53" s="183"/>
      <c r="J53" s="183"/>
      <c r="K53" s="183"/>
      <c r="L53" s="183"/>
      <c r="N53" s="183"/>
      <c r="O53" s="183"/>
      <c r="P53" s="183"/>
      <c r="Q53" s="183"/>
      <c r="R53" s="183"/>
      <c r="S53" s="183"/>
      <c r="T53" s="183"/>
      <c r="U53" s="183"/>
      <c r="V53" s="183"/>
      <c r="W53" s="183"/>
      <c r="X53" s="183"/>
      <c r="Y53" s="183"/>
      <c r="Z53" s="183"/>
      <c r="AA53" s="183"/>
      <c r="AB53" s="183"/>
    </row>
    <row r="54" spans="8:8" ht="15.75" hidden="1">
      <c r="H54" s="185"/>
      <c r="I54" s="183"/>
      <c r="J54" s="183"/>
      <c r="K54" s="183"/>
      <c r="L54" s="183"/>
      <c r="N54" s="183"/>
      <c r="O54" s="183"/>
      <c r="P54" s="183"/>
      <c r="Q54" s="183"/>
      <c r="R54" s="183"/>
      <c r="S54" s="183"/>
      <c r="T54" s="183"/>
      <c r="U54" s="183"/>
      <c r="V54" s="183"/>
      <c r="W54" s="183"/>
      <c r="X54" s="183"/>
      <c r="Y54" s="183"/>
      <c r="Z54" s="183"/>
      <c r="AA54" s="183"/>
      <c r="AB54" s="183"/>
    </row>
    <row r="55" spans="8:8" ht="15.75" hidden="1">
      <c r="H55" s="185"/>
      <c r="I55" s="183"/>
      <c r="J55" s="183"/>
      <c r="K55" s="183"/>
      <c r="L55" s="183"/>
      <c r="N55" s="183"/>
      <c r="O55" s="183"/>
      <c r="P55" s="183"/>
      <c r="Q55" s="183"/>
      <c r="R55" s="183"/>
      <c r="S55" s="183"/>
      <c r="T55" s="183"/>
      <c r="U55" s="183"/>
      <c r="V55" s="183"/>
      <c r="W55" s="183"/>
      <c r="X55" s="183"/>
      <c r="Y55" s="183"/>
      <c r="Z55" s="183"/>
      <c r="AA55" s="183"/>
      <c r="AB55" s="183"/>
    </row>
    <row r="56" spans="8:8" ht="15.75" hidden="1">
      <c r="H56" s="185"/>
      <c r="I56" s="183"/>
      <c r="J56" s="183"/>
      <c r="K56" s="183"/>
      <c r="L56" s="183"/>
      <c r="N56" s="183"/>
      <c r="O56" s="183"/>
      <c r="P56" s="183"/>
      <c r="Q56" s="183"/>
      <c r="R56" s="183"/>
      <c r="S56" s="183"/>
      <c r="T56" s="183"/>
      <c r="U56" s="183"/>
      <c r="V56" s="183"/>
      <c r="W56" s="183"/>
      <c r="X56" s="183"/>
      <c r="Y56" s="183"/>
      <c r="Z56" s="183"/>
      <c r="AA56" s="183"/>
      <c r="AB56" s="183"/>
    </row>
    <row r="57" spans="8:8" ht="15.75" hidden="1">
      <c r="F57" s="183"/>
      <c r="H57" s="185"/>
      <c r="I57" s="183"/>
      <c r="J57" s="183"/>
      <c r="K57" s="183"/>
      <c r="L57" s="183"/>
      <c r="N57" s="183"/>
      <c r="O57" s="183"/>
      <c r="P57" s="183"/>
      <c r="Q57" s="183"/>
      <c r="R57" s="183"/>
      <c r="S57" s="183"/>
      <c r="T57" s="183"/>
      <c r="U57" s="183"/>
      <c r="V57" s="183"/>
      <c r="W57" s="183"/>
      <c r="X57" s="183"/>
      <c r="Y57" s="183"/>
      <c r="Z57" s="183"/>
      <c r="AA57" s="183"/>
      <c r="AB57" s="183"/>
    </row>
    <row r="58" spans="8:8" ht="15.75" hidden="1">
      <c r="F58" s="183"/>
      <c r="H58" s="185"/>
      <c r="I58" s="183"/>
      <c r="J58" s="183"/>
      <c r="K58" s="183"/>
      <c r="L58" s="183"/>
      <c r="N58" s="183"/>
      <c r="O58" s="183"/>
      <c r="P58" s="183"/>
      <c r="Q58" s="183"/>
      <c r="R58" s="183"/>
      <c r="S58" s="183"/>
      <c r="T58" s="183"/>
      <c r="U58" s="183"/>
      <c r="V58" s="183"/>
      <c r="W58" s="183"/>
      <c r="X58" s="183"/>
      <c r="Y58" s="183"/>
      <c r="Z58" s="183"/>
      <c r="AA58" s="183"/>
      <c r="AB58" s="183"/>
    </row>
    <row r="59" spans="8:8" ht="15.75" hidden="1">
      <c r="F59" s="183"/>
      <c r="H59" s="185"/>
      <c r="I59" s="183"/>
      <c r="J59" s="183"/>
      <c r="K59" s="183"/>
      <c r="L59" s="183"/>
      <c r="N59" s="183"/>
      <c r="O59" s="183"/>
      <c r="P59" s="183"/>
      <c r="Q59" s="183"/>
      <c r="R59" s="183"/>
      <c r="S59" s="183"/>
      <c r="T59" s="183"/>
      <c r="U59" s="183"/>
      <c r="V59" s="183"/>
      <c r="W59" s="183"/>
      <c r="X59" s="183"/>
      <c r="Y59" s="183"/>
      <c r="Z59" s="183"/>
      <c r="AA59" s="183"/>
      <c r="AB59" s="183"/>
    </row>
    <row r="60" spans="8:8" ht="15.75" hidden="1">
      <c r="F60" s="183"/>
      <c r="H60" s="185"/>
      <c r="I60" s="183"/>
      <c r="J60" s="183"/>
      <c r="K60" s="183"/>
      <c r="L60" s="183"/>
      <c r="N60" s="183"/>
      <c r="O60" s="183"/>
      <c r="P60" s="183"/>
      <c r="Q60" s="183"/>
      <c r="R60" s="183"/>
      <c r="S60" s="183"/>
      <c r="T60" s="183"/>
      <c r="U60" s="183"/>
      <c r="V60" s="183"/>
      <c r="W60" s="183"/>
      <c r="X60" s="183"/>
      <c r="Y60" s="183"/>
      <c r="Z60" s="183"/>
      <c r="AA60" s="183"/>
      <c r="AB60" s="183"/>
    </row>
    <row r="61" spans="8:8" ht="15.75" hidden="1">
      <c r="F61" s="183"/>
      <c r="H61" s="185"/>
      <c r="I61" s="183"/>
      <c r="J61" s="183"/>
      <c r="K61" s="183"/>
      <c r="L61" s="183"/>
      <c r="N61" s="183"/>
      <c r="O61" s="183"/>
      <c r="P61" s="183"/>
      <c r="Q61" s="183"/>
      <c r="R61" s="183"/>
      <c r="S61" s="183"/>
      <c r="T61" s="183"/>
      <c r="U61" s="183"/>
      <c r="V61" s="183"/>
      <c r="W61" s="183"/>
      <c r="X61" s="183"/>
      <c r="Y61" s="183"/>
      <c r="Z61" s="183"/>
      <c r="AA61" s="183"/>
      <c r="AB61" s="183"/>
    </row>
    <row r="62" spans="8:8" ht="15.75" hidden="1">
      <c r="F62" s="183"/>
      <c r="H62" s="185"/>
      <c r="I62" s="183"/>
      <c r="J62" s="183"/>
      <c r="K62" s="183"/>
      <c r="L62" s="183"/>
      <c r="N62" s="183"/>
      <c r="O62" s="183"/>
      <c r="P62" s="183"/>
      <c r="Q62" s="183"/>
      <c r="R62" s="183"/>
      <c r="S62" s="183"/>
      <c r="T62" s="183"/>
      <c r="U62" s="183"/>
      <c r="V62" s="183"/>
      <c r="W62" s="183"/>
      <c r="X62" s="183"/>
      <c r="Y62" s="183"/>
      <c r="Z62" s="183"/>
      <c r="AA62" s="183"/>
      <c r="AB62" s="183"/>
    </row>
    <row r="63" spans="8:8" ht="15.75" hidden="1">
      <c r="F63" s="183"/>
      <c r="H63" s="185"/>
      <c r="I63" s="183"/>
      <c r="J63" s="183"/>
      <c r="K63" s="183"/>
      <c r="L63" s="183"/>
      <c r="N63" s="183"/>
      <c r="O63" s="183"/>
      <c r="P63" s="183"/>
      <c r="Q63" s="183"/>
      <c r="R63" s="183"/>
      <c r="S63" s="183"/>
      <c r="T63" s="183"/>
      <c r="U63" s="183"/>
      <c r="V63" s="183"/>
      <c r="W63" s="183"/>
      <c r="X63" s="183"/>
      <c r="Y63" s="183"/>
      <c r="Z63" s="183"/>
      <c r="AA63" s="183"/>
      <c r="AB63" s="183"/>
    </row>
    <row r="64" spans="8:8" ht="15.75" hidden="1">
      <c r="F64" s="183"/>
      <c r="H64" s="185"/>
      <c r="I64" s="183"/>
      <c r="J64" s="183"/>
      <c r="K64" s="183"/>
      <c r="L64" s="183"/>
      <c r="N64" s="183"/>
      <c r="O64" s="183"/>
      <c r="P64" s="183"/>
      <c r="Q64" s="183"/>
      <c r="R64" s="183"/>
      <c r="S64" s="183"/>
      <c r="T64" s="183"/>
      <c r="U64" s="183"/>
      <c r="V64" s="183"/>
      <c r="W64" s="183"/>
      <c r="X64" s="183"/>
      <c r="Y64" s="183"/>
      <c r="Z64" s="183"/>
      <c r="AA64" s="183"/>
      <c r="AB64" s="183"/>
    </row>
    <row r="65" spans="8:8" ht="15.75" hidden="1">
      <c r="F65" s="183"/>
      <c r="H65" s="185"/>
      <c r="I65" s="183"/>
      <c r="J65" s="183"/>
      <c r="K65" s="183"/>
      <c r="L65" s="183"/>
      <c r="N65" s="183"/>
      <c r="O65" s="183"/>
      <c r="P65" s="183"/>
      <c r="Q65" s="183"/>
      <c r="R65" s="183"/>
      <c r="S65" s="183"/>
      <c r="T65" s="183"/>
      <c r="U65" s="183"/>
      <c r="V65" s="183"/>
      <c r="W65" s="183"/>
      <c r="X65" s="183"/>
      <c r="Y65" s="183"/>
      <c r="Z65" s="183"/>
      <c r="AA65" s="183"/>
      <c r="AB65" s="183"/>
    </row>
    <row r="66" spans="8:8" ht="15.75" hidden="1">
      <c r="F66" s="183"/>
      <c r="H66" s="185"/>
      <c r="I66" s="183"/>
      <c r="J66" s="183"/>
      <c r="K66" s="183"/>
      <c r="L66" s="183"/>
      <c r="N66" s="183"/>
      <c r="O66" s="183"/>
      <c r="P66" s="183"/>
      <c r="Q66" s="183"/>
      <c r="R66" s="183"/>
      <c r="S66" s="183"/>
      <c r="T66" s="183"/>
      <c r="U66" s="183"/>
      <c r="V66" s="183"/>
      <c r="W66" s="183"/>
      <c r="X66" s="183"/>
      <c r="Y66" s="183"/>
      <c r="Z66" s="183"/>
      <c r="AA66" s="183"/>
      <c r="AB66" s="183"/>
    </row>
    <row r="67" spans="8:8" ht="15.75" hidden="1">
      <c r="F67" s="183"/>
      <c r="H67" s="185"/>
      <c r="I67" s="183"/>
      <c r="J67" s="183"/>
      <c r="K67" s="183"/>
      <c r="L67" s="183"/>
      <c r="N67" s="183"/>
      <c r="O67" s="183"/>
      <c r="P67" s="183"/>
      <c r="Q67" s="183"/>
      <c r="R67" s="183"/>
      <c r="S67" s="183"/>
      <c r="T67" s="183"/>
      <c r="U67" s="183"/>
      <c r="V67" s="183"/>
      <c r="W67" s="183"/>
      <c r="X67" s="183"/>
      <c r="Y67" s="183"/>
      <c r="Z67" s="183"/>
      <c r="AA67" s="183"/>
      <c r="AB67" s="183"/>
    </row>
    <row r="68" spans="8:8" ht="15.75" hidden="1">
      <c r="F68" s="183"/>
      <c r="H68" s="185"/>
      <c r="I68" s="183"/>
      <c r="J68" s="183"/>
      <c r="K68" s="183"/>
      <c r="L68" s="183"/>
      <c r="N68" s="183"/>
      <c r="O68" s="183"/>
      <c r="P68" s="183"/>
      <c r="Q68" s="183"/>
      <c r="R68" s="183"/>
      <c r="S68" s="183"/>
      <c r="T68" s="183"/>
      <c r="U68" s="183"/>
      <c r="V68" s="183"/>
      <c r="W68" s="183"/>
      <c r="X68" s="183"/>
      <c r="Y68" s="183"/>
      <c r="Z68" s="183"/>
      <c r="AA68" s="183"/>
      <c r="AB68" s="183"/>
    </row>
    <row r="69" spans="8:8" ht="15.75" hidden="1">
      <c r="F69" s="183"/>
      <c r="H69" s="185"/>
      <c r="I69" s="183"/>
      <c r="J69" s="183"/>
      <c r="K69" s="183"/>
      <c r="L69" s="183"/>
      <c r="N69" s="183"/>
      <c r="O69" s="183"/>
      <c r="P69" s="183"/>
      <c r="Q69" s="183"/>
      <c r="R69" s="183"/>
      <c r="S69" s="183"/>
      <c r="T69" s="183"/>
      <c r="U69" s="183"/>
      <c r="V69" s="183"/>
      <c r="W69" s="183"/>
      <c r="X69" s="183"/>
      <c r="Y69" s="183"/>
      <c r="Z69" s="183"/>
      <c r="AA69" s="183"/>
      <c r="AB69" s="183"/>
    </row>
    <row r="70" spans="8:8" ht="15.75" hidden="1">
      <c r="F70" s="183"/>
      <c r="H70" s="185"/>
      <c r="I70" s="183"/>
      <c r="J70" s="183"/>
      <c r="K70" s="183"/>
      <c r="L70" s="183"/>
      <c r="N70" s="183"/>
      <c r="O70" s="183"/>
      <c r="P70" s="183"/>
      <c r="Q70" s="183"/>
      <c r="R70" s="183"/>
      <c r="S70" s="183"/>
      <c r="T70" s="183"/>
      <c r="U70" s="183"/>
      <c r="V70" s="183"/>
      <c r="W70" s="183"/>
      <c r="X70" s="183"/>
      <c r="Y70" s="183"/>
      <c r="Z70" s="183"/>
      <c r="AA70" s="183"/>
      <c r="AB70" s="183"/>
    </row>
    <row r="71" spans="8:8" ht="15.75" hidden="1">
      <c r="F71" s="183"/>
      <c r="H71" s="185"/>
      <c r="I71" s="183"/>
      <c r="J71" s="183"/>
      <c r="K71" s="183"/>
      <c r="L71" s="183"/>
      <c r="N71" s="183"/>
      <c r="O71" s="183"/>
      <c r="P71" s="183"/>
      <c r="Q71" s="183"/>
      <c r="R71" s="183"/>
      <c r="S71" s="183"/>
      <c r="T71" s="183"/>
      <c r="U71" s="183"/>
      <c r="V71" s="183"/>
      <c r="W71" s="183"/>
      <c r="X71" s="183"/>
      <c r="Y71" s="183"/>
      <c r="Z71" s="183"/>
      <c r="AA71" s="183"/>
      <c r="AB71" s="183"/>
    </row>
    <row r="72" spans="8:8" ht="15.75" hidden="1">
      <c r="F72" s="183"/>
      <c r="H72" s="185"/>
      <c r="I72" s="183"/>
      <c r="J72" s="183"/>
      <c r="K72" s="183"/>
      <c r="L72" s="183"/>
      <c r="N72" s="183"/>
      <c r="O72" s="183"/>
      <c r="P72" s="183"/>
      <c r="Q72" s="183"/>
      <c r="R72" s="183"/>
      <c r="S72" s="183"/>
      <c r="T72" s="183"/>
      <c r="U72" s="183"/>
      <c r="V72" s="183"/>
      <c r="W72" s="183"/>
      <c r="X72" s="183"/>
      <c r="Y72" s="183"/>
      <c r="Z72" s="183"/>
      <c r="AA72" s="183"/>
      <c r="AB72" s="183"/>
    </row>
    <row r="73" spans="8:8" ht="15.75" hidden="1">
      <c r="F73" s="183"/>
      <c r="H73" s="185"/>
      <c r="I73" s="183"/>
      <c r="J73" s="183"/>
      <c r="K73" s="183"/>
      <c r="L73" s="183"/>
      <c r="N73" s="183"/>
      <c r="O73" s="183"/>
      <c r="P73" s="183"/>
      <c r="Q73" s="183"/>
      <c r="R73" s="183"/>
      <c r="S73" s="183"/>
      <c r="T73" s="183"/>
      <c r="U73" s="183"/>
      <c r="V73" s="183"/>
      <c r="W73" s="183"/>
      <c r="X73" s="183"/>
      <c r="Y73" s="183"/>
      <c r="Z73" s="183"/>
      <c r="AA73" s="183"/>
      <c r="AB73" s="183"/>
    </row>
    <row r="74" spans="8:8" ht="15.75" hidden="1">
      <c r="F74" s="183"/>
      <c r="H74" s="185"/>
      <c r="I74" s="183"/>
      <c r="J74" s="183"/>
      <c r="K74" s="183"/>
      <c r="L74" s="183"/>
      <c r="N74" s="183"/>
      <c r="O74" s="183"/>
      <c r="P74" s="183"/>
      <c r="Q74" s="183"/>
      <c r="R74" s="183"/>
      <c r="S74" s="183"/>
      <c r="T74" s="183"/>
      <c r="U74" s="183"/>
      <c r="V74" s="183"/>
      <c r="W74" s="183"/>
      <c r="X74" s="183"/>
      <c r="Y74" s="183"/>
      <c r="Z74" s="183"/>
      <c r="AA74" s="183"/>
      <c r="AB74" s="183"/>
    </row>
    <row r="75" spans="8:8" ht="15.75" hidden="1">
      <c r="F75" s="183"/>
      <c r="H75" s="185"/>
      <c r="I75" s="183"/>
      <c r="J75" s="183"/>
      <c r="K75" s="183"/>
      <c r="L75" s="183"/>
      <c r="N75" s="183"/>
      <c r="O75" s="183"/>
      <c r="P75" s="183"/>
      <c r="Q75" s="183"/>
      <c r="R75" s="183"/>
      <c r="S75" s="183"/>
      <c r="T75" s="183"/>
      <c r="U75" s="183"/>
      <c r="V75" s="183"/>
      <c r="W75" s="183"/>
      <c r="X75" s="183"/>
      <c r="Y75" s="183"/>
      <c r="Z75" s="183"/>
      <c r="AA75" s="183"/>
      <c r="AB75" s="183"/>
    </row>
    <row r="76" spans="8:8" ht="15.75" hidden="1">
      <c r="F76" s="183"/>
      <c r="H76" s="185"/>
      <c r="I76" s="183"/>
      <c r="J76" s="183"/>
      <c r="K76" s="183"/>
      <c r="L76" s="183"/>
      <c r="N76" s="183"/>
      <c r="O76" s="183"/>
      <c r="P76" s="183"/>
      <c r="Q76" s="183"/>
      <c r="R76" s="183"/>
      <c r="S76" s="183"/>
      <c r="T76" s="183"/>
      <c r="U76" s="183"/>
      <c r="V76" s="183"/>
      <c r="W76" s="183"/>
      <c r="X76" s="183"/>
      <c r="Y76" s="183"/>
      <c r="Z76" s="183"/>
      <c r="AA76" s="183"/>
      <c r="AB76" s="183"/>
    </row>
    <row r="77" spans="8:8" ht="15.75" hidden="1">
      <c r="F77" s="183"/>
      <c r="H77" s="185"/>
      <c r="I77" s="183"/>
      <c r="J77" s="183"/>
      <c r="K77" s="183"/>
      <c r="L77" s="183"/>
      <c r="N77" s="183"/>
      <c r="O77" s="183"/>
      <c r="P77" s="183"/>
      <c r="Q77" s="183"/>
      <c r="R77" s="183"/>
      <c r="S77" s="183"/>
      <c r="T77" s="183"/>
      <c r="U77" s="183"/>
      <c r="V77" s="183"/>
      <c r="W77" s="183"/>
      <c r="X77" s="183"/>
      <c r="Y77" s="183"/>
      <c r="Z77" s="183"/>
      <c r="AA77" s="183"/>
      <c r="AB77" s="183"/>
    </row>
    <row r="78" spans="8:8" ht="15.75" hidden="1">
      <c r="F78" s="183"/>
      <c r="H78" s="185"/>
      <c r="I78" s="183"/>
      <c r="J78" s="183"/>
      <c r="K78" s="183"/>
      <c r="L78" s="183"/>
      <c r="N78" s="183"/>
      <c r="O78" s="183"/>
      <c r="P78" s="183"/>
      <c r="Q78" s="183"/>
      <c r="R78" s="183"/>
      <c r="S78" s="183"/>
      <c r="T78" s="183"/>
      <c r="U78" s="183"/>
      <c r="V78" s="183"/>
      <c r="W78" s="183"/>
      <c r="X78" s="183"/>
      <c r="Y78" s="183"/>
      <c r="Z78" s="183"/>
      <c r="AA78" s="183"/>
      <c r="AB78" s="183"/>
    </row>
    <row r="79" spans="8:8" ht="15.75" hidden="1">
      <c r="F79" s="183"/>
      <c r="H79" s="185"/>
      <c r="I79" s="183"/>
      <c r="J79" s="183"/>
      <c r="K79" s="183"/>
      <c r="L79" s="183"/>
      <c r="N79" s="183"/>
      <c r="O79" s="183"/>
      <c r="P79" s="183"/>
      <c r="Q79" s="183"/>
      <c r="R79" s="183"/>
      <c r="S79" s="183"/>
      <c r="T79" s="183"/>
      <c r="U79" s="183"/>
      <c r="V79" s="183"/>
      <c r="W79" s="183"/>
      <c r="X79" s="183"/>
      <c r="Y79" s="183"/>
      <c r="Z79" s="183"/>
      <c r="AA79" s="183"/>
      <c r="AB79" s="183"/>
    </row>
    <row r="80" spans="8:8" ht="15.75" hidden="1">
      <c r="F80" s="183"/>
      <c r="H80" s="185"/>
      <c r="I80" s="183"/>
      <c r="J80" s="183"/>
      <c r="K80" s="183"/>
      <c r="L80" s="183"/>
      <c r="N80" s="183"/>
      <c r="O80" s="183"/>
      <c r="P80" s="183"/>
      <c r="Q80" s="183"/>
      <c r="R80" s="183"/>
      <c r="S80" s="183"/>
      <c r="T80" s="183"/>
      <c r="U80" s="183"/>
      <c r="V80" s="183"/>
      <c r="W80" s="183"/>
      <c r="X80" s="183"/>
      <c r="Y80" s="183"/>
      <c r="Z80" s="183"/>
      <c r="AA80" s="183"/>
      <c r="AB80" s="183"/>
    </row>
    <row r="81" spans="8:8" ht="15.75" hidden="1">
      <c r="F81" s="183"/>
      <c r="H81" s="185"/>
      <c r="I81" s="183"/>
      <c r="J81" s="183"/>
      <c r="K81" s="183"/>
      <c r="L81" s="183"/>
      <c r="N81" s="183"/>
      <c r="O81" s="183"/>
      <c r="P81" s="183"/>
      <c r="Q81" s="183"/>
      <c r="R81" s="183"/>
      <c r="S81" s="183"/>
      <c r="T81" s="183"/>
      <c r="U81" s="183"/>
      <c r="V81" s="183"/>
      <c r="W81" s="183"/>
      <c r="X81" s="183"/>
      <c r="Y81" s="183"/>
      <c r="Z81" s="183"/>
      <c r="AA81" s="183"/>
      <c r="AB81" s="183"/>
    </row>
    <row r="82" spans="8:8" ht="15.75" hidden="1">
      <c r="F82" s="183"/>
      <c r="H82" s="185"/>
      <c r="I82" s="183"/>
      <c r="J82" s="183"/>
      <c r="K82" s="183"/>
      <c r="L82" s="183"/>
      <c r="N82" s="183"/>
      <c r="O82" s="183"/>
      <c r="P82" s="183"/>
      <c r="Q82" s="183"/>
      <c r="R82" s="183"/>
      <c r="S82" s="183"/>
      <c r="T82" s="183"/>
      <c r="U82" s="183"/>
      <c r="V82" s="183"/>
      <c r="W82" s="183"/>
      <c r="X82" s="183"/>
      <c r="Y82" s="183"/>
      <c r="Z82" s="183"/>
      <c r="AA82" s="183"/>
      <c r="AB82" s="183"/>
    </row>
    <row r="83" spans="8:8" ht="15.75" hidden="1">
      <c r="F83" s="183"/>
      <c r="H83" s="185"/>
      <c r="I83" s="183"/>
      <c r="J83" s="183"/>
      <c r="K83" s="183"/>
      <c r="L83" s="183"/>
      <c r="N83" s="183"/>
      <c r="O83" s="183"/>
      <c r="P83" s="183"/>
      <c r="Q83" s="183"/>
      <c r="R83" s="183"/>
      <c r="S83" s="183"/>
      <c r="T83" s="183"/>
      <c r="U83" s="183"/>
      <c r="V83" s="183"/>
      <c r="W83" s="183"/>
      <c r="X83" s="183"/>
      <c r="Y83" s="183"/>
      <c r="Z83" s="183"/>
      <c r="AA83" s="183"/>
      <c r="AB83" s="183"/>
    </row>
    <row r="84" spans="8:8" ht="15.75" hidden="1">
      <c r="F84" s="183"/>
      <c r="H84" s="185"/>
      <c r="I84" s="183"/>
      <c r="J84" s="183"/>
      <c r="K84" s="183"/>
      <c r="L84" s="183"/>
      <c r="N84" s="183"/>
      <c r="O84" s="183"/>
      <c r="P84" s="183"/>
      <c r="Q84" s="183"/>
      <c r="R84" s="183"/>
      <c r="S84" s="183"/>
      <c r="T84" s="183"/>
      <c r="U84" s="183"/>
      <c r="V84" s="183"/>
      <c r="W84" s="183"/>
      <c r="X84" s="183"/>
      <c r="Y84" s="183"/>
      <c r="Z84" s="183"/>
      <c r="AA84" s="183"/>
      <c r="AB84" s="183"/>
    </row>
    <row r="85" spans="8:8" ht="15.75" hidden="1">
      <c r="F85" s="183"/>
      <c r="H85" s="185"/>
      <c r="I85" s="183"/>
      <c r="J85" s="183"/>
      <c r="K85" s="183"/>
      <c r="L85" s="183"/>
      <c r="N85" s="183"/>
      <c r="O85" s="183"/>
      <c r="P85" s="183"/>
      <c r="Q85" s="183"/>
      <c r="R85" s="183"/>
      <c r="S85" s="183"/>
      <c r="T85" s="183"/>
      <c r="U85" s="183"/>
      <c r="V85" s="183"/>
      <c r="W85" s="183"/>
      <c r="X85" s="183"/>
      <c r="Y85" s="183"/>
      <c r="Z85" s="183"/>
      <c r="AA85" s="183"/>
      <c r="AB85" s="183"/>
    </row>
    <row r="86" spans="8:8" ht="15.75" hidden="1">
      <c r="F86" s="183"/>
      <c r="H86" s="185"/>
      <c r="I86" s="183"/>
      <c r="J86" s="183"/>
      <c r="K86" s="183"/>
      <c r="L86" s="183"/>
      <c r="N86" s="183"/>
      <c r="O86" s="183"/>
      <c r="P86" s="183"/>
      <c r="Q86" s="183"/>
      <c r="R86" s="183"/>
      <c r="S86" s="183"/>
      <c r="T86" s="183"/>
      <c r="U86" s="183"/>
      <c r="V86" s="183"/>
      <c r="W86" s="183"/>
      <c r="X86" s="183"/>
      <c r="Y86" s="183"/>
      <c r="Z86" s="183"/>
      <c r="AA86" s="183"/>
      <c r="AB86" s="183"/>
    </row>
    <row r="87" spans="8:8" ht="15.75" hidden="1">
      <c r="F87" s="183"/>
      <c r="H87" s="185"/>
      <c r="I87" s="183"/>
      <c r="J87" s="183"/>
      <c r="K87" s="183"/>
      <c r="L87" s="183"/>
      <c r="N87" s="183"/>
      <c r="O87" s="183"/>
      <c r="P87" s="183"/>
      <c r="Q87" s="183"/>
      <c r="R87" s="183"/>
      <c r="S87" s="183"/>
      <c r="T87" s="183"/>
      <c r="U87" s="183"/>
      <c r="V87" s="183"/>
      <c r="W87" s="183"/>
      <c r="X87" s="183"/>
      <c r="Y87" s="183"/>
      <c r="Z87" s="183"/>
      <c r="AA87" s="183"/>
      <c r="AB87" s="183"/>
    </row>
    <row r="88" spans="8:8" ht="15.75" hidden="1">
      <c r="F88" s="183"/>
      <c r="H88" s="185"/>
      <c r="I88" s="183"/>
      <c r="J88" s="183"/>
      <c r="K88" s="183"/>
      <c r="L88" s="183"/>
      <c r="N88" s="183"/>
      <c r="O88" s="183"/>
      <c r="P88" s="183"/>
      <c r="Q88" s="183"/>
      <c r="R88" s="183"/>
      <c r="S88" s="183"/>
      <c r="T88" s="183"/>
      <c r="U88" s="183"/>
      <c r="V88" s="183"/>
      <c r="W88" s="183"/>
      <c r="X88" s="183"/>
      <c r="Y88" s="183"/>
      <c r="Z88" s="183"/>
      <c r="AA88" s="183"/>
      <c r="AB88" s="183"/>
    </row>
    <row r="89" spans="8:8" ht="15.75" hidden="1">
      <c r="F89" s="183"/>
      <c r="H89" s="185"/>
      <c r="I89" s="183"/>
      <c r="J89" s="183"/>
      <c r="K89" s="183"/>
      <c r="L89" s="183"/>
      <c r="N89" s="183"/>
      <c r="O89" s="183"/>
      <c r="P89" s="183"/>
      <c r="Q89" s="183"/>
      <c r="R89" s="183"/>
      <c r="S89" s="183"/>
      <c r="T89" s="183"/>
      <c r="U89" s="183"/>
      <c r="V89" s="183"/>
      <c r="W89" s="183"/>
      <c r="X89" s="183"/>
      <c r="Y89" s="183"/>
      <c r="Z89" s="183"/>
      <c r="AA89" s="183"/>
      <c r="AB89" s="183"/>
    </row>
    <row r="90" spans="8:8" ht="15.75" hidden="1">
      <c r="F90" s="183"/>
      <c r="H90" s="185"/>
      <c r="I90" s="183"/>
      <c r="J90" s="183"/>
      <c r="K90" s="183"/>
      <c r="L90" s="183"/>
      <c r="N90" s="183"/>
      <c r="O90" s="183"/>
      <c r="P90" s="183"/>
      <c r="Q90" s="183"/>
      <c r="R90" s="183"/>
      <c r="S90" s="183"/>
      <c r="T90" s="183"/>
      <c r="U90" s="183"/>
      <c r="V90" s="183"/>
      <c r="W90" s="183"/>
      <c r="X90" s="183"/>
      <c r="Y90" s="183"/>
      <c r="Z90" s="183"/>
      <c r="AA90" s="183"/>
      <c r="AB90" s="183"/>
    </row>
    <row r="91" spans="8:8" ht="15.75" hidden="1">
      <c r="F91" s="183"/>
      <c r="H91" s="185"/>
      <c r="I91" s="183"/>
      <c r="J91" s="183"/>
      <c r="K91" s="183"/>
      <c r="L91" s="183"/>
      <c r="N91" s="183"/>
      <c r="O91" s="183"/>
      <c r="P91" s="183"/>
      <c r="Q91" s="183"/>
      <c r="R91" s="183"/>
      <c r="S91" s="183"/>
      <c r="T91" s="183"/>
      <c r="U91" s="183"/>
      <c r="V91" s="183"/>
      <c r="W91" s="183"/>
      <c r="X91" s="183"/>
      <c r="Y91" s="183"/>
      <c r="Z91" s="183"/>
      <c r="AA91" s="183"/>
      <c r="AB91" s="183"/>
    </row>
    <row r="92" spans="8:8" ht="15.75" hidden="1">
      <c r="F92" s="183"/>
      <c r="H92" s="185"/>
      <c r="I92" s="183"/>
      <c r="J92" s="183"/>
      <c r="K92" s="183"/>
      <c r="L92" s="183"/>
      <c r="N92" s="183"/>
      <c r="O92" s="183"/>
      <c r="P92" s="183"/>
      <c r="Q92" s="183"/>
      <c r="R92" s="183"/>
      <c r="S92" s="183"/>
      <c r="T92" s="183"/>
      <c r="U92" s="183"/>
      <c r="V92" s="183"/>
      <c r="W92" s="183"/>
      <c r="X92" s="183"/>
      <c r="Y92" s="183"/>
      <c r="Z92" s="183"/>
      <c r="AA92" s="183"/>
      <c r="AB92" s="183"/>
    </row>
    <row r="93" spans="8:8" ht="15.75" hidden="1">
      <c r="F93" s="183"/>
      <c r="H93" s="185"/>
      <c r="I93" s="183"/>
      <c r="J93" s="183"/>
      <c r="K93" s="183"/>
      <c r="L93" s="183"/>
      <c r="N93" s="183"/>
      <c r="O93" s="183"/>
      <c r="P93" s="183"/>
      <c r="Q93" s="183"/>
      <c r="R93" s="183"/>
      <c r="S93" s="183"/>
      <c r="T93" s="183"/>
      <c r="U93" s="183"/>
      <c r="V93" s="183"/>
      <c r="W93" s="183"/>
      <c r="X93" s="183"/>
      <c r="Y93" s="183"/>
      <c r="Z93" s="183"/>
      <c r="AA93" s="183"/>
      <c r="AB93" s="183"/>
    </row>
    <row r="94" spans="8:8" ht="15.75" hidden="1">
      <c r="F94" s="183"/>
      <c r="H94" s="185"/>
      <c r="I94" s="183"/>
      <c r="J94" s="183"/>
      <c r="K94" s="183"/>
      <c r="L94" s="183"/>
      <c r="N94" s="183"/>
      <c r="O94" s="183"/>
      <c r="P94" s="183"/>
      <c r="Q94" s="183"/>
      <c r="R94" s="183"/>
      <c r="S94" s="183"/>
      <c r="T94" s="183"/>
      <c r="U94" s="183"/>
      <c r="V94" s="183"/>
      <c r="W94" s="183"/>
      <c r="X94" s="183"/>
      <c r="Y94" s="183"/>
      <c r="Z94" s="183"/>
      <c r="AA94" s="183"/>
      <c r="AB94" s="183"/>
    </row>
    <row r="95" spans="8:8" ht="15.75" hidden="1">
      <c r="F95" s="183"/>
      <c r="H95" s="185"/>
      <c r="I95" s="183"/>
      <c r="J95" s="183"/>
      <c r="K95" s="183"/>
      <c r="L95" s="183"/>
      <c r="N95" s="183"/>
      <c r="O95" s="183"/>
      <c r="P95" s="183"/>
      <c r="Q95" s="183"/>
      <c r="R95" s="183"/>
      <c r="S95" s="183"/>
      <c r="T95" s="183"/>
      <c r="U95" s="183"/>
      <c r="V95" s="183"/>
      <c r="W95" s="183"/>
      <c r="X95" s="183"/>
      <c r="Y95" s="183"/>
      <c r="Z95" s="183"/>
      <c r="AA95" s="183"/>
      <c r="AB95" s="183"/>
    </row>
    <row r="96" spans="8:8" ht="15.75" hidden="1">
      <c r="F96" s="183"/>
      <c r="H96" s="185"/>
      <c r="I96" s="183"/>
      <c r="J96" s="183"/>
      <c r="K96" s="183"/>
      <c r="L96" s="183"/>
      <c r="N96" s="183"/>
      <c r="O96" s="183"/>
      <c r="P96" s="183"/>
      <c r="Q96" s="183"/>
      <c r="R96" s="183"/>
      <c r="S96" s="183"/>
      <c r="T96" s="183"/>
      <c r="U96" s="183"/>
      <c r="V96" s="183"/>
      <c r="W96" s="183"/>
      <c r="X96" s="183"/>
      <c r="Y96" s="183"/>
      <c r="Z96" s="183"/>
      <c r="AA96" s="183"/>
      <c r="AB96" s="183"/>
    </row>
    <row r="97" spans="8:8" ht="15.75" hidden="1">
      <c r="F97" s="183"/>
      <c r="H97" s="185"/>
      <c r="I97" s="183"/>
      <c r="J97" s="183"/>
      <c r="K97" s="183"/>
      <c r="L97" s="183"/>
      <c r="N97" s="183"/>
      <c r="O97" s="183"/>
      <c r="P97" s="183"/>
      <c r="Q97" s="183"/>
      <c r="R97" s="183"/>
      <c r="S97" s="183"/>
      <c r="T97" s="183"/>
      <c r="U97" s="183"/>
      <c r="V97" s="183"/>
      <c r="W97" s="183"/>
      <c r="X97" s="183"/>
      <c r="Y97" s="183"/>
      <c r="Z97" s="183"/>
      <c r="AA97" s="183"/>
      <c r="AB97" s="183"/>
    </row>
    <row r="98" spans="8:8" ht="15.75" hidden="1">
      <c r="F98" s="183"/>
      <c r="H98" s="185"/>
      <c r="I98" s="183"/>
      <c r="J98" s="183"/>
      <c r="K98" s="183"/>
      <c r="L98" s="183"/>
      <c r="N98" s="183"/>
      <c r="O98" s="183"/>
      <c r="P98" s="183"/>
      <c r="Q98" s="183"/>
      <c r="R98" s="183"/>
      <c r="S98" s="183"/>
      <c r="T98" s="183"/>
      <c r="U98" s="183"/>
      <c r="V98" s="183"/>
      <c r="W98" s="183"/>
      <c r="X98" s="183"/>
      <c r="Y98" s="183"/>
      <c r="Z98" s="183"/>
      <c r="AA98" s="183"/>
      <c r="AB98" s="183"/>
    </row>
    <row r="99" spans="8:8" ht="15.75" hidden="1">
      <c r="F99" s="183"/>
      <c r="H99" s="185"/>
      <c r="I99" s="183"/>
      <c r="J99" s="183"/>
      <c r="K99" s="183"/>
      <c r="L99" s="183"/>
      <c r="N99" s="183"/>
      <c r="O99" s="183"/>
      <c r="P99" s="183"/>
      <c r="Q99" s="183"/>
      <c r="R99" s="183"/>
      <c r="S99" s="183"/>
      <c r="T99" s="183"/>
      <c r="U99" s="183"/>
      <c r="V99" s="183"/>
      <c r="W99" s="183"/>
      <c r="X99" s="183"/>
      <c r="Y99" s="183"/>
      <c r="Z99" s="183"/>
      <c r="AA99" s="183"/>
      <c r="AB99" s="183"/>
    </row>
    <row r="100" spans="8:8" ht="15.75" hidden="1">
      <c r="F100" s="183"/>
      <c r="H100" s="185"/>
      <c r="I100" s="183"/>
      <c r="J100" s="183"/>
      <c r="K100" s="183"/>
      <c r="L100" s="183"/>
      <c r="N100" s="183"/>
      <c r="O100" s="183"/>
      <c r="P100" s="183"/>
      <c r="Q100" s="183"/>
      <c r="R100" s="183"/>
      <c r="S100" s="183"/>
      <c r="T100" s="183"/>
      <c r="U100" s="183"/>
      <c r="V100" s="183"/>
      <c r="W100" s="183"/>
      <c r="X100" s="183"/>
      <c r="Y100" s="183"/>
      <c r="Z100" s="183"/>
      <c r="AA100" s="183"/>
      <c r="AB100" s="183"/>
    </row>
    <row r="101" spans="8:8" ht="15.75" hidden="1">
      <c r="F101" s="183"/>
      <c r="H101" s="185"/>
      <c r="I101" s="183"/>
      <c r="J101" s="183"/>
      <c r="K101" s="183"/>
      <c r="L101" s="183"/>
      <c r="N101" s="183"/>
      <c r="O101" s="183"/>
      <c r="P101" s="183"/>
      <c r="Q101" s="183"/>
      <c r="R101" s="183"/>
      <c r="S101" s="183"/>
      <c r="T101" s="183"/>
      <c r="U101" s="183"/>
      <c r="V101" s="183"/>
      <c r="W101" s="183"/>
      <c r="X101" s="183"/>
      <c r="Y101" s="183"/>
      <c r="Z101" s="183"/>
      <c r="AA101" s="183"/>
      <c r="AB101" s="183"/>
    </row>
    <row r="102" spans="8:8" ht="15.75" hidden="1">
      <c r="F102" s="183"/>
      <c r="H102" s="185"/>
      <c r="I102" s="183"/>
      <c r="J102" s="183"/>
      <c r="K102" s="183"/>
      <c r="L102" s="183"/>
      <c r="N102" s="183"/>
      <c r="O102" s="183"/>
      <c r="P102" s="183"/>
      <c r="Q102" s="183"/>
      <c r="R102" s="183"/>
      <c r="S102" s="183"/>
      <c r="T102" s="183"/>
      <c r="U102" s="183"/>
      <c r="V102" s="183"/>
      <c r="W102" s="183"/>
      <c r="X102" s="183"/>
      <c r="Y102" s="183"/>
      <c r="Z102" s="183"/>
      <c r="AA102" s="183"/>
      <c r="AB102" s="183"/>
    </row>
    <row r="103" spans="8:8" ht="15.75" hidden="1">
      <c r="F103" s="183"/>
      <c r="H103" s="185"/>
      <c r="I103" s="183"/>
      <c r="J103" s="183"/>
      <c r="K103" s="183"/>
      <c r="L103" s="183"/>
      <c r="N103" s="183"/>
      <c r="O103" s="183"/>
      <c r="P103" s="183"/>
      <c r="Q103" s="183"/>
      <c r="R103" s="183"/>
      <c r="S103" s="183"/>
      <c r="T103" s="183"/>
      <c r="U103" s="183"/>
      <c r="V103" s="183"/>
      <c r="W103" s="183"/>
      <c r="X103" s="183"/>
      <c r="Y103" s="183"/>
      <c r="Z103" s="183"/>
      <c r="AA103" s="183"/>
      <c r="AB103" s="183"/>
    </row>
    <row r="104" spans="8:8" ht="15.75" hidden="1">
      <c r="F104" s="183"/>
      <c r="H104" s="185"/>
      <c r="I104" s="183"/>
      <c r="J104" s="183"/>
      <c r="K104" s="183"/>
      <c r="L104" s="183"/>
      <c r="N104" s="183"/>
      <c r="O104" s="183"/>
      <c r="P104" s="183"/>
      <c r="Q104" s="183"/>
      <c r="R104" s="183"/>
      <c r="S104" s="183"/>
      <c r="T104" s="183"/>
      <c r="U104" s="183"/>
      <c r="V104" s="183"/>
      <c r="W104" s="183"/>
      <c r="X104" s="183"/>
      <c r="Y104" s="183"/>
      <c r="Z104" s="183"/>
      <c r="AA104" s="183"/>
      <c r="AB104" s="183"/>
    </row>
    <row r="105" spans="8:8" ht="15.75" hidden="1">
      <c r="F105" s="183"/>
      <c r="H105" s="185"/>
      <c r="I105" s="183"/>
      <c r="J105" s="183"/>
      <c r="K105" s="183"/>
      <c r="L105" s="183"/>
      <c r="N105" s="183"/>
      <c r="O105" s="183"/>
      <c r="P105" s="183"/>
      <c r="Q105" s="183"/>
      <c r="R105" s="183"/>
      <c r="S105" s="183"/>
      <c r="T105" s="183"/>
      <c r="U105" s="183"/>
      <c r="V105" s="183"/>
      <c r="W105" s="183"/>
      <c r="X105" s="183"/>
      <c r="Y105" s="183"/>
      <c r="Z105" s="183"/>
      <c r="AA105" s="183"/>
      <c r="AB105" s="183"/>
    </row>
    <row r="106" spans="8:8" ht="15.75" hidden="1">
      <c r="F106" s="183"/>
      <c r="H106" s="185"/>
      <c r="I106" s="183"/>
      <c r="J106" s="183"/>
      <c r="K106" s="183"/>
      <c r="L106" s="183"/>
      <c r="N106" s="183"/>
      <c r="O106" s="183"/>
      <c r="P106" s="183"/>
      <c r="Q106" s="183"/>
      <c r="R106" s="183"/>
      <c r="S106" s="183"/>
      <c r="T106" s="183"/>
      <c r="U106" s="183"/>
      <c r="V106" s="183"/>
      <c r="W106" s="183"/>
      <c r="X106" s="183"/>
      <c r="Y106" s="183"/>
      <c r="Z106" s="183"/>
      <c r="AA106" s="183"/>
      <c r="AB106" s="183"/>
    </row>
    <row r="107" spans="8:8" ht="15.75" hidden="1">
      <c r="F107" s="183"/>
      <c r="H107" s="185"/>
      <c r="I107" s="183"/>
      <c r="J107" s="183"/>
      <c r="K107" s="183"/>
      <c r="L107" s="183"/>
      <c r="N107" s="183"/>
      <c r="O107" s="183"/>
      <c r="P107" s="183"/>
      <c r="Q107" s="183"/>
      <c r="R107" s="183"/>
      <c r="S107" s="183"/>
      <c r="T107" s="183"/>
      <c r="U107" s="183"/>
      <c r="V107" s="183"/>
      <c r="W107" s="183"/>
      <c r="X107" s="183"/>
      <c r="Y107" s="183"/>
      <c r="Z107" s="183"/>
      <c r="AA107" s="183"/>
      <c r="AB107" s="183"/>
    </row>
    <row r="108" spans="8:8" ht="15.75" hidden="1">
      <c r="F108" s="183"/>
      <c r="H108" s="185"/>
      <c r="I108" s="183"/>
      <c r="J108" s="183"/>
      <c r="K108" s="183"/>
      <c r="L108" s="183"/>
      <c r="N108" s="183"/>
      <c r="O108" s="183"/>
      <c r="P108" s="183"/>
      <c r="Q108" s="183"/>
      <c r="R108" s="183"/>
      <c r="S108" s="183"/>
      <c r="T108" s="183"/>
      <c r="U108" s="183"/>
      <c r="V108" s="183"/>
      <c r="W108" s="183"/>
      <c r="X108" s="183"/>
      <c r="Y108" s="183"/>
      <c r="Z108" s="183"/>
      <c r="AA108" s="183"/>
      <c r="AB108" s="183"/>
    </row>
    <row r="109" spans="8:8" ht="15.75" hidden="1">
      <c r="F109" s="183"/>
      <c r="H109" s="185"/>
      <c r="I109" s="183"/>
      <c r="J109" s="183"/>
      <c r="K109" s="183"/>
      <c r="L109" s="183"/>
      <c r="N109" s="183"/>
      <c r="O109" s="183"/>
      <c r="P109" s="183"/>
      <c r="Q109" s="183"/>
      <c r="R109" s="183"/>
      <c r="S109" s="183"/>
      <c r="T109" s="183"/>
      <c r="U109" s="183"/>
      <c r="V109" s="183"/>
      <c r="W109" s="183"/>
      <c r="X109" s="183"/>
      <c r="Y109" s="183"/>
      <c r="Z109" s="183"/>
      <c r="AA109" s="183"/>
      <c r="AB109" s="183"/>
    </row>
    <row r="110" spans="8:8" ht="15.75" hidden="1">
      <c r="F110" s="183"/>
      <c r="H110" s="185"/>
      <c r="I110" s="183"/>
      <c r="J110" s="183"/>
      <c r="K110" s="183"/>
      <c r="L110" s="183"/>
      <c r="N110" s="183"/>
      <c r="O110" s="183"/>
      <c r="P110" s="183"/>
      <c r="Q110" s="183"/>
      <c r="R110" s="183"/>
      <c r="S110" s="183"/>
      <c r="T110" s="183"/>
      <c r="U110" s="183"/>
      <c r="V110" s="183"/>
      <c r="W110" s="183"/>
      <c r="X110" s="183"/>
      <c r="Y110" s="183"/>
      <c r="Z110" s="183"/>
      <c r="AA110" s="183"/>
      <c r="AB110" s="183"/>
    </row>
    <row r="111" spans="8:8" ht="15.75" hidden="1">
      <c r="F111" s="183"/>
      <c r="H111" s="185"/>
      <c r="I111" s="183"/>
      <c r="J111" s="183"/>
      <c r="K111" s="183"/>
      <c r="L111" s="183"/>
      <c r="N111" s="183"/>
      <c r="O111" s="183"/>
      <c r="P111" s="183"/>
      <c r="Q111" s="183"/>
      <c r="R111" s="183"/>
      <c r="S111" s="183"/>
      <c r="T111" s="183"/>
      <c r="U111" s="183"/>
      <c r="V111" s="183"/>
      <c r="W111" s="183"/>
      <c r="X111" s="183"/>
      <c r="Y111" s="183"/>
      <c r="Z111" s="183"/>
      <c r="AA111" s="183"/>
      <c r="AB111" s="183"/>
    </row>
    <row r="112" spans="8:8" ht="15.75" hidden="1">
      <c r="F112" s="183"/>
      <c r="H112" s="185"/>
      <c r="I112" s="183"/>
      <c r="J112" s="183"/>
      <c r="K112" s="183"/>
      <c r="L112" s="183"/>
      <c r="N112" s="183"/>
      <c r="O112" s="183"/>
      <c r="P112" s="183"/>
      <c r="Q112" s="183"/>
      <c r="R112" s="183"/>
      <c r="S112" s="183"/>
      <c r="T112" s="183"/>
      <c r="U112" s="183"/>
      <c r="V112" s="183"/>
      <c r="W112" s="183"/>
      <c r="X112" s="183"/>
      <c r="Y112" s="183"/>
      <c r="Z112" s="183"/>
      <c r="AA112" s="183"/>
      <c r="AB112" s="183"/>
    </row>
    <row r="113" spans="8:8" ht="15.75" hidden="1">
      <c r="F113" s="183"/>
      <c r="H113" s="185"/>
      <c r="I113" s="183"/>
      <c r="J113" s="183"/>
      <c r="K113" s="183"/>
      <c r="L113" s="183"/>
      <c r="N113" s="183"/>
      <c r="O113" s="183"/>
      <c r="P113" s="183"/>
      <c r="Q113" s="183"/>
      <c r="R113" s="183"/>
      <c r="S113" s="183"/>
      <c r="T113" s="183"/>
      <c r="U113" s="183"/>
      <c r="V113" s="183"/>
      <c r="W113" s="183"/>
      <c r="X113" s="183"/>
      <c r="Y113" s="183"/>
      <c r="Z113" s="183"/>
      <c r="AA113" s="183"/>
      <c r="AB113" s="183"/>
    </row>
    <row r="114" spans="8:8" ht="15.75" hidden="1">
      <c r="F114" s="183"/>
      <c r="H114" s="185"/>
      <c r="I114" s="183"/>
      <c r="J114" s="183"/>
      <c r="K114" s="183"/>
      <c r="L114" s="183"/>
      <c r="N114" s="183"/>
      <c r="O114" s="183"/>
      <c r="P114" s="183"/>
      <c r="Q114" s="183"/>
      <c r="R114" s="183"/>
      <c r="S114" s="183"/>
      <c r="T114" s="183"/>
      <c r="U114" s="183"/>
      <c r="V114" s="183"/>
      <c r="W114" s="183"/>
      <c r="X114" s="183"/>
      <c r="Y114" s="183"/>
      <c r="Z114" s="183"/>
      <c r="AA114" s="183"/>
      <c r="AB114" s="183"/>
    </row>
    <row r="115" spans="8:8" ht="15.75" hidden="1">
      <c r="F115" s="183"/>
      <c r="H115" s="185"/>
      <c r="I115" s="183"/>
      <c r="J115" s="183"/>
      <c r="K115" s="183"/>
      <c r="L115" s="183"/>
      <c r="N115" s="183"/>
      <c r="O115" s="183"/>
      <c r="P115" s="183"/>
      <c r="Q115" s="183"/>
      <c r="R115" s="183"/>
      <c r="S115" s="183"/>
      <c r="T115" s="183"/>
      <c r="U115" s="183"/>
      <c r="V115" s="183"/>
      <c r="W115" s="183"/>
      <c r="X115" s="183"/>
      <c r="Y115" s="183"/>
      <c r="Z115" s="183"/>
      <c r="AA115" s="183"/>
      <c r="AB115" s="183"/>
    </row>
    <row r="116" spans="8:8" ht="15.75" hidden="1">
      <c r="F116" s="183"/>
      <c r="H116" s="185"/>
      <c r="I116" s="183"/>
      <c r="J116" s="183"/>
      <c r="K116" s="183"/>
      <c r="L116" s="183"/>
      <c r="N116" s="183"/>
      <c r="O116" s="183"/>
      <c r="P116" s="183"/>
      <c r="Q116" s="183"/>
      <c r="R116" s="183"/>
      <c r="S116" s="183"/>
      <c r="T116" s="183"/>
      <c r="U116" s="183"/>
      <c r="V116" s="183"/>
      <c r="W116" s="183"/>
      <c r="X116" s="183"/>
      <c r="Y116" s="183"/>
      <c r="Z116" s="183"/>
      <c r="AA116" s="183"/>
      <c r="AB116" s="183"/>
    </row>
    <row r="117" spans="8:8" ht="15.75" hidden="1">
      <c r="F117" s="183"/>
      <c r="H117" s="185"/>
      <c r="I117" s="183"/>
      <c r="J117" s="183"/>
      <c r="K117" s="183"/>
      <c r="L117" s="183"/>
      <c r="N117" s="183"/>
      <c r="O117" s="183"/>
      <c r="P117" s="183"/>
      <c r="Q117" s="183"/>
      <c r="R117" s="183"/>
      <c r="S117" s="183"/>
      <c r="T117" s="183"/>
      <c r="U117" s="183"/>
      <c r="V117" s="183"/>
      <c r="W117" s="183"/>
      <c r="X117" s="183"/>
      <c r="Y117" s="183"/>
      <c r="Z117" s="183"/>
      <c r="AA117" s="183"/>
      <c r="AB117" s="183"/>
    </row>
    <row r="118" spans="8:8" ht="15.75" hidden="1">
      <c r="F118" s="183"/>
      <c r="H118" s="185"/>
      <c r="I118" s="183"/>
      <c r="J118" s="183"/>
      <c r="K118" s="183"/>
      <c r="L118" s="183"/>
      <c r="N118" s="183"/>
      <c r="O118" s="183"/>
      <c r="P118" s="183"/>
      <c r="Q118" s="183"/>
      <c r="R118" s="183"/>
      <c r="S118" s="183"/>
      <c r="T118" s="183"/>
      <c r="U118" s="183"/>
      <c r="V118" s="183"/>
      <c r="W118" s="183"/>
      <c r="X118" s="183"/>
      <c r="Y118" s="183"/>
      <c r="Z118" s="183"/>
      <c r="AA118" s="183"/>
      <c r="AB118" s="183"/>
    </row>
    <row r="119" spans="8:8" ht="15.75" hidden="1">
      <c r="F119" s="183"/>
      <c r="H119" s="185"/>
      <c r="I119" s="183"/>
      <c r="J119" s="183"/>
      <c r="K119" s="183"/>
      <c r="L119" s="183"/>
      <c r="N119" s="183"/>
      <c r="O119" s="183"/>
      <c r="P119" s="183"/>
      <c r="Q119" s="183"/>
      <c r="R119" s="183"/>
      <c r="S119" s="183"/>
      <c r="T119" s="183"/>
      <c r="U119" s="183"/>
      <c r="V119" s="183"/>
      <c r="W119" s="183"/>
      <c r="X119" s="183"/>
      <c r="Y119" s="183"/>
      <c r="Z119" s="183"/>
      <c r="AA119" s="183"/>
      <c r="AB119" s="183"/>
    </row>
    <row r="120" spans="8:8" ht="15.75" hidden="1">
      <c r="F120" s="183"/>
      <c r="H120" s="185"/>
      <c r="I120" s="183"/>
      <c r="J120" s="183"/>
      <c r="K120" s="183"/>
      <c r="L120" s="183"/>
      <c r="N120" s="183"/>
      <c r="O120" s="183"/>
      <c r="P120" s="183"/>
      <c r="Q120" s="183"/>
      <c r="R120" s="183"/>
      <c r="S120" s="183"/>
      <c r="T120" s="183"/>
      <c r="U120" s="183"/>
      <c r="V120" s="183"/>
      <c r="W120" s="183"/>
      <c r="X120" s="183"/>
      <c r="Y120" s="183"/>
      <c r="Z120" s="183"/>
      <c r="AA120" s="183"/>
      <c r="AB120" s="183"/>
    </row>
    <row r="121" spans="8:8" ht="15.75" hidden="1">
      <c r="F121" s="183"/>
      <c r="H121" s="185"/>
      <c r="I121" s="183"/>
      <c r="J121" s="183"/>
      <c r="K121" s="183"/>
      <c r="L121" s="183"/>
      <c r="N121" s="183"/>
      <c r="O121" s="183"/>
      <c r="P121" s="183"/>
      <c r="Q121" s="183"/>
      <c r="R121" s="183"/>
      <c r="S121" s="183"/>
      <c r="T121" s="183"/>
      <c r="U121" s="183"/>
      <c r="V121" s="183"/>
      <c r="W121" s="183"/>
      <c r="X121" s="183"/>
      <c r="Y121" s="183"/>
      <c r="Z121" s="183"/>
      <c r="AA121" s="183"/>
      <c r="AB121" s="183"/>
    </row>
    <row r="122" spans="8:8" ht="15.75" hidden="1">
      <c r="F122" s="183"/>
      <c r="H122" s="185"/>
      <c r="I122" s="183"/>
      <c r="J122" s="183"/>
      <c r="K122" s="183"/>
      <c r="L122" s="183"/>
      <c r="N122" s="183"/>
      <c r="O122" s="183"/>
      <c r="P122" s="183"/>
      <c r="Q122" s="183"/>
      <c r="R122" s="183"/>
      <c r="S122" s="183"/>
      <c r="T122" s="183"/>
      <c r="U122" s="183"/>
      <c r="V122" s="183"/>
      <c r="W122" s="183"/>
      <c r="X122" s="183"/>
      <c r="Y122" s="183"/>
      <c r="Z122" s="183"/>
      <c r="AA122" s="183"/>
      <c r="AB122" s="183"/>
    </row>
    <row r="123" spans="8:8" ht="15.75" hidden="1">
      <c r="F123" s="183"/>
      <c r="H123" s="185"/>
      <c r="I123" s="183"/>
      <c r="J123" s="183"/>
      <c r="K123" s="183"/>
      <c r="L123" s="183"/>
      <c r="N123" s="183"/>
      <c r="O123" s="183"/>
      <c r="P123" s="183"/>
      <c r="Q123" s="183"/>
      <c r="R123" s="183"/>
      <c r="S123" s="183"/>
      <c r="T123" s="183"/>
      <c r="U123" s="183"/>
      <c r="V123" s="183"/>
      <c r="W123" s="183"/>
      <c r="X123" s="183"/>
      <c r="Y123" s="183"/>
      <c r="Z123" s="183"/>
      <c r="AA123" s="183"/>
      <c r="AB123" s="183"/>
    </row>
    <row r="124" spans="8:8" ht="15.75" hidden="1">
      <c r="F124" s="183"/>
      <c r="H124" s="185"/>
      <c r="I124" s="183"/>
      <c r="J124" s="183"/>
      <c r="K124" s="183"/>
      <c r="L124" s="183"/>
      <c r="N124" s="183"/>
      <c r="O124" s="183"/>
      <c r="P124" s="183"/>
      <c r="Q124" s="183"/>
      <c r="R124" s="183"/>
      <c r="S124" s="183"/>
      <c r="T124" s="183"/>
      <c r="U124" s="183"/>
      <c r="V124" s="183"/>
      <c r="W124" s="183"/>
      <c r="X124" s="183"/>
      <c r="Y124" s="183"/>
      <c r="Z124" s="183"/>
      <c r="AA124" s="183"/>
      <c r="AB124" s="183"/>
    </row>
    <row r="125" spans="8:8" ht="15.75" hidden="1">
      <c r="F125" s="183"/>
      <c r="H125" s="185"/>
      <c r="I125" s="183"/>
      <c r="J125" s="183"/>
      <c r="K125" s="183"/>
      <c r="L125" s="183"/>
      <c r="N125" s="183"/>
      <c r="O125" s="183"/>
      <c r="P125" s="183"/>
      <c r="Q125" s="183"/>
      <c r="R125" s="183"/>
      <c r="S125" s="183"/>
      <c r="T125" s="183"/>
      <c r="U125" s="183"/>
      <c r="V125" s="183"/>
      <c r="W125" s="183"/>
      <c r="X125" s="183"/>
      <c r="Y125" s="183"/>
      <c r="Z125" s="183"/>
      <c r="AA125" s="183"/>
      <c r="AB125" s="183"/>
    </row>
    <row r="126" spans="8:8" ht="15.75" hidden="1">
      <c r="F126" s="183"/>
      <c r="H126" s="185"/>
      <c r="I126" s="183"/>
      <c r="J126" s="183"/>
      <c r="K126" s="183"/>
      <c r="L126" s="183"/>
      <c r="N126" s="183"/>
      <c r="O126" s="183"/>
      <c r="P126" s="183"/>
      <c r="Q126" s="183"/>
      <c r="R126" s="183"/>
      <c r="S126" s="183"/>
      <c r="T126" s="183"/>
      <c r="U126" s="183"/>
      <c r="V126" s="183"/>
      <c r="W126" s="183"/>
      <c r="X126" s="183"/>
      <c r="Y126" s="183"/>
      <c r="Z126" s="183"/>
      <c r="AA126" s="183"/>
      <c r="AB126" s="183"/>
    </row>
    <row r="127" spans="8:8" ht="15.75" hidden="1">
      <c r="F127" s="183"/>
      <c r="H127" s="185"/>
      <c r="I127" s="183"/>
      <c r="J127" s="183"/>
      <c r="K127" s="183"/>
      <c r="L127" s="183"/>
      <c r="N127" s="183"/>
      <c r="O127" s="183"/>
      <c r="P127" s="183"/>
      <c r="Q127" s="183"/>
      <c r="R127" s="183"/>
      <c r="S127" s="183"/>
      <c r="T127" s="183"/>
      <c r="U127" s="183"/>
      <c r="V127" s="183"/>
      <c r="W127" s="183"/>
      <c r="X127" s="183"/>
      <c r="Y127" s="183"/>
      <c r="Z127" s="183"/>
      <c r="AA127" s="183"/>
      <c r="AB127" s="183"/>
    </row>
    <row r="128" spans="8:8" ht="15.75" hidden="1">
      <c r="F128" s="183"/>
      <c r="H128" s="185"/>
      <c r="I128" s="183"/>
      <c r="J128" s="183"/>
      <c r="K128" s="183"/>
      <c r="L128" s="183"/>
      <c r="N128" s="183"/>
      <c r="O128" s="183"/>
      <c r="P128" s="183"/>
      <c r="Q128" s="183"/>
      <c r="R128" s="183"/>
      <c r="S128" s="183"/>
      <c r="T128" s="183"/>
      <c r="U128" s="183"/>
      <c r="V128" s="183"/>
      <c r="W128" s="183"/>
      <c r="X128" s="183"/>
      <c r="Y128" s="183"/>
      <c r="Z128" s="183"/>
      <c r="AA128" s="183"/>
      <c r="AB128" s="183"/>
    </row>
    <row r="129" spans="8:8" ht="15.75" hidden="1">
      <c r="F129" s="183"/>
      <c r="H129" s="185"/>
      <c r="I129" s="183"/>
      <c r="J129" s="183"/>
      <c r="K129" s="183"/>
      <c r="L129" s="183"/>
      <c r="N129" s="183"/>
      <c r="O129" s="183"/>
      <c r="P129" s="183"/>
      <c r="Q129" s="183"/>
      <c r="R129" s="183"/>
      <c r="S129" s="183"/>
      <c r="T129" s="183"/>
      <c r="U129" s="183"/>
      <c r="V129" s="183"/>
      <c r="W129" s="183"/>
      <c r="X129" s="183"/>
      <c r="Y129" s="183"/>
      <c r="Z129" s="183"/>
      <c r="AA129" s="183"/>
      <c r="AB129" s="183"/>
    </row>
    <row r="130" spans="8:8" ht="15.75" hidden="1">
      <c r="F130" s="183"/>
      <c r="H130" s="185"/>
      <c r="I130" s="183"/>
      <c r="J130" s="183"/>
      <c r="K130" s="183"/>
      <c r="L130" s="183"/>
      <c r="N130" s="183"/>
      <c r="O130" s="183"/>
      <c r="P130" s="183"/>
      <c r="Q130" s="183"/>
      <c r="R130" s="183"/>
      <c r="S130" s="183"/>
      <c r="T130" s="183"/>
      <c r="U130" s="183"/>
      <c r="V130" s="183"/>
      <c r="W130" s="183"/>
      <c r="X130" s="183"/>
      <c r="Y130" s="183"/>
      <c r="Z130" s="183"/>
      <c r="AA130" s="183"/>
      <c r="AB130" s="183"/>
    </row>
    <row r="131" spans="8:8" ht="15.75" hidden="1">
      <c r="F131" s="183"/>
      <c r="H131" s="185"/>
      <c r="I131" s="183"/>
      <c r="J131" s="183"/>
      <c r="K131" s="183"/>
      <c r="L131" s="183"/>
      <c r="N131" s="183"/>
      <c r="O131" s="183"/>
      <c r="P131" s="183"/>
      <c r="Q131" s="183"/>
      <c r="R131" s="183"/>
      <c r="S131" s="183"/>
      <c r="T131" s="183"/>
      <c r="U131" s="183"/>
      <c r="V131" s="183"/>
      <c r="W131" s="183"/>
      <c r="X131" s="183"/>
      <c r="Y131" s="183"/>
      <c r="Z131" s="183"/>
      <c r="AA131" s="183"/>
      <c r="AB131" s="183"/>
    </row>
    <row r="132" spans="8:8" ht="15.75" hidden="1">
      <c r="F132" s="183"/>
      <c r="H132" s="185"/>
      <c r="I132" s="183"/>
      <c r="J132" s="183"/>
      <c r="K132" s="183"/>
      <c r="L132" s="183"/>
      <c r="N132" s="183"/>
      <c r="O132" s="183"/>
      <c r="P132" s="183"/>
      <c r="Q132" s="183"/>
      <c r="R132" s="183"/>
      <c r="S132" s="183"/>
      <c r="T132" s="183"/>
      <c r="U132" s="183"/>
      <c r="V132" s="183"/>
      <c r="W132" s="183"/>
      <c r="X132" s="183"/>
      <c r="Y132" s="183"/>
      <c r="Z132" s="183"/>
      <c r="AA132" s="183"/>
      <c r="AB132" s="183"/>
    </row>
    <row r="133" spans="8:8" ht="15.75" hidden="1">
      <c r="F133" s="183"/>
      <c r="H133" s="185"/>
      <c r="I133" s="183"/>
      <c r="J133" s="183"/>
      <c r="K133" s="183"/>
      <c r="L133" s="183"/>
      <c r="N133" s="183"/>
      <c r="O133" s="183"/>
      <c r="P133" s="183"/>
      <c r="Q133" s="183"/>
      <c r="R133" s="183"/>
      <c r="S133" s="183"/>
      <c r="T133" s="183"/>
      <c r="U133" s="183"/>
      <c r="V133" s="183"/>
      <c r="W133" s="183"/>
      <c r="X133" s="183"/>
      <c r="Y133" s="183"/>
      <c r="Z133" s="183"/>
      <c r="AA133" s="183"/>
      <c r="AB133" s="183"/>
    </row>
    <row r="134" spans="8:8" ht="15.75" hidden="1">
      <c r="F134" s="183"/>
      <c r="H134" s="185"/>
      <c r="I134" s="183"/>
      <c r="J134" s="183"/>
      <c r="K134" s="183"/>
      <c r="L134" s="183"/>
      <c r="N134" s="183"/>
      <c r="O134" s="183"/>
      <c r="P134" s="183"/>
      <c r="Q134" s="183"/>
      <c r="R134" s="183"/>
      <c r="S134" s="183"/>
      <c r="T134" s="183"/>
      <c r="U134" s="183"/>
      <c r="V134" s="183"/>
      <c r="W134" s="183"/>
      <c r="X134" s="183"/>
      <c r="Y134" s="183"/>
      <c r="Z134" s="183"/>
      <c r="AA134" s="183"/>
      <c r="AB134" s="183"/>
    </row>
    <row r="135" spans="8:8" ht="15.75" hidden="1">
      <c r="F135" s="183"/>
      <c r="H135" s="185"/>
      <c r="I135" s="183"/>
      <c r="J135" s="183"/>
      <c r="K135" s="183"/>
      <c r="L135" s="183"/>
      <c r="N135" s="183"/>
      <c r="O135" s="183"/>
      <c r="P135" s="183"/>
      <c r="Q135" s="183"/>
      <c r="R135" s="183"/>
      <c r="S135" s="183"/>
      <c r="T135" s="183"/>
      <c r="U135" s="183"/>
      <c r="V135" s="183"/>
      <c r="W135" s="183"/>
      <c r="X135" s="183"/>
      <c r="Y135" s="183"/>
      <c r="Z135" s="183"/>
      <c r="AA135" s="183"/>
      <c r="AB135" s="183"/>
    </row>
    <row r="136" spans="8:8" ht="15.75" hidden="1">
      <c r="F136" s="183"/>
      <c r="H136" s="185"/>
      <c r="I136" s="183"/>
      <c r="J136" s="183"/>
      <c r="K136" s="183"/>
      <c r="L136" s="183"/>
      <c r="N136" s="183"/>
      <c r="O136" s="183"/>
      <c r="P136" s="183"/>
      <c r="Q136" s="183"/>
      <c r="R136" s="183"/>
      <c r="S136" s="183"/>
      <c r="T136" s="183"/>
      <c r="U136" s="183"/>
      <c r="V136" s="183"/>
      <c r="W136" s="183"/>
      <c r="X136" s="183"/>
      <c r="Y136" s="183"/>
      <c r="Z136" s="183"/>
      <c r="AA136" s="183"/>
      <c r="AB136" s="183"/>
    </row>
    <row r="137" spans="8:8" ht="15.75" hidden="1">
      <c r="F137" s="183"/>
      <c r="H137" s="185"/>
      <c r="I137" s="183"/>
      <c r="J137" s="183"/>
      <c r="K137" s="183"/>
      <c r="L137" s="183"/>
      <c r="N137" s="183"/>
      <c r="O137" s="183"/>
      <c r="P137" s="183"/>
      <c r="Q137" s="183"/>
      <c r="R137" s="183"/>
      <c r="S137" s="183"/>
      <c r="T137" s="183"/>
      <c r="U137" s="183"/>
      <c r="V137" s="183"/>
      <c r="W137" s="183"/>
      <c r="X137" s="183"/>
      <c r="Y137" s="183"/>
      <c r="Z137" s="183"/>
      <c r="AA137" s="183"/>
      <c r="AB137" s="183"/>
    </row>
    <row r="138" spans="8:8" ht="15.75" hidden="1">
      <c r="F138" s="183"/>
      <c r="H138" s="185"/>
      <c r="I138" s="183"/>
      <c r="J138" s="183"/>
      <c r="K138" s="183"/>
      <c r="L138" s="183"/>
      <c r="N138" s="183"/>
      <c r="O138" s="183"/>
      <c r="P138" s="183"/>
      <c r="Q138" s="183"/>
      <c r="R138" s="183"/>
      <c r="S138" s="183"/>
      <c r="T138" s="183"/>
      <c r="U138" s="183"/>
      <c r="V138" s="183"/>
      <c r="W138" s="183"/>
      <c r="X138" s="183"/>
      <c r="Y138" s="183"/>
      <c r="Z138" s="183"/>
      <c r="AA138" s="183"/>
      <c r="AB138" s="183"/>
    </row>
    <row r="139" spans="8:8" ht="15.75" hidden="1">
      <c r="F139" s="183"/>
      <c r="H139" s="185"/>
      <c r="I139" s="183"/>
      <c r="J139" s="183"/>
      <c r="K139" s="183"/>
      <c r="L139" s="183"/>
      <c r="N139" s="183"/>
      <c r="O139" s="183"/>
      <c r="P139" s="183"/>
      <c r="Q139" s="183"/>
      <c r="R139" s="183"/>
      <c r="S139" s="183"/>
      <c r="T139" s="183"/>
      <c r="U139" s="183"/>
      <c r="V139" s="183"/>
      <c r="W139" s="183"/>
      <c r="X139" s="183"/>
      <c r="Y139" s="183"/>
      <c r="Z139" s="183"/>
      <c r="AA139" s="183"/>
      <c r="AB139" s="183"/>
    </row>
    <row r="140" spans="8:8" ht="15.75" hidden="1">
      <c r="F140" s="183"/>
      <c r="H140" s="185"/>
      <c r="I140" s="183"/>
      <c r="J140" s="183"/>
      <c r="K140" s="183"/>
      <c r="L140" s="183"/>
      <c r="N140" s="183"/>
      <c r="O140" s="183"/>
      <c r="P140" s="183"/>
      <c r="Q140" s="183"/>
      <c r="R140" s="183"/>
      <c r="S140" s="183"/>
      <c r="T140" s="183"/>
      <c r="U140" s="183"/>
      <c r="V140" s="183"/>
      <c r="W140" s="183"/>
      <c r="X140" s="183"/>
      <c r="Y140" s="183"/>
      <c r="Z140" s="183"/>
      <c r="AA140" s="183"/>
      <c r="AB140" s="183"/>
    </row>
    <row r="141" spans="8:8" ht="15.75" hidden="1">
      <c r="F141" s="183"/>
      <c r="H141" s="185"/>
      <c r="I141" s="183"/>
      <c r="J141" s="183"/>
      <c r="K141" s="183"/>
      <c r="L141" s="183"/>
      <c r="N141" s="183"/>
      <c r="O141" s="183"/>
      <c r="P141" s="183"/>
      <c r="Q141" s="183"/>
      <c r="R141" s="183"/>
      <c r="S141" s="183"/>
      <c r="T141" s="183"/>
      <c r="U141" s="183"/>
      <c r="V141" s="183"/>
      <c r="W141" s="183"/>
      <c r="X141" s="183"/>
      <c r="Y141" s="183"/>
      <c r="Z141" s="183"/>
      <c r="AA141" s="183"/>
      <c r="AB141" s="183"/>
    </row>
    <row r="142" spans="8:8" ht="15.75" hidden="1">
      <c r="F142" s="183"/>
      <c r="H142" s="185"/>
      <c r="I142" s="183"/>
      <c r="J142" s="183"/>
      <c r="K142" s="183"/>
      <c r="L142" s="183"/>
      <c r="N142" s="183"/>
      <c r="O142" s="183"/>
      <c r="P142" s="183"/>
      <c r="Q142" s="183"/>
      <c r="R142" s="183"/>
      <c r="S142" s="183"/>
      <c r="T142" s="183"/>
      <c r="U142" s="183"/>
      <c r="V142" s="183"/>
      <c r="W142" s="183"/>
      <c r="X142" s="183"/>
      <c r="Y142" s="183"/>
      <c r="Z142" s="183"/>
      <c r="AA142" s="183"/>
      <c r="AB142" s="183"/>
    </row>
    <row r="143" spans="8:8" ht="15.75" hidden="1">
      <c r="F143" s="183"/>
      <c r="H143" s="185"/>
      <c r="I143" s="183"/>
      <c r="J143" s="183"/>
      <c r="K143" s="183"/>
      <c r="L143" s="183"/>
      <c r="N143" s="183"/>
      <c r="O143" s="183"/>
      <c r="P143" s="183"/>
      <c r="Q143" s="183"/>
      <c r="R143" s="183"/>
      <c r="S143" s="183"/>
      <c r="T143" s="183"/>
      <c r="U143" s="183"/>
      <c r="V143" s="183"/>
      <c r="W143" s="183"/>
      <c r="X143" s="183"/>
      <c r="Y143" s="183"/>
      <c r="Z143" s="183"/>
      <c r="AA143" s="183"/>
      <c r="AB143" s="183"/>
    </row>
    <row r="144" spans="8:8" ht="15.75" hidden="1">
      <c r="F144" s="183"/>
      <c r="H144" s="185"/>
      <c r="I144" s="183"/>
      <c r="J144" s="183"/>
      <c r="K144" s="183"/>
      <c r="L144" s="183"/>
      <c r="N144" s="183"/>
      <c r="O144" s="183"/>
      <c r="P144" s="183"/>
      <c r="Q144" s="183"/>
      <c r="R144" s="183"/>
      <c r="S144" s="183"/>
      <c r="T144" s="183"/>
      <c r="U144" s="183"/>
      <c r="V144" s="183"/>
      <c r="W144" s="183"/>
      <c r="X144" s="183"/>
      <c r="Y144" s="183"/>
      <c r="Z144" s="183"/>
      <c r="AA144" s="183"/>
      <c r="AB144" s="183"/>
    </row>
    <row r="145" spans="8:8" ht="15.75" hidden="1">
      <c r="F145" s="183"/>
      <c r="H145" s="185"/>
      <c r="I145" s="183"/>
      <c r="J145" s="183"/>
      <c r="K145" s="183"/>
      <c r="L145" s="183"/>
      <c r="N145" s="183"/>
      <c r="O145" s="183"/>
      <c r="P145" s="183"/>
      <c r="Q145" s="183"/>
      <c r="R145" s="183"/>
      <c r="S145" s="183"/>
      <c r="T145" s="183"/>
      <c r="U145" s="183"/>
      <c r="V145" s="183"/>
      <c r="W145" s="183"/>
      <c r="X145" s="183"/>
      <c r="Y145" s="183"/>
      <c r="Z145" s="183"/>
      <c r="AA145" s="183"/>
      <c r="AB145" s="183"/>
    </row>
    <row r="146" spans="8:8" ht="15.75" hidden="1">
      <c r="F146" s="183"/>
      <c r="H146" s="185"/>
      <c r="I146" s="183"/>
      <c r="J146" s="183"/>
      <c r="K146" s="183"/>
      <c r="L146" s="183"/>
      <c r="N146" s="183"/>
      <c r="O146" s="183"/>
      <c r="P146" s="183"/>
      <c r="Q146" s="183"/>
      <c r="R146" s="183"/>
      <c r="S146" s="183"/>
      <c r="T146" s="183"/>
      <c r="U146" s="183"/>
      <c r="V146" s="183"/>
      <c r="W146" s="183"/>
      <c r="X146" s="183"/>
      <c r="Y146" s="183"/>
      <c r="Z146" s="183"/>
      <c r="AA146" s="183"/>
      <c r="AB146" s="183"/>
    </row>
    <row r="147" spans="8:8" ht="15.75" hidden="1">
      <c r="F147" s="183"/>
      <c r="H147" s="185"/>
      <c r="I147" s="183"/>
      <c r="J147" s="183"/>
      <c r="K147" s="183"/>
      <c r="L147" s="183"/>
      <c r="N147" s="183"/>
      <c r="O147" s="183"/>
      <c r="P147" s="183"/>
      <c r="Q147" s="183"/>
      <c r="R147" s="183"/>
      <c r="S147" s="183"/>
      <c r="T147" s="183"/>
      <c r="U147" s="183"/>
      <c r="V147" s="183"/>
      <c r="W147" s="183"/>
      <c r="X147" s="183"/>
      <c r="Y147" s="183"/>
      <c r="Z147" s="183"/>
      <c r="AA147" s="183"/>
      <c r="AB147" s="183"/>
    </row>
    <row r="148" spans="8:8" ht="15.75" hidden="1">
      <c r="F148" s="183"/>
      <c r="H148" s="185"/>
      <c r="I148" s="183"/>
      <c r="J148" s="183"/>
      <c r="K148" s="183"/>
      <c r="L148" s="183"/>
      <c r="N148" s="183"/>
      <c r="O148" s="183"/>
      <c r="P148" s="183"/>
      <c r="Q148" s="183"/>
      <c r="R148" s="183"/>
      <c r="S148" s="183"/>
      <c r="T148" s="183"/>
      <c r="U148" s="183"/>
      <c r="V148" s="183"/>
      <c r="W148" s="183"/>
      <c r="X148" s="183"/>
      <c r="Y148" s="183"/>
      <c r="Z148" s="183"/>
      <c r="AA148" s="183"/>
      <c r="AB148" s="183"/>
    </row>
    <row r="149" spans="8:8" ht="15.75" hidden="1">
      <c r="F149" s="183"/>
      <c r="H149" s="185"/>
      <c r="I149" s="183"/>
      <c r="J149" s="183"/>
      <c r="K149" s="183"/>
      <c r="L149" s="183"/>
      <c r="N149" s="183"/>
      <c r="O149" s="183"/>
      <c r="P149" s="183"/>
      <c r="Q149" s="183"/>
      <c r="R149" s="183"/>
      <c r="S149" s="183"/>
      <c r="T149" s="183"/>
      <c r="U149" s="183"/>
      <c r="V149" s="183"/>
      <c r="W149" s="183"/>
      <c r="X149" s="183"/>
      <c r="Y149" s="183"/>
      <c r="Z149" s="183"/>
      <c r="AA149" s="183"/>
      <c r="AB149" s="183"/>
    </row>
    <row r="150" spans="8:8" ht="15.75" hidden="1">
      <c r="F150" s="183"/>
      <c r="H150" s="185"/>
      <c r="I150" s="183"/>
      <c r="J150" s="183"/>
      <c r="K150" s="183"/>
      <c r="L150" s="183"/>
      <c r="N150" s="183"/>
      <c r="O150" s="183"/>
      <c r="P150" s="183"/>
      <c r="Q150" s="183"/>
      <c r="R150" s="183"/>
      <c r="S150" s="183"/>
      <c r="T150" s="183"/>
      <c r="U150" s="183"/>
      <c r="V150" s="183"/>
      <c r="W150" s="183"/>
      <c r="X150" s="183"/>
      <c r="Y150" s="183"/>
      <c r="Z150" s="183"/>
      <c r="AA150" s="183"/>
      <c r="AB150" s="183"/>
    </row>
    <row r="151" spans="8:8" ht="15.75" hidden="1">
      <c r="F151" s="183"/>
      <c r="H151" s="185"/>
      <c r="I151" s="183"/>
      <c r="J151" s="183"/>
      <c r="K151" s="183"/>
      <c r="L151" s="183"/>
      <c r="N151" s="183"/>
      <c r="O151" s="183"/>
      <c r="P151" s="183"/>
      <c r="Q151" s="183"/>
      <c r="R151" s="183"/>
      <c r="S151" s="183"/>
      <c r="T151" s="183"/>
      <c r="U151" s="183"/>
      <c r="V151" s="183"/>
      <c r="W151" s="183"/>
      <c r="X151" s="183"/>
      <c r="Y151" s="183"/>
      <c r="Z151" s="183"/>
      <c r="AA151" s="183"/>
      <c r="AB151" s="183"/>
    </row>
    <row r="152" spans="8:8" ht="15.75" hidden="1">
      <c r="F152" s="183"/>
      <c r="H152" s="185"/>
      <c r="I152" s="183"/>
      <c r="J152" s="183"/>
      <c r="K152" s="183"/>
      <c r="L152" s="183"/>
      <c r="N152" s="183"/>
      <c r="O152" s="183"/>
      <c r="P152" s="183"/>
      <c r="Q152" s="183"/>
      <c r="R152" s="183"/>
      <c r="S152" s="183"/>
      <c r="T152" s="183"/>
      <c r="U152" s="183"/>
      <c r="V152" s="183"/>
      <c r="W152" s="183"/>
      <c r="X152" s="183"/>
      <c r="Y152" s="183"/>
      <c r="Z152" s="183"/>
      <c r="AA152" s="183"/>
      <c r="AB152" s="183"/>
    </row>
    <row r="153" spans="8:8" ht="15.75" hidden="1">
      <c r="F153" s="183"/>
      <c r="H153" s="185"/>
      <c r="I153" s="183"/>
      <c r="J153" s="183"/>
      <c r="K153" s="183"/>
      <c r="L153" s="183"/>
      <c r="N153" s="183"/>
      <c r="O153" s="183"/>
      <c r="P153" s="183"/>
      <c r="Q153" s="183"/>
      <c r="R153" s="183"/>
      <c r="S153" s="183"/>
      <c r="T153" s="183"/>
      <c r="U153" s="183"/>
      <c r="V153" s="183"/>
      <c r="W153" s="183"/>
      <c r="X153" s="183"/>
      <c r="Y153" s="183"/>
      <c r="Z153" s="183"/>
      <c r="AA153" s="183"/>
      <c r="AB153" s="183"/>
    </row>
    <row r="154" spans="8:8" ht="15.75" hidden="1">
      <c r="F154" s="183"/>
      <c r="H154" s="185"/>
      <c r="I154" s="183"/>
      <c r="J154" s="183"/>
      <c r="K154" s="183"/>
      <c r="L154" s="183"/>
      <c r="N154" s="183"/>
      <c r="O154" s="183"/>
      <c r="P154" s="183"/>
      <c r="Q154" s="183"/>
      <c r="R154" s="183"/>
      <c r="S154" s="183"/>
      <c r="T154" s="183"/>
      <c r="U154" s="183"/>
      <c r="V154" s="183"/>
      <c r="W154" s="183"/>
      <c r="X154" s="183"/>
      <c r="Y154" s="183"/>
      <c r="Z154" s="183"/>
      <c r="AA154" s="183"/>
      <c r="AB154" s="183"/>
    </row>
    <row r="155" spans="8:8" ht="15.75" hidden="1">
      <c r="F155" s="183"/>
      <c r="H155" s="185"/>
      <c r="I155" s="183"/>
      <c r="J155" s="183"/>
      <c r="K155" s="183"/>
      <c r="L155" s="183"/>
      <c r="N155" s="183"/>
      <c r="O155" s="183"/>
      <c r="P155" s="183"/>
      <c r="Q155" s="183"/>
      <c r="R155" s="183"/>
      <c r="S155" s="183"/>
      <c r="T155" s="183"/>
      <c r="U155" s="183"/>
      <c r="V155" s="183"/>
      <c r="W155" s="183"/>
      <c r="X155" s="183"/>
      <c r="Y155" s="183"/>
      <c r="Z155" s="183"/>
      <c r="AA155" s="183"/>
      <c r="AB155" s="183"/>
    </row>
    <row r="156" spans="8:8" ht="15.75" hidden="1">
      <c r="F156" s="183"/>
      <c r="H156" s="185"/>
      <c r="I156" s="183"/>
      <c r="J156" s="183"/>
      <c r="K156" s="183"/>
      <c r="L156" s="183"/>
      <c r="N156" s="183"/>
      <c r="O156" s="183"/>
      <c r="P156" s="183"/>
      <c r="Q156" s="183"/>
      <c r="R156" s="183"/>
      <c r="S156" s="183"/>
      <c r="T156" s="183"/>
      <c r="U156" s="183"/>
      <c r="V156" s="183"/>
      <c r="W156" s="183"/>
      <c r="X156" s="183"/>
      <c r="Y156" s="183"/>
      <c r="Z156" s="183"/>
      <c r="AA156" s="183"/>
      <c r="AB156" s="183"/>
    </row>
    <row r="157" spans="8:8" ht="15.75" hidden="1">
      <c r="F157" s="183"/>
      <c r="H157" s="185"/>
      <c r="I157" s="183"/>
      <c r="J157" s="183"/>
      <c r="K157" s="183"/>
      <c r="L157" s="183"/>
      <c r="N157" s="183"/>
      <c r="O157" s="183"/>
      <c r="P157" s="183"/>
      <c r="Q157" s="183"/>
      <c r="R157" s="183"/>
      <c r="S157" s="183"/>
      <c r="T157" s="183"/>
      <c r="U157" s="183"/>
      <c r="V157" s="183"/>
      <c r="W157" s="183"/>
      <c r="X157" s="183"/>
      <c r="Y157" s="183"/>
      <c r="Z157" s="183"/>
      <c r="AA157" s="183"/>
      <c r="AB157" s="183"/>
    </row>
    <row r="158" spans="8:8" ht="15.75" hidden="1">
      <c r="F158" s="183"/>
      <c r="H158" s="185"/>
      <c r="I158" s="183"/>
      <c r="J158" s="183"/>
      <c r="K158" s="183"/>
      <c r="L158" s="183"/>
      <c r="N158" s="183"/>
      <c r="O158" s="183"/>
      <c r="P158" s="183"/>
      <c r="Q158" s="183"/>
      <c r="R158" s="183"/>
      <c r="S158" s="183"/>
      <c r="T158" s="183"/>
      <c r="U158" s="183"/>
      <c r="V158" s="183"/>
      <c r="W158" s="183"/>
      <c r="X158" s="183"/>
      <c r="Y158" s="183"/>
      <c r="Z158" s="183"/>
      <c r="AA158" s="183"/>
      <c r="AB158" s="183"/>
    </row>
    <row r="159" spans="8:8" ht="15.75" hidden="1">
      <c r="F159" s="183"/>
      <c r="H159" s="185"/>
      <c r="I159" s="183"/>
      <c r="J159" s="183"/>
      <c r="K159" s="183"/>
      <c r="L159" s="183"/>
      <c r="N159" s="183"/>
      <c r="O159" s="183"/>
      <c r="P159" s="183"/>
      <c r="Q159" s="183"/>
      <c r="R159" s="183"/>
      <c r="S159" s="183"/>
      <c r="T159" s="183"/>
      <c r="U159" s="183"/>
      <c r="V159" s="183"/>
      <c r="W159" s="183"/>
      <c r="X159" s="183"/>
      <c r="Y159" s="183"/>
      <c r="Z159" s="183"/>
      <c r="AA159" s="183"/>
      <c r="AB159" s="183"/>
    </row>
    <row r="160" spans="8:8" ht="15.75" hidden="1">
      <c r="F160" s="183"/>
      <c r="H160" s="185"/>
      <c r="I160" s="183"/>
      <c r="J160" s="183"/>
      <c r="K160" s="183"/>
      <c r="L160" s="183"/>
      <c r="N160" s="183"/>
      <c r="O160" s="183"/>
      <c r="P160" s="183"/>
      <c r="Q160" s="183"/>
      <c r="R160" s="183"/>
      <c r="S160" s="183"/>
      <c r="T160" s="183"/>
      <c r="U160" s="183"/>
      <c r="V160" s="183"/>
      <c r="W160" s="183"/>
      <c r="X160" s="183"/>
      <c r="Y160" s="183"/>
      <c r="Z160" s="183"/>
      <c r="AA160" s="183"/>
      <c r="AB160" s="183"/>
    </row>
    <row r="161" spans="8:8" ht="15.75" hidden="1">
      <c r="F161" s="183"/>
      <c r="H161" s="185"/>
      <c r="I161" s="183"/>
      <c r="J161" s="183"/>
      <c r="K161" s="183"/>
      <c r="L161" s="183"/>
      <c r="N161" s="183"/>
      <c r="O161" s="183"/>
      <c r="P161" s="183"/>
      <c r="Q161" s="183"/>
      <c r="R161" s="183"/>
      <c r="S161" s="183"/>
      <c r="T161" s="183"/>
      <c r="U161" s="183"/>
      <c r="V161" s="183"/>
      <c r="W161" s="183"/>
      <c r="X161" s="183"/>
      <c r="Y161" s="183"/>
      <c r="Z161" s="183"/>
      <c r="AA161" s="183"/>
      <c r="AB161" s="183"/>
    </row>
    <row r="162" spans="8:8" ht="15.75" hidden="1">
      <c r="F162" s="183"/>
      <c r="H162" s="185"/>
      <c r="I162" s="183"/>
      <c r="J162" s="183"/>
      <c r="K162" s="183"/>
      <c r="L162" s="183"/>
      <c r="N162" s="183"/>
      <c r="O162" s="183"/>
      <c r="P162" s="183"/>
      <c r="Q162" s="183"/>
      <c r="R162" s="183"/>
      <c r="S162" s="183"/>
      <c r="T162" s="183"/>
      <c r="U162" s="183"/>
      <c r="V162" s="183"/>
      <c r="W162" s="183"/>
      <c r="X162" s="183"/>
      <c r="Y162" s="183"/>
      <c r="Z162" s="183"/>
      <c r="AA162" s="183"/>
      <c r="AB162" s="183"/>
    </row>
    <row r="163" spans="8:8" ht="15.75" hidden="1">
      <c r="F163" s="183"/>
      <c r="H163" s="185"/>
      <c r="I163" s="183"/>
      <c r="J163" s="183"/>
      <c r="K163" s="183"/>
      <c r="L163" s="183"/>
      <c r="N163" s="183"/>
      <c r="O163" s="183"/>
      <c r="P163" s="183"/>
      <c r="Q163" s="183"/>
      <c r="R163" s="183"/>
      <c r="S163" s="183"/>
      <c r="T163" s="183"/>
      <c r="U163" s="183"/>
      <c r="V163" s="183"/>
      <c r="W163" s="183"/>
      <c r="X163" s="183"/>
      <c r="Y163" s="183"/>
      <c r="Z163" s="183"/>
      <c r="AA163" s="183"/>
      <c r="AB163" s="183"/>
    </row>
    <row r="164" spans="8:8" ht="15.75" hidden="1">
      <c r="F164" s="183"/>
      <c r="H164" s="185"/>
      <c r="I164" s="183"/>
      <c r="J164" s="183"/>
      <c r="K164" s="183"/>
      <c r="L164" s="183"/>
      <c r="N164" s="183"/>
      <c r="O164" s="183"/>
      <c r="P164" s="183"/>
      <c r="Q164" s="183"/>
      <c r="R164" s="183"/>
      <c r="S164" s="183"/>
      <c r="T164" s="183"/>
      <c r="U164" s="183"/>
      <c r="V164" s="183"/>
      <c r="W164" s="183"/>
      <c r="X164" s="183"/>
      <c r="Y164" s="183"/>
      <c r="Z164" s="183"/>
      <c r="AA164" s="183"/>
      <c r="AB164" s="183"/>
    </row>
    <row r="165" spans="8:8" ht="15.75" hidden="1">
      <c r="F165" s="183"/>
      <c r="H165" s="185"/>
      <c r="I165" s="183"/>
      <c r="J165" s="183"/>
      <c r="K165" s="183"/>
      <c r="L165" s="183"/>
      <c r="N165" s="183"/>
      <c r="O165" s="183"/>
      <c r="P165" s="183"/>
      <c r="Q165" s="183"/>
      <c r="R165" s="183"/>
      <c r="S165" s="183"/>
      <c r="T165" s="183"/>
      <c r="U165" s="183"/>
      <c r="V165" s="183"/>
      <c r="W165" s="183"/>
      <c r="X165" s="183"/>
      <c r="Y165" s="183"/>
      <c r="Z165" s="183"/>
      <c r="AA165" s="183"/>
      <c r="AB165" s="183"/>
    </row>
    <row r="166" spans="8:8" ht="15.75" hidden="1">
      <c r="F166" s="183"/>
      <c r="H166" s="185"/>
      <c r="I166" s="183"/>
      <c r="J166" s="183"/>
      <c r="K166" s="183"/>
      <c r="L166" s="183"/>
      <c r="N166" s="183"/>
      <c r="O166" s="183"/>
      <c r="P166" s="183"/>
      <c r="Q166" s="183"/>
      <c r="R166" s="183"/>
      <c r="S166" s="183"/>
      <c r="T166" s="183"/>
      <c r="U166" s="183"/>
      <c r="V166" s="183"/>
      <c r="W166" s="183"/>
      <c r="X166" s="183"/>
      <c r="Y166" s="183"/>
      <c r="Z166" s="183"/>
      <c r="AA166" s="183"/>
      <c r="AB166" s="183"/>
    </row>
    <row r="167" spans="8:8" ht="15.75" hidden="1">
      <c r="F167" s="183"/>
      <c r="H167" s="185"/>
      <c r="I167" s="183"/>
      <c r="J167" s="183"/>
      <c r="K167" s="183"/>
      <c r="L167" s="183"/>
      <c r="N167" s="183"/>
      <c r="O167" s="183"/>
      <c r="P167" s="183"/>
      <c r="Q167" s="183"/>
      <c r="R167" s="183"/>
      <c r="S167" s="183"/>
      <c r="T167" s="183"/>
      <c r="U167" s="183"/>
      <c r="V167" s="183"/>
      <c r="W167" s="183"/>
      <c r="X167" s="183"/>
      <c r="Y167" s="183"/>
      <c r="Z167" s="183"/>
      <c r="AA167" s="183"/>
      <c r="AB167" s="183"/>
    </row>
    <row r="168" spans="8:8" ht="15.75" hidden="1">
      <c r="F168" s="183"/>
      <c r="H168" s="185"/>
      <c r="I168" s="183"/>
      <c r="J168" s="183"/>
      <c r="K168" s="183"/>
      <c r="L168" s="183"/>
      <c r="N168" s="183"/>
      <c r="O168" s="183"/>
      <c r="P168" s="183"/>
      <c r="Q168" s="183"/>
      <c r="R168" s="183"/>
      <c r="S168" s="183"/>
      <c r="T168" s="183"/>
      <c r="U168" s="183"/>
      <c r="V168" s="183"/>
      <c r="W168" s="183"/>
      <c r="X168" s="183"/>
      <c r="Y168" s="183"/>
      <c r="Z168" s="183"/>
      <c r="AA168" s="183"/>
      <c r="AB168" s="183"/>
    </row>
    <row r="169" spans="8:8" ht="15.75" hidden="1">
      <c r="F169" s="183"/>
      <c r="H169" s="185"/>
      <c r="I169" s="183"/>
      <c r="J169" s="183"/>
      <c r="K169" s="183"/>
      <c r="L169" s="183"/>
      <c r="N169" s="183"/>
      <c r="O169" s="183"/>
      <c r="P169" s="183"/>
      <c r="Q169" s="183"/>
      <c r="R169" s="183"/>
      <c r="S169" s="183"/>
      <c r="T169" s="183"/>
      <c r="U169" s="183"/>
      <c r="V169" s="183"/>
      <c r="W169" s="183"/>
      <c r="X169" s="183"/>
      <c r="Y169" s="183"/>
      <c r="Z169" s="183"/>
      <c r="AA169" s="183"/>
      <c r="AB169" s="183"/>
    </row>
    <row r="170" spans="8:8" ht="15.75" hidden="1">
      <c r="F170" s="183"/>
      <c r="H170" s="185"/>
      <c r="I170" s="183"/>
      <c r="J170" s="183"/>
      <c r="K170" s="183"/>
      <c r="L170" s="183"/>
      <c r="N170" s="183"/>
      <c r="O170" s="183"/>
      <c r="P170" s="183"/>
      <c r="Q170" s="183"/>
      <c r="R170" s="183"/>
      <c r="S170" s="183"/>
      <c r="T170" s="183"/>
      <c r="U170" s="183"/>
      <c r="V170" s="183"/>
      <c r="W170" s="183"/>
      <c r="X170" s="183"/>
      <c r="Y170" s="183"/>
      <c r="Z170" s="183"/>
      <c r="AA170" s="183"/>
      <c r="AB170" s="183"/>
    </row>
    <row r="171" spans="8:8" ht="15.75" hidden="1">
      <c r="F171" s="183"/>
      <c r="H171" s="185"/>
      <c r="I171" s="183"/>
      <c r="J171" s="183"/>
      <c r="K171" s="183"/>
      <c r="L171" s="183"/>
      <c r="N171" s="183"/>
      <c r="O171" s="183"/>
      <c r="P171" s="183"/>
      <c r="Q171" s="183"/>
      <c r="R171" s="183"/>
      <c r="S171" s="183"/>
      <c r="T171" s="183"/>
      <c r="U171" s="183"/>
      <c r="V171" s="183"/>
      <c r="W171" s="183"/>
      <c r="X171" s="183"/>
      <c r="Y171" s="183"/>
      <c r="Z171" s="183"/>
      <c r="AA171" s="183"/>
      <c r="AB171" s="183"/>
    </row>
    <row r="172" spans="8:8" ht="15.75" hidden="1">
      <c r="F172" s="183"/>
      <c r="H172" s="185"/>
      <c r="I172" s="183"/>
      <c r="J172" s="183"/>
      <c r="K172" s="183"/>
      <c r="L172" s="183"/>
      <c r="N172" s="183"/>
      <c r="O172" s="183"/>
      <c r="P172" s="183"/>
      <c r="Q172" s="183"/>
      <c r="R172" s="183"/>
      <c r="S172" s="183"/>
      <c r="T172" s="183"/>
      <c r="U172" s="183"/>
      <c r="V172" s="183"/>
      <c r="W172" s="183"/>
      <c r="X172" s="183"/>
      <c r="Y172" s="183"/>
      <c r="Z172" s="183"/>
      <c r="AA172" s="183"/>
      <c r="AB172" s="183"/>
    </row>
    <row r="173" spans="8:8" ht="15.75" hidden="1">
      <c r="F173" s="183"/>
      <c r="H173" s="185"/>
      <c r="I173" s="183"/>
      <c r="J173" s="183"/>
      <c r="K173" s="183"/>
      <c r="L173" s="183"/>
      <c r="N173" s="183"/>
      <c r="O173" s="183"/>
      <c r="P173" s="183"/>
      <c r="Q173" s="183"/>
      <c r="R173" s="183"/>
      <c r="S173" s="183"/>
      <c r="T173" s="183"/>
      <c r="U173" s="183"/>
      <c r="V173" s="183"/>
      <c r="W173" s="183"/>
      <c r="X173" s="183"/>
      <c r="Y173" s="183"/>
      <c r="Z173" s="183"/>
      <c r="AA173" s="183"/>
      <c r="AB173" s="183"/>
    </row>
    <row r="174" spans="8:8" ht="15.75" hidden="1">
      <c r="F174" s="183"/>
      <c r="H174" s="185"/>
      <c r="I174" s="183"/>
      <c r="J174" s="183"/>
      <c r="K174" s="183"/>
      <c r="L174" s="183"/>
      <c r="N174" s="183"/>
      <c r="O174" s="183"/>
      <c r="P174" s="183"/>
      <c r="Q174" s="183"/>
      <c r="R174" s="183"/>
      <c r="S174" s="183"/>
      <c r="T174" s="183"/>
      <c r="U174" s="183"/>
      <c r="V174" s="183"/>
      <c r="W174" s="183"/>
      <c r="X174" s="183"/>
      <c r="Y174" s="183"/>
      <c r="Z174" s="183"/>
      <c r="AA174" s="183"/>
      <c r="AB174" s="183"/>
    </row>
    <row r="175" spans="8:8" ht="15.75" hidden="1">
      <c r="F175" s="183"/>
      <c r="H175" s="185"/>
      <c r="I175" s="183"/>
      <c r="J175" s="183"/>
      <c r="K175" s="183"/>
      <c r="L175" s="183"/>
      <c r="N175" s="183"/>
      <c r="O175" s="183"/>
      <c r="P175" s="183"/>
      <c r="Q175" s="183"/>
      <c r="R175" s="183"/>
      <c r="S175" s="183"/>
      <c r="T175" s="183"/>
      <c r="U175" s="183"/>
      <c r="V175" s="183"/>
      <c r="W175" s="183"/>
      <c r="X175" s="183"/>
      <c r="Y175" s="183"/>
      <c r="Z175" s="183"/>
      <c r="AA175" s="183"/>
      <c r="AB175" s="183"/>
    </row>
    <row r="176" spans="8:8" ht="15.75" hidden="1">
      <c r="F176" s="183"/>
      <c r="H176" s="185"/>
      <c r="I176" s="183"/>
      <c r="J176" s="183"/>
      <c r="K176" s="183"/>
      <c r="L176" s="183"/>
      <c r="N176" s="183"/>
      <c r="O176" s="183"/>
      <c r="P176" s="183"/>
      <c r="Q176" s="183"/>
      <c r="R176" s="183"/>
      <c r="S176" s="183"/>
      <c r="T176" s="183"/>
      <c r="U176" s="183"/>
      <c r="V176" s="183"/>
      <c r="W176" s="183"/>
      <c r="X176" s="183"/>
      <c r="Y176" s="183"/>
      <c r="Z176" s="183"/>
      <c r="AA176" s="183"/>
      <c r="AB176" s="183"/>
    </row>
    <row r="177" spans="8:8" ht="15.75" hidden="1">
      <c r="F177" s="183"/>
      <c r="H177" s="185"/>
      <c r="I177" s="183"/>
      <c r="J177" s="183"/>
      <c r="K177" s="183"/>
      <c r="L177" s="183"/>
      <c r="N177" s="183"/>
      <c r="O177" s="183"/>
      <c r="P177" s="183"/>
      <c r="Q177" s="183"/>
      <c r="R177" s="183"/>
      <c r="S177" s="183"/>
      <c r="T177" s="183"/>
      <c r="U177" s="183"/>
      <c r="V177" s="183"/>
      <c r="W177" s="183"/>
      <c r="X177" s="183"/>
      <c r="Y177" s="183"/>
      <c r="Z177" s="183"/>
      <c r="AA177" s="183"/>
      <c r="AB177" s="183"/>
    </row>
    <row r="178" spans="8:8" ht="15.75" hidden="1">
      <c r="F178" s="183"/>
      <c r="H178" s="185"/>
      <c r="I178" s="183"/>
      <c r="J178" s="183"/>
      <c r="K178" s="183"/>
      <c r="L178" s="183"/>
      <c r="N178" s="183"/>
      <c r="O178" s="183"/>
      <c r="P178" s="183"/>
      <c r="Q178" s="183"/>
      <c r="R178" s="183"/>
      <c r="S178" s="183"/>
      <c r="T178" s="183"/>
      <c r="U178" s="183"/>
      <c r="V178" s="183"/>
      <c r="W178" s="183"/>
      <c r="X178" s="183"/>
      <c r="Y178" s="183"/>
      <c r="Z178" s="183"/>
      <c r="AA178" s="183"/>
      <c r="AB178" s="183"/>
    </row>
    <row r="179" spans="8:8" ht="15.75" hidden="1">
      <c r="F179" s="183"/>
      <c r="H179" s="185"/>
      <c r="I179" s="183"/>
      <c r="J179" s="183"/>
      <c r="K179" s="183"/>
      <c r="L179" s="183"/>
      <c r="N179" s="183"/>
      <c r="O179" s="183"/>
      <c r="P179" s="183"/>
      <c r="Q179" s="183"/>
      <c r="R179" s="183"/>
      <c r="S179" s="183"/>
      <c r="T179" s="183"/>
      <c r="U179" s="183"/>
      <c r="V179" s="183"/>
      <c r="W179" s="183"/>
      <c r="X179" s="183"/>
      <c r="Y179" s="183"/>
      <c r="Z179" s="183"/>
      <c r="AA179" s="183"/>
      <c r="AB179" s="183"/>
    </row>
    <row r="180" spans="8:8" ht="15.75" hidden="1">
      <c r="F180" s="183"/>
      <c r="H180" s="185"/>
      <c r="I180" s="183"/>
      <c r="J180" s="183"/>
      <c r="K180" s="183"/>
      <c r="L180" s="183"/>
      <c r="N180" s="183"/>
      <c r="O180" s="183"/>
      <c r="P180" s="183"/>
      <c r="Q180" s="183"/>
      <c r="R180" s="183"/>
      <c r="S180" s="183"/>
      <c r="T180" s="183"/>
      <c r="U180" s="183"/>
      <c r="V180" s="183"/>
      <c r="W180" s="183"/>
      <c r="X180" s="183"/>
      <c r="Y180" s="183"/>
      <c r="Z180" s="183"/>
      <c r="AA180" s="183"/>
      <c r="AB180" s="183"/>
    </row>
    <row r="181" spans="8:8" ht="15.75" hidden="1">
      <c r="F181" s="183"/>
      <c r="H181" s="185"/>
      <c r="I181" s="183"/>
      <c r="J181" s="183"/>
      <c r="K181" s="183"/>
      <c r="L181" s="183"/>
      <c r="N181" s="183"/>
      <c r="O181" s="183"/>
      <c r="P181" s="183"/>
      <c r="Q181" s="183"/>
      <c r="R181" s="183"/>
      <c r="S181" s="183"/>
      <c r="T181" s="183"/>
      <c r="U181" s="183"/>
      <c r="V181" s="183"/>
      <c r="W181" s="183"/>
      <c r="X181" s="183"/>
      <c r="Y181" s="183"/>
      <c r="Z181" s="183"/>
      <c r="AA181" s="183"/>
      <c r="AB181" s="183"/>
    </row>
    <row r="182" spans="8:8" ht="15.75" hidden="1">
      <c r="F182" s="183"/>
      <c r="H182" s="185"/>
      <c r="I182" s="183"/>
      <c r="J182" s="183"/>
      <c r="K182" s="183"/>
      <c r="L182" s="183"/>
      <c r="N182" s="183"/>
      <c r="O182" s="183"/>
      <c r="P182" s="183"/>
      <c r="Q182" s="183"/>
      <c r="R182" s="183"/>
      <c r="S182" s="183"/>
      <c r="T182" s="183"/>
      <c r="U182" s="183"/>
      <c r="V182" s="183"/>
      <c r="W182" s="183"/>
      <c r="X182" s="183"/>
      <c r="Y182" s="183"/>
      <c r="Z182" s="183"/>
      <c r="AA182" s="183"/>
      <c r="AB182" s="183"/>
    </row>
    <row r="183" spans="8:8" ht="15.75" hidden="1">
      <c r="F183" s="183"/>
      <c r="H183" s="185"/>
      <c r="I183" s="183"/>
      <c r="J183" s="183"/>
      <c r="K183" s="183"/>
      <c r="L183" s="183"/>
      <c r="N183" s="183"/>
      <c r="O183" s="183"/>
      <c r="P183" s="183"/>
      <c r="Q183" s="183"/>
      <c r="R183" s="183"/>
      <c r="S183" s="183"/>
      <c r="T183" s="183"/>
      <c r="U183" s="183"/>
      <c r="V183" s="183"/>
      <c r="W183" s="183"/>
      <c r="X183" s="183"/>
      <c r="Y183" s="183"/>
      <c r="Z183" s="183"/>
      <c r="AA183" s="183"/>
      <c r="AB183" s="183"/>
    </row>
    <row r="184" spans="8:8" ht="15.75" hidden="1">
      <c r="F184" s="183"/>
      <c r="H184" s="185"/>
      <c r="I184" s="183"/>
      <c r="J184" s="183"/>
      <c r="K184" s="183"/>
      <c r="L184" s="183"/>
      <c r="N184" s="183"/>
      <c r="O184" s="183"/>
      <c r="P184" s="183"/>
      <c r="Q184" s="183"/>
      <c r="R184" s="183"/>
      <c r="S184" s="183"/>
      <c r="T184" s="183"/>
      <c r="U184" s="183"/>
      <c r="V184" s="183"/>
      <c r="W184" s="183"/>
      <c r="X184" s="183"/>
      <c r="Y184" s="183"/>
      <c r="Z184" s="183"/>
      <c r="AA184" s="183"/>
      <c r="AB184" s="183"/>
    </row>
    <row r="185" spans="8:8" ht="15.75" hidden="1">
      <c r="F185" s="183"/>
      <c r="H185" s="185"/>
      <c r="I185" s="183"/>
      <c r="J185" s="183"/>
      <c r="K185" s="183"/>
      <c r="L185" s="183"/>
      <c r="N185" s="183"/>
      <c r="O185" s="183"/>
      <c r="P185" s="183"/>
      <c r="Q185" s="183"/>
      <c r="R185" s="183"/>
      <c r="S185" s="183"/>
      <c r="T185" s="183"/>
      <c r="U185" s="183"/>
      <c r="V185" s="183"/>
      <c r="W185" s="183"/>
      <c r="X185" s="183"/>
      <c r="Y185" s="183"/>
      <c r="Z185" s="183"/>
      <c r="AA185" s="183"/>
      <c r="AB185" s="183"/>
    </row>
    <row r="186" spans="8:8" ht="15.75" hidden="1">
      <c r="F186" s="183"/>
      <c r="H186" s="185"/>
      <c r="I186" s="183"/>
      <c r="J186" s="183"/>
      <c r="K186" s="183"/>
      <c r="L186" s="183"/>
      <c r="N186" s="183"/>
      <c r="O186" s="183"/>
      <c r="P186" s="183"/>
      <c r="Q186" s="183"/>
      <c r="R186" s="183"/>
      <c r="S186" s="183"/>
      <c r="T186" s="183"/>
      <c r="U186" s="183"/>
      <c r="V186" s="183"/>
      <c r="W186" s="183"/>
      <c r="X186" s="183"/>
      <c r="Y186" s="183"/>
      <c r="Z186" s="183"/>
      <c r="AA186" s="183"/>
      <c r="AB186" s="183"/>
    </row>
    <row r="187" spans="8:8" ht="15.75" hidden="1">
      <c r="F187" s="183"/>
      <c r="H187" s="185"/>
      <c r="I187" s="183"/>
      <c r="J187" s="183"/>
      <c r="K187" s="183"/>
      <c r="L187" s="183"/>
      <c r="N187" s="183"/>
      <c r="O187" s="183"/>
      <c r="P187" s="183"/>
      <c r="Q187" s="183"/>
      <c r="R187" s="183"/>
      <c r="S187" s="183"/>
      <c r="T187" s="183"/>
      <c r="U187" s="183"/>
      <c r="V187" s="183"/>
      <c r="W187" s="183"/>
      <c r="X187" s="183"/>
      <c r="Y187" s="183"/>
      <c r="Z187" s="183"/>
      <c r="AA187" s="183"/>
      <c r="AB187" s="183"/>
    </row>
    <row r="188" spans="8:8" ht="15.75" hidden="1">
      <c r="F188" s="183"/>
      <c r="H188" s="185"/>
      <c r="I188" s="183"/>
      <c r="J188" s="183"/>
      <c r="K188" s="183"/>
      <c r="L188" s="183"/>
      <c r="N188" s="183"/>
      <c r="O188" s="183"/>
      <c r="P188" s="183"/>
      <c r="Q188" s="183"/>
      <c r="R188" s="183"/>
      <c r="S188" s="183"/>
      <c r="T188" s="183"/>
      <c r="U188" s="183"/>
      <c r="V188" s="183"/>
      <c r="W188" s="183"/>
      <c r="X188" s="183"/>
      <c r="Y188" s="183"/>
      <c r="Z188" s="183"/>
      <c r="AA188" s="183"/>
      <c r="AB188" s="183"/>
    </row>
    <row r="189" spans="8:8" ht="15.75" hidden="1">
      <c r="F189" s="183"/>
      <c r="H189" s="185"/>
      <c r="I189" s="183"/>
      <c r="J189" s="183"/>
      <c r="K189" s="183"/>
      <c r="L189" s="183"/>
      <c r="N189" s="183"/>
      <c r="O189" s="183"/>
      <c r="P189" s="183"/>
      <c r="Q189" s="183"/>
      <c r="R189" s="183"/>
      <c r="S189" s="183"/>
      <c r="T189" s="183"/>
      <c r="U189" s="183"/>
      <c r="V189" s="183"/>
      <c r="W189" s="183"/>
      <c r="X189" s="183"/>
      <c r="Y189" s="183"/>
      <c r="Z189" s="183"/>
      <c r="AA189" s="183"/>
      <c r="AB189" s="183"/>
    </row>
    <row r="190" spans="8:8" ht="15.75" hidden="1">
      <c r="F190" s="183"/>
      <c r="H190" s="185"/>
      <c r="I190" s="183"/>
      <c r="J190" s="183"/>
      <c r="K190" s="183"/>
      <c r="L190" s="183"/>
      <c r="N190" s="183"/>
      <c r="O190" s="183"/>
      <c r="P190" s="183"/>
      <c r="Q190" s="183"/>
      <c r="R190" s="183"/>
      <c r="S190" s="183"/>
      <c r="T190" s="183"/>
      <c r="U190" s="183"/>
      <c r="V190" s="183"/>
      <c r="W190" s="183"/>
      <c r="X190" s="183"/>
      <c r="Y190" s="183"/>
      <c r="Z190" s="183"/>
      <c r="AA190" s="183"/>
      <c r="AB190" s="183"/>
    </row>
    <row r="191" spans="8:8" ht="15.75" hidden="1">
      <c r="F191" s="183"/>
      <c r="H191" s="185"/>
      <c r="I191" s="183"/>
      <c r="J191" s="183"/>
      <c r="K191" s="183"/>
      <c r="L191" s="183"/>
      <c r="N191" s="183"/>
      <c r="O191" s="183"/>
      <c r="P191" s="183"/>
      <c r="Q191" s="183"/>
      <c r="R191" s="183"/>
      <c r="S191" s="183"/>
      <c r="T191" s="183"/>
      <c r="U191" s="183"/>
      <c r="V191" s="183"/>
      <c r="W191" s="183"/>
      <c r="X191" s="183"/>
      <c r="Y191" s="183"/>
      <c r="Z191" s="183"/>
      <c r="AA191" s="183"/>
      <c r="AB191" s="183"/>
    </row>
    <row r="192" spans="8:8" ht="15.75" hidden="1">
      <c r="F192" s="183"/>
      <c r="H192" s="185"/>
      <c r="I192" s="183"/>
      <c r="J192" s="183"/>
      <c r="K192" s="183"/>
      <c r="L192" s="183"/>
      <c r="N192" s="183"/>
      <c r="O192" s="183"/>
      <c r="P192" s="183"/>
      <c r="Q192" s="183"/>
      <c r="R192" s="183"/>
      <c r="S192" s="183"/>
      <c r="T192" s="183"/>
      <c r="U192" s="183"/>
      <c r="V192" s="183"/>
      <c r="W192" s="183"/>
      <c r="X192" s="183"/>
      <c r="Y192" s="183"/>
      <c r="Z192" s="183"/>
      <c r="AA192" s="183"/>
      <c r="AB192" s="183"/>
    </row>
    <row r="193" spans="8:8" ht="15.75" hidden="1">
      <c r="F193" s="183"/>
      <c r="H193" s="185"/>
      <c r="I193" s="183"/>
      <c r="J193" s="183"/>
      <c r="K193" s="183"/>
      <c r="L193" s="183"/>
      <c r="N193" s="183"/>
      <c r="O193" s="183"/>
      <c r="P193" s="183"/>
      <c r="Q193" s="183"/>
      <c r="R193" s="183"/>
      <c r="S193" s="183"/>
      <c r="T193" s="183"/>
      <c r="U193" s="183"/>
      <c r="V193" s="183"/>
      <c r="W193" s="183"/>
      <c r="X193" s="183"/>
      <c r="Y193" s="183"/>
      <c r="Z193" s="183"/>
      <c r="AA193" s="183"/>
      <c r="AB193" s="183"/>
    </row>
    <row r="194" spans="8:8" ht="15.75" hidden="1">
      <c r="F194" s="183"/>
      <c r="H194" s="185"/>
      <c r="I194" s="183"/>
      <c r="J194" s="183"/>
      <c r="K194" s="183"/>
      <c r="L194" s="183"/>
      <c r="N194" s="183"/>
      <c r="O194" s="183"/>
      <c r="P194" s="183"/>
      <c r="Q194" s="183"/>
      <c r="R194" s="183"/>
      <c r="S194" s="183"/>
      <c r="T194" s="183"/>
      <c r="U194" s="183"/>
      <c r="V194" s="183"/>
      <c r="W194" s="183"/>
      <c r="X194" s="183"/>
      <c r="Y194" s="183"/>
      <c r="Z194" s="183"/>
      <c r="AA194" s="183"/>
      <c r="AB194" s="183"/>
    </row>
    <row r="195" spans="8:8" ht="15.75" hidden="1">
      <c r="F195" s="183"/>
      <c r="H195" s="185"/>
      <c r="I195" s="183"/>
      <c r="J195" s="183"/>
      <c r="K195" s="183"/>
      <c r="L195" s="183"/>
      <c r="N195" s="183"/>
      <c r="O195" s="183"/>
      <c r="P195" s="183"/>
      <c r="Q195" s="183"/>
      <c r="R195" s="183"/>
      <c r="S195" s="183"/>
      <c r="T195" s="183"/>
      <c r="U195" s="183"/>
      <c r="V195" s="183"/>
      <c r="W195" s="183"/>
      <c r="X195" s="183"/>
      <c r="Y195" s="183"/>
      <c r="Z195" s="183"/>
      <c r="AA195" s="183"/>
      <c r="AB195" s="183"/>
    </row>
    <row r="196" spans="8:8" ht="15.75" hidden="1">
      <c r="F196" s="183"/>
      <c r="H196" s="185"/>
      <c r="I196" s="183"/>
      <c r="J196" s="183"/>
      <c r="K196" s="183"/>
      <c r="L196" s="183"/>
      <c r="N196" s="183"/>
      <c r="O196" s="183"/>
      <c r="P196" s="183"/>
      <c r="Q196" s="183"/>
      <c r="R196" s="183"/>
      <c r="S196" s="183"/>
      <c r="T196" s="183"/>
      <c r="U196" s="183"/>
      <c r="V196" s="183"/>
      <c r="W196" s="183"/>
      <c r="X196" s="183"/>
      <c r="Y196" s="183"/>
      <c r="Z196" s="183"/>
      <c r="AA196" s="183"/>
      <c r="AB196" s="183"/>
    </row>
    <row r="197" spans="8:8" ht="15.75" hidden="1">
      <c r="F197" s="183"/>
      <c r="H197" s="185"/>
      <c r="I197" s="183"/>
      <c r="J197" s="183"/>
      <c r="K197" s="183"/>
      <c r="L197" s="183"/>
      <c r="N197" s="183"/>
      <c r="O197" s="183"/>
      <c r="P197" s="183"/>
      <c r="Q197" s="183"/>
      <c r="R197" s="183"/>
      <c r="S197" s="183"/>
      <c r="T197" s="183"/>
      <c r="U197" s="183"/>
      <c r="V197" s="183"/>
      <c r="W197" s="183"/>
      <c r="X197" s="183"/>
      <c r="Y197" s="183"/>
      <c r="Z197" s="183"/>
      <c r="AA197" s="183"/>
      <c r="AB197" s="183"/>
    </row>
    <row r="198" spans="8:8" ht="15.75" hidden="1">
      <c r="F198" s="183"/>
      <c r="H198" s="185"/>
      <c r="I198" s="183"/>
      <c r="J198" s="183"/>
      <c r="K198" s="183"/>
      <c r="L198" s="183"/>
      <c r="N198" s="183"/>
      <c r="O198" s="183"/>
      <c r="P198" s="183"/>
      <c r="Q198" s="183"/>
      <c r="R198" s="183"/>
      <c r="S198" s="183"/>
      <c r="T198" s="183"/>
      <c r="U198" s="183"/>
      <c r="V198" s="183"/>
      <c r="W198" s="183"/>
      <c r="X198" s="183"/>
      <c r="Y198" s="183"/>
      <c r="Z198" s="183"/>
      <c r="AA198" s="183"/>
      <c r="AB198" s="183"/>
    </row>
    <row r="199" spans="8:8" ht="15.75" hidden="1">
      <c r="F199" s="183"/>
      <c r="H199" s="185"/>
      <c r="I199" s="183"/>
      <c r="J199" s="183"/>
      <c r="K199" s="183"/>
      <c r="L199" s="183"/>
      <c r="N199" s="183"/>
      <c r="O199" s="183"/>
      <c r="P199" s="183"/>
      <c r="Q199" s="183"/>
      <c r="R199" s="183"/>
      <c r="S199" s="183"/>
      <c r="T199" s="183"/>
      <c r="U199" s="183"/>
      <c r="V199" s="183"/>
      <c r="W199" s="183"/>
      <c r="X199" s="183"/>
      <c r="Y199" s="183"/>
      <c r="Z199" s="183"/>
      <c r="AA199" s="183"/>
      <c r="AB199" s="183"/>
    </row>
    <row r="200" spans="8:8" ht="15.75" hidden="1">
      <c r="F200" s="183"/>
      <c r="H200" s="185"/>
      <c r="I200" s="183"/>
      <c r="J200" s="183"/>
      <c r="K200" s="183"/>
      <c r="L200" s="183"/>
      <c r="N200" s="183"/>
      <c r="O200" s="183"/>
      <c r="P200" s="183"/>
      <c r="Q200" s="183"/>
      <c r="R200" s="183"/>
      <c r="S200" s="183"/>
      <c r="T200" s="183"/>
      <c r="U200" s="183"/>
      <c r="V200" s="183"/>
      <c r="W200" s="183"/>
      <c r="X200" s="183"/>
      <c r="Y200" s="183"/>
      <c r="Z200" s="183"/>
      <c r="AA200" s="183"/>
      <c r="AB200" s="183"/>
    </row>
    <row r="201" spans="8:8" ht="15.75" hidden="1">
      <c r="F201" s="183"/>
      <c r="H201" s="185"/>
      <c r="I201" s="183"/>
      <c r="J201" s="183"/>
      <c r="K201" s="183"/>
      <c r="L201" s="183"/>
      <c r="N201" s="183"/>
      <c r="O201" s="183"/>
      <c r="P201" s="183"/>
      <c r="Q201" s="183"/>
      <c r="R201" s="183"/>
      <c r="S201" s="183"/>
      <c r="T201" s="183"/>
      <c r="U201" s="183"/>
      <c r="V201" s="183"/>
      <c r="W201" s="183"/>
      <c r="X201" s="183"/>
      <c r="Y201" s="183"/>
      <c r="Z201" s="183"/>
      <c r="AA201" s="183"/>
      <c r="AB201" s="183"/>
    </row>
    <row r="202" spans="8:8" ht="15.75" hidden="1">
      <c r="F202" s="183"/>
      <c r="H202" s="185"/>
      <c r="I202" s="183"/>
      <c r="J202" s="183"/>
      <c r="K202" s="183"/>
      <c r="L202" s="183"/>
      <c r="N202" s="183"/>
      <c r="O202" s="183"/>
      <c r="P202" s="183"/>
      <c r="Q202" s="183"/>
      <c r="R202" s="183"/>
      <c r="S202" s="183"/>
      <c r="T202" s="183"/>
      <c r="U202" s="183"/>
      <c r="V202" s="183"/>
      <c r="W202" s="183"/>
      <c r="X202" s="183"/>
      <c r="Y202" s="183"/>
      <c r="Z202" s="183"/>
      <c r="AA202" s="183"/>
      <c r="AB202" s="183"/>
    </row>
    <row r="203" spans="8:8" ht="15.75" hidden="1">
      <c r="F203" s="183"/>
      <c r="H203" s="185"/>
      <c r="I203" s="183"/>
      <c r="J203" s="183"/>
      <c r="K203" s="183"/>
      <c r="L203" s="183"/>
      <c r="N203" s="183"/>
      <c r="O203" s="183"/>
      <c r="P203" s="183"/>
      <c r="Q203" s="183"/>
      <c r="R203" s="183"/>
      <c r="S203" s="183"/>
      <c r="T203" s="183"/>
      <c r="U203" s="183"/>
      <c r="V203" s="183"/>
      <c r="W203" s="183"/>
      <c r="X203" s="183"/>
      <c r="Y203" s="183"/>
      <c r="Z203" s="183"/>
      <c r="AA203" s="183"/>
      <c r="AB203" s="183"/>
    </row>
    <row r="204" spans="8:8" ht="15.75" hidden="1">
      <c r="F204" s="183"/>
      <c r="H204" s="185"/>
      <c r="I204" s="183"/>
      <c r="J204" s="183"/>
      <c r="K204" s="183"/>
      <c r="L204" s="183"/>
      <c r="N204" s="183"/>
      <c r="O204" s="183"/>
      <c r="P204" s="183"/>
      <c r="Q204" s="183"/>
      <c r="R204" s="183"/>
      <c r="S204" s="183"/>
      <c r="T204" s="183"/>
      <c r="U204" s="183"/>
      <c r="V204" s="183"/>
      <c r="W204" s="183"/>
      <c r="X204" s="183"/>
      <c r="Y204" s="183"/>
      <c r="Z204" s="183"/>
      <c r="AA204" s="183"/>
      <c r="AB204" s="183"/>
    </row>
    <row r="205" spans="8:8" ht="15.75" hidden="1">
      <c r="F205" s="183"/>
      <c r="H205" s="185"/>
      <c r="I205" s="183"/>
      <c r="J205" s="183"/>
      <c r="K205" s="183"/>
      <c r="L205" s="183"/>
      <c r="N205" s="183"/>
      <c r="O205" s="183"/>
      <c r="P205" s="183"/>
      <c r="Q205" s="183"/>
      <c r="R205" s="183"/>
      <c r="S205" s="183"/>
      <c r="T205" s="183"/>
      <c r="U205" s="183"/>
      <c r="V205" s="183"/>
      <c r="W205" s="183"/>
      <c r="X205" s="183"/>
      <c r="Y205" s="183"/>
      <c r="Z205" s="183"/>
      <c r="AA205" s="183"/>
      <c r="AB205" s="183"/>
    </row>
    <row r="206" spans="8:8" ht="15.75" hidden="1">
      <c r="F206" s="183"/>
      <c r="H206" s="185"/>
      <c r="I206" s="183"/>
      <c r="J206" s="183"/>
      <c r="K206" s="183"/>
      <c r="L206" s="183"/>
      <c r="N206" s="183"/>
      <c r="O206" s="183"/>
      <c r="P206" s="183"/>
      <c r="Q206" s="183"/>
      <c r="R206" s="183"/>
      <c r="S206" s="183"/>
      <c r="T206" s="183"/>
      <c r="U206" s="183"/>
      <c r="V206" s="183"/>
      <c r="W206" s="183"/>
      <c r="X206" s="183"/>
      <c r="Y206" s="183"/>
      <c r="Z206" s="183"/>
      <c r="AA206" s="183"/>
      <c r="AB206" s="183"/>
    </row>
    <row r="207" spans="8:8" ht="15.75" hidden="1">
      <c r="F207" s="183"/>
      <c r="H207" s="185"/>
      <c r="I207" s="183"/>
      <c r="J207" s="183"/>
      <c r="K207" s="183"/>
      <c r="L207" s="183"/>
      <c r="N207" s="183"/>
      <c r="O207" s="183"/>
      <c r="P207" s="183"/>
      <c r="Q207" s="183"/>
      <c r="R207" s="183"/>
      <c r="S207" s="183"/>
      <c r="T207" s="183"/>
      <c r="U207" s="183"/>
      <c r="V207" s="183"/>
      <c r="W207" s="183"/>
      <c r="X207" s="183"/>
      <c r="Y207" s="183"/>
      <c r="Z207" s="183"/>
      <c r="AA207" s="183"/>
      <c r="AB207" s="183"/>
    </row>
    <row r="208" spans="8:8" ht="15.75" hidden="1">
      <c r="F208" s="183"/>
      <c r="H208" s="185"/>
      <c r="I208" s="183"/>
      <c r="J208" s="183"/>
      <c r="K208" s="183"/>
      <c r="L208" s="183"/>
      <c r="N208" s="183"/>
      <c r="O208" s="183"/>
      <c r="P208" s="183"/>
      <c r="Q208" s="183"/>
      <c r="R208" s="183"/>
      <c r="S208" s="183"/>
      <c r="T208" s="183"/>
      <c r="U208" s="183"/>
      <c r="V208" s="183"/>
      <c r="W208" s="183"/>
      <c r="X208" s="183"/>
      <c r="Y208" s="183"/>
      <c r="Z208" s="183"/>
      <c r="AA208" s="183"/>
      <c r="AB208" s="183"/>
    </row>
    <row r="209" spans="8:8" ht="15.75" hidden="1">
      <c r="F209" s="183"/>
      <c r="H209" s="185"/>
      <c r="I209" s="183"/>
      <c r="J209" s="183"/>
      <c r="K209" s="183"/>
      <c r="L209" s="183"/>
      <c r="N209" s="183"/>
      <c r="O209" s="183"/>
      <c r="P209" s="183"/>
      <c r="Q209" s="183"/>
      <c r="R209" s="183"/>
      <c r="S209" s="183"/>
      <c r="T209" s="183"/>
      <c r="U209" s="183"/>
      <c r="V209" s="183"/>
      <c r="W209" s="183"/>
      <c r="X209" s="183"/>
      <c r="Y209" s="183"/>
      <c r="Z209" s="183"/>
      <c r="AA209" s="183"/>
      <c r="AB209" s="183"/>
    </row>
    <row r="210" spans="8:8" ht="15.75" hidden="1">
      <c r="F210" s="183"/>
      <c r="H210" s="185"/>
      <c r="I210" s="183"/>
      <c r="J210" s="183"/>
      <c r="K210" s="183"/>
      <c r="L210" s="183"/>
      <c r="N210" s="183"/>
      <c r="O210" s="183"/>
      <c r="P210" s="183"/>
      <c r="Q210" s="183"/>
      <c r="R210" s="183"/>
      <c r="S210" s="183"/>
      <c r="T210" s="183"/>
      <c r="U210" s="183"/>
      <c r="V210" s="183"/>
      <c r="W210" s="183"/>
      <c r="X210" s="183"/>
      <c r="Y210" s="183"/>
      <c r="Z210" s="183"/>
      <c r="AA210" s="183"/>
      <c r="AB210" s="183"/>
    </row>
    <row r="211" spans="8:8" ht="15.75" hidden="1">
      <c r="F211" s="183"/>
      <c r="H211" s="185"/>
      <c r="I211" s="183"/>
      <c r="J211" s="183"/>
      <c r="K211" s="183"/>
      <c r="L211" s="183"/>
      <c r="N211" s="183"/>
      <c r="O211" s="183"/>
      <c r="P211" s="183"/>
      <c r="Q211" s="183"/>
      <c r="R211" s="183"/>
      <c r="S211" s="183"/>
      <c r="T211" s="183"/>
      <c r="U211" s="183"/>
      <c r="V211" s="183"/>
      <c r="W211" s="183"/>
      <c r="X211" s="183"/>
      <c r="Y211" s="183"/>
      <c r="Z211" s="183"/>
      <c r="AA211" s="183"/>
      <c r="AB211" s="183"/>
    </row>
    <row r="212" spans="8:8" ht="15.75" hidden="1">
      <c r="F212" s="183"/>
      <c r="H212" s="185"/>
      <c r="I212" s="183"/>
      <c r="J212" s="183"/>
      <c r="K212" s="183"/>
      <c r="L212" s="183"/>
      <c r="N212" s="183"/>
      <c r="O212" s="183"/>
      <c r="P212" s="183"/>
      <c r="Q212" s="183"/>
      <c r="R212" s="183"/>
      <c r="S212" s="183"/>
      <c r="T212" s="183"/>
      <c r="U212" s="183"/>
      <c r="V212" s="183"/>
      <c r="W212" s="183"/>
      <c r="X212" s="183"/>
      <c r="Y212" s="183"/>
      <c r="Z212" s="183"/>
      <c r="AA212" s="183"/>
      <c r="AB212" s="183"/>
    </row>
    <row r="213" spans="8:8" ht="15.75" hidden="1">
      <c r="F213" s="183"/>
      <c r="H213" s="185"/>
      <c r="I213" s="183"/>
      <c r="J213" s="183"/>
      <c r="K213" s="183"/>
      <c r="L213" s="183"/>
      <c r="N213" s="183"/>
      <c r="O213" s="183"/>
      <c r="P213" s="183"/>
      <c r="Q213" s="183"/>
      <c r="R213" s="183"/>
      <c r="S213" s="183"/>
      <c r="T213" s="183"/>
      <c r="U213" s="183"/>
      <c r="V213" s="183"/>
      <c r="W213" s="183"/>
      <c r="X213" s="183"/>
      <c r="Y213" s="183"/>
      <c r="Z213" s="183"/>
      <c r="AA213" s="183"/>
      <c r="AB213" s="183"/>
    </row>
    <row r="214" spans="8:8" ht="15.75" hidden="1">
      <c r="F214" s="183"/>
      <c r="H214" s="185"/>
      <c r="I214" s="183"/>
      <c r="J214" s="183"/>
      <c r="K214" s="183"/>
      <c r="L214" s="183"/>
      <c r="N214" s="183"/>
      <c r="O214" s="183"/>
      <c r="P214" s="183"/>
      <c r="Q214" s="183"/>
      <c r="R214" s="183"/>
      <c r="S214" s="183"/>
      <c r="T214" s="183"/>
      <c r="U214" s="183"/>
      <c r="V214" s="183"/>
      <c r="W214" s="183"/>
      <c r="X214" s="183"/>
      <c r="Y214" s="183"/>
      <c r="Z214" s="183"/>
      <c r="AA214" s="183"/>
      <c r="AB214" s="183"/>
    </row>
    <row r="215" spans="8:8" ht="15.75" hidden="1">
      <c r="F215" s="183"/>
      <c r="H215" s="185"/>
      <c r="I215" s="183"/>
      <c r="J215" s="183"/>
      <c r="K215" s="183"/>
      <c r="L215" s="183"/>
      <c r="N215" s="183"/>
      <c r="O215" s="183"/>
      <c r="P215" s="183"/>
      <c r="Q215" s="183"/>
      <c r="R215" s="183"/>
      <c r="S215" s="183"/>
      <c r="T215" s="183"/>
      <c r="U215" s="183"/>
      <c r="V215" s="183"/>
      <c r="W215" s="183"/>
      <c r="X215" s="183"/>
      <c r="Y215" s="183"/>
      <c r="Z215" s="183"/>
      <c r="AA215" s="183"/>
      <c r="AB215" s="183"/>
    </row>
    <row r="216" spans="8:8" ht="15.75" hidden="1">
      <c r="F216" s="183"/>
      <c r="H216" s="185"/>
      <c r="I216" s="183"/>
      <c r="J216" s="183"/>
      <c r="K216" s="183"/>
      <c r="L216" s="183"/>
      <c r="N216" s="183"/>
      <c r="O216" s="183"/>
      <c r="P216" s="183"/>
      <c r="Q216" s="183"/>
      <c r="R216" s="183"/>
      <c r="S216" s="183"/>
      <c r="T216" s="183"/>
      <c r="U216" s="183"/>
      <c r="V216" s="183"/>
      <c r="W216" s="183"/>
      <c r="X216" s="183"/>
      <c r="Y216" s="183"/>
      <c r="Z216" s="183"/>
      <c r="AA216" s="183"/>
      <c r="AB216" s="183"/>
    </row>
    <row r="217" spans="8:8" ht="15.75" hidden="1">
      <c r="F217" s="183"/>
      <c r="H217" s="185"/>
      <c r="I217" s="183"/>
      <c r="J217" s="183"/>
      <c r="K217" s="183"/>
      <c r="L217" s="183"/>
      <c r="N217" s="183"/>
      <c r="O217" s="183"/>
      <c r="P217" s="183"/>
      <c r="Q217" s="183"/>
      <c r="R217" s="183"/>
      <c r="S217" s="183"/>
      <c r="T217" s="183"/>
      <c r="U217" s="183"/>
      <c r="V217" s="183"/>
      <c r="W217" s="183"/>
      <c r="X217" s="183"/>
      <c r="Y217" s="183"/>
      <c r="Z217" s="183"/>
      <c r="AA217" s="183"/>
      <c r="AB217" s="183"/>
    </row>
    <row r="218" spans="8:8" ht="15.75" hidden="1">
      <c r="F218" s="183"/>
      <c r="H218" s="185"/>
      <c r="I218" s="183"/>
      <c r="J218" s="183"/>
      <c r="K218" s="183"/>
      <c r="L218" s="183"/>
      <c r="N218" s="183"/>
      <c r="O218" s="183"/>
      <c r="P218" s="183"/>
      <c r="Q218" s="183"/>
      <c r="R218" s="183"/>
      <c r="S218" s="183"/>
      <c r="T218" s="183"/>
      <c r="U218" s="183"/>
      <c r="V218" s="183"/>
      <c r="W218" s="183"/>
      <c r="X218" s="183"/>
      <c r="Y218" s="183"/>
      <c r="Z218" s="183"/>
      <c r="AA218" s="183"/>
      <c r="AB218" s="183"/>
    </row>
    <row r="219" spans="8:8" ht="15.75" hidden="1">
      <c r="F219" s="183"/>
      <c r="H219" s="185"/>
      <c r="I219" s="183"/>
      <c r="J219" s="183"/>
      <c r="K219" s="183"/>
      <c r="L219" s="183"/>
      <c r="N219" s="183"/>
      <c r="O219" s="183"/>
      <c r="P219" s="183"/>
      <c r="Q219" s="183"/>
      <c r="R219" s="183"/>
      <c r="S219" s="183"/>
      <c r="T219" s="183"/>
      <c r="U219" s="183"/>
      <c r="V219" s="183"/>
      <c r="W219" s="183"/>
      <c r="X219" s="183"/>
      <c r="Y219" s="183"/>
      <c r="Z219" s="183"/>
      <c r="AA219" s="183"/>
      <c r="AB219" s="183"/>
    </row>
    <row r="220" spans="8:8" ht="15.75" hidden="1">
      <c r="F220" s="183"/>
      <c r="H220" s="185"/>
      <c r="I220" s="183"/>
      <c r="J220" s="183"/>
      <c r="K220" s="183"/>
      <c r="L220" s="183"/>
      <c r="N220" s="183"/>
      <c r="O220" s="183"/>
      <c r="P220" s="183"/>
      <c r="Q220" s="183"/>
      <c r="R220" s="183"/>
      <c r="S220" s="183"/>
      <c r="T220" s="183"/>
      <c r="U220" s="183"/>
      <c r="V220" s="183"/>
      <c r="W220" s="183"/>
      <c r="X220" s="183"/>
      <c r="Y220" s="183"/>
      <c r="Z220" s="183"/>
      <c r="AA220" s="183"/>
      <c r="AB220" s="183"/>
    </row>
    <row r="221" spans="8:8" ht="15.75" hidden="1">
      <c r="F221" s="183"/>
      <c r="H221" s="185"/>
      <c r="I221" s="183"/>
      <c r="J221" s="183"/>
      <c r="K221" s="183"/>
      <c r="L221" s="183"/>
      <c r="N221" s="183"/>
      <c r="O221" s="183"/>
      <c r="P221" s="183"/>
      <c r="Q221" s="183"/>
      <c r="R221" s="183"/>
      <c r="S221" s="183"/>
      <c r="T221" s="183"/>
      <c r="U221" s="183"/>
      <c r="V221" s="183"/>
      <c r="W221" s="183"/>
      <c r="X221" s="183"/>
      <c r="Y221" s="183"/>
      <c r="Z221" s="183"/>
      <c r="AA221" s="183"/>
      <c r="AB221" s="183"/>
    </row>
    <row r="222" spans="8:8" ht="15.75" hidden="1">
      <c r="F222" s="183"/>
      <c r="H222" s="185"/>
      <c r="I222" s="183"/>
      <c r="J222" s="183"/>
      <c r="K222" s="183"/>
      <c r="L222" s="183"/>
      <c r="N222" s="183"/>
      <c r="O222" s="183"/>
      <c r="P222" s="183"/>
      <c r="Q222" s="183"/>
      <c r="R222" s="183"/>
      <c r="S222" s="183"/>
      <c r="T222" s="183"/>
      <c r="U222" s="183"/>
      <c r="V222" s="183"/>
      <c r="W222" s="183"/>
      <c r="X222" s="183"/>
      <c r="Y222" s="183"/>
      <c r="Z222" s="183"/>
      <c r="AA222" s="183"/>
      <c r="AB222" s="183"/>
    </row>
    <row r="223" spans="8:8" ht="15.75" hidden="1">
      <c r="F223" s="183"/>
      <c r="H223" s="185"/>
      <c r="I223" s="183"/>
      <c r="J223" s="183"/>
      <c r="K223" s="183"/>
      <c r="L223" s="183"/>
      <c r="N223" s="183"/>
      <c r="O223" s="183"/>
      <c r="P223" s="183"/>
      <c r="Q223" s="183"/>
      <c r="R223" s="183"/>
      <c r="S223" s="183"/>
      <c r="T223" s="183"/>
      <c r="U223" s="183"/>
      <c r="V223" s="183"/>
      <c r="W223" s="183"/>
      <c r="X223" s="183"/>
      <c r="Y223" s="183"/>
      <c r="Z223" s="183"/>
      <c r="AA223" s="183"/>
      <c r="AB223" s="183"/>
    </row>
    <row r="224" spans="8:8" ht="15.75" hidden="1">
      <c r="F224" s="183"/>
      <c r="H224" s="185"/>
      <c r="I224" s="183"/>
      <c r="J224" s="183"/>
      <c r="K224" s="183"/>
      <c r="L224" s="183"/>
      <c r="N224" s="183"/>
      <c r="O224" s="183"/>
      <c r="P224" s="183"/>
      <c r="Q224" s="183"/>
      <c r="R224" s="183"/>
      <c r="S224" s="183"/>
      <c r="T224" s="183"/>
      <c r="U224" s="183"/>
      <c r="V224" s="183"/>
      <c r="W224" s="183"/>
      <c r="X224" s="183"/>
      <c r="Y224" s="183"/>
      <c r="Z224" s="183"/>
      <c r="AA224" s="183"/>
      <c r="AB224" s="183"/>
    </row>
    <row r="225" spans="8:8" ht="15.75" hidden="1">
      <c r="F225" s="183"/>
      <c r="H225" s="185"/>
      <c r="I225" s="183"/>
      <c r="J225" s="183"/>
      <c r="K225" s="183"/>
      <c r="L225" s="183"/>
      <c r="N225" s="183"/>
      <c r="O225" s="183"/>
      <c r="P225" s="183"/>
      <c r="Q225" s="183"/>
      <c r="R225" s="183"/>
      <c r="S225" s="183"/>
      <c r="T225" s="183"/>
      <c r="U225" s="183"/>
      <c r="V225" s="183"/>
      <c r="W225" s="183"/>
      <c r="X225" s="183"/>
      <c r="Y225" s="183"/>
      <c r="Z225" s="183"/>
      <c r="AA225" s="183"/>
      <c r="AB225" s="183"/>
    </row>
    <row r="226" spans="8:8" ht="15.75" hidden="1">
      <c r="F226" s="183"/>
      <c r="H226" s="185"/>
      <c r="I226" s="183"/>
      <c r="J226" s="183"/>
      <c r="K226" s="183"/>
      <c r="L226" s="183"/>
      <c r="N226" s="183"/>
      <c r="O226" s="183"/>
      <c r="P226" s="183"/>
      <c r="Q226" s="183"/>
      <c r="R226" s="183"/>
      <c r="S226" s="183"/>
      <c r="T226" s="183"/>
      <c r="U226" s="183"/>
      <c r="V226" s="183"/>
      <c r="W226" s="183"/>
      <c r="X226" s="183"/>
      <c r="Y226" s="183"/>
      <c r="Z226" s="183"/>
      <c r="AA226" s="183"/>
      <c r="AB226" s="183"/>
    </row>
    <row r="227" spans="8:8" ht="15.75" hidden="1">
      <c r="F227" s="183"/>
      <c r="H227" s="185"/>
      <c r="I227" s="183"/>
      <c r="J227" s="183"/>
      <c r="K227" s="183"/>
      <c r="L227" s="183"/>
      <c r="N227" s="183"/>
      <c r="O227" s="183"/>
      <c r="P227" s="183"/>
      <c r="Q227" s="183"/>
      <c r="R227" s="183"/>
      <c r="S227" s="183"/>
      <c r="T227" s="183"/>
      <c r="U227" s="183"/>
      <c r="V227" s="183"/>
      <c r="W227" s="183"/>
      <c r="X227" s="183"/>
      <c r="Y227" s="183"/>
      <c r="Z227" s="183"/>
      <c r="AA227" s="183"/>
      <c r="AB227" s="183"/>
    </row>
    <row r="228" spans="8:8" ht="15.75" hidden="1">
      <c r="F228" s="183"/>
      <c r="H228" s="185"/>
      <c r="I228" s="183"/>
      <c r="J228" s="183"/>
      <c r="K228" s="183"/>
      <c r="L228" s="183"/>
      <c r="N228" s="183"/>
      <c r="O228" s="183"/>
      <c r="P228" s="183"/>
      <c r="Q228" s="183"/>
      <c r="R228" s="183"/>
      <c r="S228" s="183"/>
      <c r="T228" s="183"/>
      <c r="U228" s="183"/>
      <c r="V228" s="183"/>
      <c r="W228" s="183"/>
      <c r="X228" s="183"/>
      <c r="Y228" s="183"/>
      <c r="Z228" s="183"/>
      <c r="AA228" s="183"/>
      <c r="AB228" s="183"/>
    </row>
    <row r="229" spans="8:8" ht="15.75" hidden="1">
      <c r="F229" s="183"/>
      <c r="H229" s="185"/>
      <c r="I229" s="183"/>
      <c r="J229" s="183"/>
      <c r="K229" s="183"/>
      <c r="L229" s="183"/>
      <c r="N229" s="183"/>
      <c r="O229" s="183"/>
      <c r="P229" s="183"/>
      <c r="Q229" s="183"/>
      <c r="R229" s="183"/>
      <c r="S229" s="183"/>
      <c r="T229" s="183"/>
      <c r="U229" s="183"/>
      <c r="V229" s="183"/>
      <c r="W229" s="183"/>
      <c r="X229" s="183"/>
      <c r="Y229" s="183"/>
      <c r="Z229" s="183"/>
      <c r="AA229" s="183"/>
      <c r="AB229" s="183"/>
    </row>
    <row r="230" spans="8:8" ht="15.75" hidden="1">
      <c r="F230" s="183"/>
      <c r="H230" s="185"/>
      <c r="I230" s="183"/>
      <c r="J230" s="183"/>
      <c r="K230" s="183"/>
      <c r="L230" s="183"/>
      <c r="N230" s="183"/>
      <c r="O230" s="183"/>
      <c r="P230" s="183"/>
      <c r="Q230" s="183"/>
      <c r="R230" s="183"/>
      <c r="S230" s="183"/>
      <c r="T230" s="183"/>
      <c r="U230" s="183"/>
      <c r="V230" s="183"/>
      <c r="W230" s="183"/>
      <c r="X230" s="183"/>
      <c r="Y230" s="183"/>
      <c r="Z230" s="183"/>
      <c r="AA230" s="183"/>
      <c r="AB230" s="183"/>
    </row>
    <row r="231" spans="8:8" ht="15.75" hidden="1">
      <c r="F231" s="183"/>
      <c r="H231" s="185"/>
      <c r="I231" s="183"/>
      <c r="J231" s="183"/>
      <c r="K231" s="183"/>
      <c r="L231" s="183"/>
      <c r="N231" s="183"/>
      <c r="O231" s="183"/>
      <c r="P231" s="183"/>
      <c r="Q231" s="183"/>
      <c r="R231" s="183"/>
      <c r="S231" s="183"/>
      <c r="T231" s="183"/>
      <c r="U231" s="183"/>
      <c r="V231" s="183"/>
      <c r="W231" s="183"/>
      <c r="X231" s="183"/>
      <c r="Y231" s="183"/>
      <c r="Z231" s="183"/>
      <c r="AA231" s="183"/>
      <c r="AB231" s="183"/>
    </row>
    <row r="232" spans="8:8" ht="15.75" hidden="1">
      <c r="F232" s="183"/>
      <c r="H232" s="185"/>
      <c r="I232" s="183"/>
      <c r="J232" s="183"/>
      <c r="K232" s="183"/>
      <c r="L232" s="183"/>
      <c r="N232" s="183"/>
      <c r="O232" s="183"/>
      <c r="P232" s="183"/>
      <c r="Q232" s="183"/>
      <c r="R232" s="183"/>
      <c r="S232" s="183"/>
      <c r="T232" s="183"/>
      <c r="U232" s="183"/>
      <c r="V232" s="183"/>
      <c r="W232" s="183"/>
      <c r="X232" s="183"/>
      <c r="Y232" s="183"/>
      <c r="Z232" s="183"/>
      <c r="AA232" s="183"/>
      <c r="AB232" s="183"/>
    </row>
    <row r="233" spans="8:8" ht="15.75" hidden="1">
      <c r="F233" s="183"/>
      <c r="H233" s="185"/>
      <c r="I233" s="183"/>
      <c r="J233" s="183"/>
      <c r="K233" s="183"/>
      <c r="L233" s="183"/>
      <c r="N233" s="183"/>
      <c r="O233" s="183"/>
      <c r="P233" s="183"/>
      <c r="Q233" s="183"/>
      <c r="R233" s="183"/>
      <c r="S233" s="183"/>
      <c r="T233" s="183"/>
      <c r="U233" s="183"/>
      <c r="V233" s="183"/>
      <c r="W233" s="183"/>
      <c r="X233" s="183"/>
      <c r="Y233" s="183"/>
      <c r="Z233" s="183"/>
      <c r="AA233" s="183"/>
      <c r="AB233" s="183"/>
    </row>
    <row r="234" spans="8:8" ht="15.75" hidden="1">
      <c r="F234" s="183"/>
      <c r="H234" s="185"/>
      <c r="I234" s="183"/>
      <c r="J234" s="183"/>
      <c r="K234" s="183"/>
      <c r="L234" s="183"/>
      <c r="N234" s="183"/>
      <c r="O234" s="183"/>
      <c r="P234" s="183"/>
      <c r="Q234" s="183"/>
      <c r="R234" s="183"/>
      <c r="S234" s="183"/>
      <c r="T234" s="183"/>
      <c r="U234" s="183"/>
      <c r="V234" s="183"/>
      <c r="W234" s="183"/>
      <c r="X234" s="183"/>
      <c r="Y234" s="183"/>
      <c r="Z234" s="183"/>
      <c r="AA234" s="183"/>
      <c r="AB234" s="183"/>
    </row>
    <row r="235" spans="8:8" ht="15.75" hidden="1">
      <c r="F235" s="183"/>
      <c r="H235" s="185"/>
      <c r="I235" s="183"/>
      <c r="J235" s="183"/>
      <c r="K235" s="183"/>
      <c r="L235" s="183"/>
      <c r="N235" s="183"/>
      <c r="O235" s="183"/>
      <c r="P235" s="183"/>
      <c r="Q235" s="183"/>
      <c r="R235" s="183"/>
      <c r="S235" s="183"/>
      <c r="T235" s="183"/>
      <c r="U235" s="183"/>
      <c r="V235" s="183"/>
      <c r="W235" s="183"/>
      <c r="X235" s="183"/>
      <c r="Y235" s="183"/>
      <c r="Z235" s="183"/>
      <c r="AA235" s="183"/>
      <c r="AB235" s="183"/>
    </row>
    <row r="236" spans="8:8" ht="15.75" hidden="1">
      <c r="F236" s="183"/>
      <c r="H236" s="185"/>
      <c r="I236" s="183"/>
      <c r="J236" s="183"/>
      <c r="K236" s="183"/>
      <c r="L236" s="183"/>
      <c r="N236" s="183"/>
      <c r="O236" s="183"/>
      <c r="P236" s="183"/>
      <c r="Q236" s="183"/>
      <c r="R236" s="183"/>
      <c r="S236" s="183"/>
      <c r="T236" s="183"/>
      <c r="U236" s="183"/>
      <c r="V236" s="183"/>
      <c r="W236" s="183"/>
      <c r="X236" s="183"/>
      <c r="Y236" s="183"/>
      <c r="Z236" s="183"/>
      <c r="AA236" s="183"/>
      <c r="AB236" s="183"/>
    </row>
    <row r="237" spans="8:8" ht="15.75" hidden="1">
      <c r="F237" s="183"/>
      <c r="H237" s="185"/>
      <c r="I237" s="183"/>
      <c r="J237" s="183"/>
      <c r="K237" s="183"/>
      <c r="L237" s="183"/>
      <c r="N237" s="183"/>
      <c r="O237" s="183"/>
      <c r="P237" s="183"/>
      <c r="Q237" s="183"/>
      <c r="R237" s="183"/>
      <c r="S237" s="183"/>
      <c r="T237" s="183"/>
      <c r="U237" s="183"/>
      <c r="V237" s="183"/>
      <c r="W237" s="183"/>
      <c r="X237" s="183"/>
      <c r="Y237" s="183"/>
      <c r="Z237" s="183"/>
      <c r="AA237" s="183"/>
      <c r="AB237" s="183"/>
    </row>
    <row r="238" spans="8:8" ht="15.75" hidden="1">
      <c r="F238" s="183"/>
      <c r="H238" s="185"/>
      <c r="I238" s="183"/>
      <c r="J238" s="183"/>
      <c r="K238" s="183"/>
      <c r="L238" s="183"/>
      <c r="N238" s="183"/>
      <c r="O238" s="183"/>
      <c r="P238" s="183"/>
      <c r="Q238" s="183"/>
      <c r="R238" s="183"/>
      <c r="S238" s="183"/>
      <c r="T238" s="183"/>
      <c r="U238" s="183"/>
      <c r="V238" s="183"/>
      <c r="W238" s="183"/>
      <c r="X238" s="183"/>
      <c r="Y238" s="183"/>
      <c r="Z238" s="183"/>
      <c r="AA238" s="183"/>
      <c r="AB238" s="183"/>
    </row>
    <row r="239" spans="8:8" ht="15.75" hidden="1">
      <c r="F239" s="183"/>
      <c r="H239" s="185"/>
      <c r="I239" s="183"/>
      <c r="J239" s="183"/>
      <c r="K239" s="183"/>
      <c r="L239" s="183"/>
      <c r="N239" s="183"/>
      <c r="O239" s="183"/>
      <c r="P239" s="183"/>
      <c r="Q239" s="183"/>
      <c r="R239" s="183"/>
      <c r="S239" s="183"/>
      <c r="T239" s="183"/>
      <c r="U239" s="183"/>
      <c r="V239" s="183"/>
      <c r="W239" s="183"/>
      <c r="X239" s="183"/>
      <c r="Y239" s="183"/>
      <c r="Z239" s="183"/>
      <c r="AA239" s="183"/>
      <c r="AB239" s="183"/>
    </row>
    <row r="240" spans="8:8" ht="15.75" hidden="1">
      <c r="F240" s="183"/>
      <c r="H240" s="185"/>
      <c r="I240" s="183"/>
      <c r="J240" s="183"/>
      <c r="K240" s="183"/>
      <c r="L240" s="183"/>
      <c r="N240" s="183"/>
      <c r="O240" s="183"/>
      <c r="P240" s="183"/>
      <c r="Q240" s="183"/>
      <c r="R240" s="183"/>
      <c r="S240" s="183"/>
      <c r="T240" s="183"/>
      <c r="U240" s="183"/>
      <c r="V240" s="183"/>
      <c r="W240" s="183"/>
      <c r="X240" s="183"/>
      <c r="Y240" s="183"/>
      <c r="Z240" s="183"/>
      <c r="AA240" s="183"/>
      <c r="AB240" s="183"/>
    </row>
    <row r="241" spans="8:8" ht="15.75" hidden="1">
      <c r="F241" s="183"/>
      <c r="H241" s="185"/>
      <c r="I241" s="183"/>
      <c r="J241" s="183"/>
      <c r="K241" s="183"/>
      <c r="L241" s="183"/>
      <c r="N241" s="183"/>
      <c r="O241" s="183"/>
      <c r="P241" s="183"/>
      <c r="Q241" s="183"/>
      <c r="R241" s="183"/>
      <c r="S241" s="183"/>
      <c r="T241" s="183"/>
      <c r="U241" s="183"/>
      <c r="V241" s="183"/>
      <c r="W241" s="183"/>
      <c r="X241" s="183"/>
      <c r="Y241" s="183"/>
      <c r="Z241" s="183"/>
      <c r="AA241" s="183"/>
      <c r="AB241" s="183"/>
    </row>
    <row r="242" spans="8:8" ht="15.75" hidden="1">
      <c r="F242" s="183"/>
      <c r="H242" s="185"/>
      <c r="I242" s="183"/>
      <c r="J242" s="183"/>
      <c r="K242" s="183"/>
      <c r="L242" s="183"/>
      <c r="N242" s="183"/>
      <c r="O242" s="183"/>
      <c r="P242" s="183"/>
      <c r="Q242" s="183"/>
      <c r="R242" s="183"/>
      <c r="S242" s="183"/>
      <c r="T242" s="183"/>
      <c r="U242" s="183"/>
      <c r="V242" s="183"/>
      <c r="W242" s="183"/>
      <c r="X242" s="183"/>
      <c r="Y242" s="183"/>
      <c r="Z242" s="183"/>
      <c r="AA242" s="183"/>
      <c r="AB242" s="183"/>
    </row>
    <row r="243" spans="8:8" ht="15.75" hidden="1">
      <c r="F243" s="183"/>
      <c r="H243" s="185"/>
      <c r="I243" s="183"/>
      <c r="J243" s="183"/>
      <c r="K243" s="183"/>
      <c r="L243" s="183"/>
      <c r="N243" s="183"/>
      <c r="O243" s="183"/>
      <c r="P243" s="183"/>
      <c r="Q243" s="183"/>
      <c r="R243" s="183"/>
      <c r="S243" s="183"/>
      <c r="T243" s="183"/>
      <c r="U243" s="183"/>
      <c r="V243" s="183"/>
      <c r="W243" s="183"/>
      <c r="X243" s="183"/>
      <c r="Y243" s="183"/>
      <c r="Z243" s="183"/>
      <c r="AA243" s="183"/>
      <c r="AB243" s="183"/>
    </row>
    <row r="244" spans="8:8" ht="15.75" hidden="1">
      <c r="F244" s="183"/>
      <c r="H244" s="185"/>
      <c r="I244" s="183"/>
      <c r="J244" s="183"/>
      <c r="K244" s="183"/>
      <c r="L244" s="183"/>
      <c r="N244" s="183"/>
      <c r="O244" s="183"/>
      <c r="P244" s="183"/>
      <c r="Q244" s="183"/>
      <c r="R244" s="183"/>
      <c r="S244" s="183"/>
      <c r="T244" s="183"/>
      <c r="U244" s="183"/>
      <c r="V244" s="183"/>
      <c r="W244" s="183"/>
      <c r="X244" s="183"/>
      <c r="Y244" s="183"/>
      <c r="Z244" s="183"/>
      <c r="AA244" s="183"/>
      <c r="AB244" s="183"/>
    </row>
    <row r="245" spans="8:8" ht="15.75" hidden="1">
      <c r="F245" s="183"/>
      <c r="H245" s="185"/>
      <c r="I245" s="183"/>
      <c r="J245" s="183"/>
      <c r="K245" s="183"/>
      <c r="L245" s="183"/>
      <c r="N245" s="183"/>
      <c r="O245" s="183"/>
      <c r="P245" s="183"/>
      <c r="Q245" s="183"/>
      <c r="R245" s="183"/>
      <c r="S245" s="183"/>
      <c r="T245" s="183"/>
      <c r="U245" s="183"/>
      <c r="V245" s="183"/>
      <c r="W245" s="183"/>
      <c r="X245" s="183"/>
      <c r="Y245" s="183"/>
      <c r="Z245" s="183"/>
      <c r="AA245" s="183"/>
      <c r="AB245" s="183"/>
    </row>
    <row r="246" spans="8:8" ht="15.75" hidden="1">
      <c r="F246" s="183"/>
      <c r="H246" s="185"/>
      <c r="I246" s="183"/>
      <c r="J246" s="183"/>
      <c r="K246" s="183"/>
      <c r="L246" s="183"/>
      <c r="N246" s="183"/>
      <c r="O246" s="183"/>
      <c r="P246" s="183"/>
      <c r="Q246" s="183"/>
      <c r="R246" s="183"/>
      <c r="S246" s="183"/>
      <c r="T246" s="183"/>
      <c r="U246" s="183"/>
      <c r="V246" s="183"/>
      <c r="W246" s="183"/>
      <c r="X246" s="183"/>
      <c r="Y246" s="183"/>
      <c r="Z246" s="183"/>
      <c r="AA246" s="183"/>
      <c r="AB246" s="183"/>
    </row>
    <row r="247" spans="8:8" ht="15.75" hidden="1">
      <c r="F247" s="183"/>
      <c r="H247" s="185"/>
      <c r="I247" s="183"/>
      <c r="J247" s="183"/>
      <c r="K247" s="183"/>
      <c r="L247" s="183"/>
      <c r="N247" s="183"/>
      <c r="O247" s="183"/>
      <c r="P247" s="183"/>
      <c r="Q247" s="183"/>
      <c r="R247" s="183"/>
      <c r="S247" s="183"/>
      <c r="T247" s="183"/>
      <c r="U247" s="183"/>
      <c r="V247" s="183"/>
      <c r="W247" s="183"/>
      <c r="X247" s="183"/>
      <c r="Y247" s="183"/>
      <c r="Z247" s="183"/>
      <c r="AA247" s="183"/>
      <c r="AB247" s="183"/>
    </row>
    <row r="248" spans="8:8" ht="15.75" hidden="1">
      <c r="F248" s="183"/>
      <c r="H248" s="185"/>
      <c r="I248" s="183"/>
      <c r="J248" s="183"/>
      <c r="K248" s="183"/>
      <c r="L248" s="183"/>
      <c r="N248" s="183"/>
      <c r="O248" s="183"/>
      <c r="P248" s="183"/>
      <c r="Q248" s="183"/>
      <c r="R248" s="183"/>
      <c r="S248" s="183"/>
      <c r="T248" s="183"/>
      <c r="U248" s="183"/>
      <c r="V248" s="183"/>
      <c r="W248" s="183"/>
      <c r="X248" s="183"/>
      <c r="Y248" s="183"/>
      <c r="Z248" s="183"/>
      <c r="AA248" s="183"/>
      <c r="AB248" s="183"/>
    </row>
    <row r="249" spans="8:8" ht="15.75" hidden="1">
      <c r="F249" s="183"/>
      <c r="H249" s="185"/>
      <c r="I249" s="183"/>
      <c r="J249" s="183"/>
      <c r="K249" s="183"/>
      <c r="L249" s="183"/>
      <c r="N249" s="183"/>
      <c r="O249" s="183"/>
      <c r="P249" s="183"/>
      <c r="Q249" s="183"/>
      <c r="R249" s="183"/>
      <c r="S249" s="183"/>
      <c r="T249" s="183"/>
      <c r="U249" s="183"/>
      <c r="V249" s="183"/>
      <c r="W249" s="183"/>
      <c r="X249" s="183"/>
      <c r="Y249" s="183"/>
      <c r="Z249" s="183"/>
      <c r="AA249" s="183"/>
      <c r="AB249" s="183"/>
    </row>
    <row r="250" spans="8:8" ht="15.75" hidden="1">
      <c r="F250" s="183"/>
      <c r="H250" s="185"/>
      <c r="I250" s="183"/>
      <c r="J250" s="183"/>
      <c r="K250" s="183"/>
      <c r="L250" s="183"/>
      <c r="N250" s="183"/>
      <c r="O250" s="183"/>
      <c r="P250" s="183"/>
      <c r="Q250" s="183"/>
      <c r="R250" s="183"/>
      <c r="S250" s="183"/>
      <c r="T250" s="183"/>
      <c r="U250" s="183"/>
      <c r="V250" s="183"/>
      <c r="W250" s="183"/>
      <c r="X250" s="183"/>
      <c r="Y250" s="183"/>
      <c r="Z250" s="183"/>
      <c r="AA250" s="183"/>
      <c r="AB250" s="183"/>
    </row>
    <row r="251" spans="8:8" ht="15.75" hidden="1">
      <c r="F251" s="183"/>
      <c r="H251" s="185"/>
      <c r="I251" s="183"/>
      <c r="J251" s="183"/>
      <c r="K251" s="183"/>
      <c r="L251" s="183"/>
      <c r="N251" s="183"/>
      <c r="O251" s="183"/>
      <c r="P251" s="183"/>
      <c r="Q251" s="183"/>
      <c r="R251" s="183"/>
      <c r="S251" s="183"/>
      <c r="T251" s="183"/>
      <c r="U251" s="183"/>
      <c r="V251" s="183"/>
      <c r="W251" s="183"/>
      <c r="X251" s="183"/>
      <c r="Y251" s="183"/>
      <c r="Z251" s="183"/>
      <c r="AA251" s="183"/>
      <c r="AB251" s="183"/>
    </row>
    <row r="252" spans="8:8" ht="15.75" hidden="1">
      <c r="F252" s="183"/>
      <c r="H252" s="185"/>
      <c r="I252" s="183"/>
      <c r="J252" s="183"/>
      <c r="K252" s="183"/>
      <c r="L252" s="183"/>
      <c r="N252" s="183"/>
      <c r="O252" s="183"/>
      <c r="P252" s="183"/>
      <c r="Q252" s="183"/>
      <c r="R252" s="183"/>
      <c r="S252" s="183"/>
      <c r="T252" s="183"/>
      <c r="U252" s="183"/>
      <c r="V252" s="183"/>
      <c r="W252" s="183"/>
      <c r="X252" s="183"/>
      <c r="Y252" s="183"/>
      <c r="Z252" s="183"/>
      <c r="AA252" s="183"/>
      <c r="AB252" s="183"/>
    </row>
    <row r="253" spans="8:8" ht="15.75" hidden="1">
      <c r="F253" s="183"/>
      <c r="H253" s="185"/>
      <c r="I253" s="183"/>
      <c r="J253" s="183"/>
      <c r="K253" s="183"/>
      <c r="L253" s="183"/>
      <c r="N253" s="183"/>
      <c r="O253" s="183"/>
      <c r="P253" s="183"/>
      <c r="Q253" s="183"/>
      <c r="R253" s="183"/>
      <c r="S253" s="183"/>
      <c r="T253" s="183"/>
      <c r="U253" s="183"/>
      <c r="V253" s="183"/>
      <c r="W253" s="183"/>
      <c r="X253" s="183"/>
      <c r="Y253" s="183"/>
      <c r="Z253" s="183"/>
      <c r="AA253" s="183"/>
      <c r="AB253" s="183"/>
    </row>
    <row r="254" spans="8:8" ht="15.75" hidden="1">
      <c r="F254" s="183"/>
      <c r="H254" s="185"/>
      <c r="I254" s="183"/>
      <c r="J254" s="183"/>
      <c r="K254" s="183"/>
      <c r="L254" s="183"/>
      <c r="N254" s="183"/>
      <c r="O254" s="183"/>
      <c r="P254" s="183"/>
      <c r="Q254" s="183"/>
      <c r="R254" s="183"/>
      <c r="S254" s="183"/>
      <c r="T254" s="183"/>
      <c r="U254" s="183"/>
      <c r="V254" s="183"/>
      <c r="W254" s="183"/>
      <c r="X254" s="183"/>
      <c r="Y254" s="183"/>
      <c r="Z254" s="183"/>
      <c r="AA254" s="183"/>
      <c r="AB254" s="183"/>
    </row>
    <row r="255" spans="8:8" ht="15.75" hidden="1">
      <c r="F255" s="183"/>
      <c r="H255" s="185"/>
      <c r="I255" s="183"/>
      <c r="J255" s="183"/>
      <c r="K255" s="183"/>
      <c r="L255" s="183"/>
      <c r="N255" s="183"/>
      <c r="O255" s="183"/>
      <c r="P255" s="183"/>
      <c r="Q255" s="183"/>
      <c r="R255" s="183"/>
      <c r="S255" s="183"/>
      <c r="T255" s="183"/>
      <c r="U255" s="183"/>
      <c r="V255" s="183"/>
      <c r="W255" s="183"/>
      <c r="X255" s="183"/>
      <c r="Y255" s="183"/>
      <c r="Z255" s="183"/>
      <c r="AA255" s="183"/>
      <c r="AB255" s="183"/>
    </row>
    <row r="256" spans="8:8" ht="15.75" hidden="1">
      <c r="F256" s="183"/>
      <c r="H256" s="185"/>
      <c r="I256" s="183"/>
      <c r="J256" s="183"/>
      <c r="K256" s="183"/>
      <c r="L256" s="183"/>
      <c r="N256" s="183"/>
      <c r="O256" s="183"/>
      <c r="P256" s="183"/>
      <c r="Q256" s="183"/>
      <c r="R256" s="183"/>
      <c r="S256" s="183"/>
      <c r="T256" s="183"/>
      <c r="U256" s="183"/>
      <c r="V256" s="183"/>
      <c r="W256" s="183"/>
      <c r="X256" s="183"/>
      <c r="Y256" s="183"/>
      <c r="Z256" s="183"/>
      <c r="AA256" s="183"/>
      <c r="AB256" s="183"/>
    </row>
    <row r="257" spans="8:8" ht="15.75" hidden="1">
      <c r="F257" s="183"/>
      <c r="H257" s="185"/>
      <c r="I257" s="183"/>
      <c r="J257" s="183"/>
      <c r="K257" s="183"/>
      <c r="L257" s="183"/>
      <c r="N257" s="183"/>
      <c r="O257" s="183"/>
      <c r="P257" s="183"/>
      <c r="Q257" s="183"/>
      <c r="R257" s="183"/>
      <c r="S257" s="183"/>
      <c r="T257" s="183"/>
      <c r="U257" s="183"/>
      <c r="V257" s="183"/>
      <c r="W257" s="183"/>
      <c r="X257" s="183"/>
      <c r="Y257" s="183"/>
      <c r="Z257" s="183"/>
      <c r="AA257" s="183"/>
      <c r="AB257" s="183"/>
    </row>
    <row r="258" spans="8:8" ht="15.75" hidden="1">
      <c r="F258" s="183"/>
      <c r="H258" s="185"/>
      <c r="I258" s="183"/>
      <c r="J258" s="183"/>
      <c r="K258" s="183"/>
      <c r="L258" s="183"/>
      <c r="N258" s="183"/>
      <c r="O258" s="183"/>
      <c r="P258" s="183"/>
      <c r="Q258" s="183"/>
      <c r="R258" s="183"/>
      <c r="S258" s="183"/>
      <c r="T258" s="183"/>
      <c r="U258" s="183"/>
      <c r="V258" s="183"/>
      <c r="W258" s="183"/>
      <c r="X258" s="183"/>
      <c r="Y258" s="183"/>
      <c r="Z258" s="183"/>
      <c r="AA258" s="183"/>
      <c r="AB258" s="183"/>
    </row>
    <row r="259" spans="8:8" ht="15.75" hidden="1">
      <c r="F259" s="183"/>
      <c r="H259" s="185"/>
      <c r="I259" s="183"/>
      <c r="J259" s="183"/>
      <c r="K259" s="183"/>
      <c r="L259" s="183"/>
      <c r="N259" s="183"/>
      <c r="O259" s="183"/>
      <c r="P259" s="183"/>
      <c r="Q259" s="183"/>
      <c r="R259" s="183"/>
      <c r="S259" s="183"/>
      <c r="T259" s="183"/>
      <c r="U259" s="183"/>
      <c r="V259" s="183"/>
      <c r="W259" s="183"/>
      <c r="X259" s="183"/>
      <c r="Y259" s="183"/>
      <c r="Z259" s="183"/>
      <c r="AA259" s="183"/>
      <c r="AB259" s="183"/>
    </row>
    <row r="260" spans="8:8" ht="15.75" hidden="1">
      <c r="F260" s="183"/>
      <c r="H260" s="185"/>
      <c r="I260" s="183"/>
      <c r="J260" s="183"/>
      <c r="K260" s="183"/>
      <c r="L260" s="183"/>
      <c r="N260" s="183"/>
      <c r="O260" s="183"/>
      <c r="P260" s="183"/>
      <c r="Q260" s="183"/>
      <c r="R260" s="183"/>
      <c r="S260" s="183"/>
      <c r="T260" s="183"/>
      <c r="U260" s="183"/>
      <c r="V260" s="183"/>
      <c r="W260" s="183"/>
      <c r="X260" s="183"/>
      <c r="Y260" s="183"/>
      <c r="Z260" s="183"/>
      <c r="AA260" s="183"/>
      <c r="AB260" s="183"/>
    </row>
    <row r="261" spans="8:8" ht="15.75" hidden="1">
      <c r="F261" s="183"/>
      <c r="H261" s="185"/>
      <c r="I261" s="183"/>
      <c r="J261" s="183"/>
      <c r="K261" s="183"/>
      <c r="L261" s="183"/>
      <c r="N261" s="183"/>
      <c r="O261" s="183"/>
      <c r="P261" s="183"/>
      <c r="Q261" s="183"/>
      <c r="R261" s="183"/>
      <c r="S261" s="183"/>
      <c r="T261" s="183"/>
      <c r="U261" s="183"/>
      <c r="V261" s="183"/>
      <c r="W261" s="183"/>
      <c r="X261" s="183"/>
      <c r="Y261" s="183"/>
      <c r="Z261" s="183"/>
      <c r="AA261" s="183"/>
      <c r="AB261" s="183"/>
    </row>
    <row r="262" spans="8:8" ht="15.75" hidden="1">
      <c r="F262" s="183"/>
      <c r="H262" s="185"/>
      <c r="I262" s="183"/>
      <c r="J262" s="183"/>
      <c r="K262" s="183"/>
      <c r="L262" s="183"/>
      <c r="N262" s="183"/>
      <c r="O262" s="183"/>
      <c r="P262" s="183"/>
      <c r="Q262" s="183"/>
      <c r="R262" s="183"/>
      <c r="S262" s="183"/>
      <c r="T262" s="183"/>
      <c r="U262" s="183"/>
      <c r="V262" s="183"/>
      <c r="W262" s="183"/>
      <c r="X262" s="183"/>
      <c r="Y262" s="183"/>
      <c r="Z262" s="183"/>
      <c r="AA262" s="183"/>
      <c r="AB262" s="183"/>
    </row>
    <row r="263" spans="8:8" ht="15.75" hidden="1">
      <c r="F263" s="183"/>
      <c r="H263" s="185"/>
      <c r="I263" s="183"/>
      <c r="J263" s="183"/>
      <c r="K263" s="183"/>
      <c r="L263" s="183"/>
      <c r="N263" s="183"/>
      <c r="O263" s="183"/>
      <c r="P263" s="183"/>
      <c r="Q263" s="183"/>
      <c r="R263" s="183"/>
      <c r="S263" s="183"/>
      <c r="T263" s="183"/>
      <c r="U263" s="183"/>
      <c r="V263" s="183"/>
      <c r="W263" s="183"/>
      <c r="X263" s="183"/>
      <c r="Y263" s="183"/>
      <c r="Z263" s="183"/>
      <c r="AA263" s="183"/>
      <c r="AB263" s="183"/>
    </row>
    <row r="264" spans="8:8" ht="15.75" hidden="1">
      <c r="F264" s="183"/>
      <c r="H264" s="185"/>
      <c r="I264" s="183"/>
      <c r="J264" s="183"/>
      <c r="K264" s="183"/>
      <c r="L264" s="183"/>
      <c r="N264" s="183"/>
      <c r="O264" s="183"/>
      <c r="P264" s="183"/>
      <c r="Q264" s="183"/>
      <c r="R264" s="183"/>
      <c r="S264" s="183"/>
      <c r="T264" s="183"/>
      <c r="U264" s="183"/>
      <c r="V264" s="183"/>
      <c r="W264" s="183"/>
      <c r="X264" s="183"/>
      <c r="Y264" s="183"/>
      <c r="Z264" s="183"/>
      <c r="AA264" s="183"/>
      <c r="AB264" s="183"/>
    </row>
    <row r="265" spans="8:8" ht="15.75" hidden="1">
      <c r="F265" s="183"/>
      <c r="H265" s="185"/>
      <c r="I265" s="183"/>
      <c r="J265" s="183"/>
      <c r="K265" s="183"/>
      <c r="L265" s="183"/>
      <c r="N265" s="183"/>
      <c r="O265" s="183"/>
      <c r="P265" s="183"/>
      <c r="Q265" s="183"/>
      <c r="R265" s="183"/>
      <c r="S265" s="183"/>
      <c r="T265" s="183"/>
      <c r="U265" s="183"/>
      <c r="V265" s="183"/>
      <c r="W265" s="183"/>
      <c r="X265" s="183"/>
      <c r="Y265" s="183"/>
      <c r="Z265" s="183"/>
      <c r="AA265" s="183"/>
      <c r="AB265" s="183"/>
    </row>
    <row r="266" spans="8:8" ht="15.75" hidden="1">
      <c r="F266" s="183"/>
      <c r="H266" s="185"/>
      <c r="I266" s="183"/>
      <c r="J266" s="183"/>
      <c r="K266" s="183"/>
      <c r="L266" s="183"/>
      <c r="N266" s="183"/>
      <c r="O266" s="183"/>
      <c r="P266" s="183"/>
      <c r="Q266" s="183"/>
      <c r="R266" s="183"/>
      <c r="S266" s="183"/>
      <c r="T266" s="183"/>
      <c r="U266" s="183"/>
      <c r="V266" s="183"/>
      <c r="W266" s="183"/>
      <c r="X266" s="183"/>
      <c r="Y266" s="183"/>
      <c r="Z266" s="183"/>
      <c r="AA266" s="183"/>
      <c r="AB266" s="183"/>
    </row>
    <row r="267" spans="8:8" ht="15.75" hidden="1">
      <c r="F267" s="183"/>
      <c r="H267" s="185"/>
      <c r="I267" s="183"/>
      <c r="J267" s="183"/>
      <c r="K267" s="183"/>
      <c r="L267" s="183"/>
      <c r="N267" s="183"/>
      <c r="O267" s="183"/>
      <c r="P267" s="183"/>
      <c r="Q267" s="183"/>
      <c r="R267" s="183"/>
      <c r="S267" s="183"/>
      <c r="T267" s="183"/>
      <c r="U267" s="183"/>
      <c r="V267" s="183"/>
      <c r="W267" s="183"/>
      <c r="X267" s="183"/>
      <c r="Y267" s="183"/>
      <c r="Z267" s="183"/>
      <c r="AA267" s="183"/>
      <c r="AB267" s="183"/>
    </row>
    <row r="268" spans="8:8" ht="15.75" hidden="1">
      <c r="F268" s="183"/>
      <c r="H268" s="185"/>
      <c r="I268" s="183"/>
      <c r="J268" s="183"/>
      <c r="K268" s="183"/>
      <c r="L268" s="183"/>
      <c r="N268" s="183"/>
      <c r="O268" s="183"/>
      <c r="P268" s="183"/>
      <c r="Q268" s="183"/>
      <c r="R268" s="183"/>
      <c r="S268" s="183"/>
      <c r="T268" s="183"/>
      <c r="U268" s="183"/>
      <c r="V268" s="183"/>
      <c r="W268" s="183"/>
      <c r="X268" s="183"/>
      <c r="Y268" s="183"/>
      <c r="Z268" s="183"/>
      <c r="AA268" s="183"/>
      <c r="AB268" s="183"/>
    </row>
    <row r="269" spans="8:8" ht="15.75" hidden="1">
      <c r="F269" s="183"/>
      <c r="H269" s="185"/>
      <c r="I269" s="183"/>
      <c r="J269" s="183"/>
      <c r="K269" s="183"/>
      <c r="L269" s="183"/>
      <c r="N269" s="183"/>
      <c r="O269" s="183"/>
      <c r="P269" s="183"/>
      <c r="Q269" s="183"/>
      <c r="R269" s="183"/>
      <c r="S269" s="183"/>
      <c r="T269" s="183"/>
      <c r="U269" s="183"/>
      <c r="V269" s="183"/>
      <c r="W269" s="183"/>
      <c r="X269" s="183"/>
      <c r="Y269" s="183"/>
      <c r="Z269" s="183"/>
      <c r="AA269" s="183"/>
      <c r="AB269" s="183"/>
    </row>
    <row r="270" spans="8:8" ht="15.75" hidden="1">
      <c r="F270" s="183"/>
      <c r="H270" s="185"/>
      <c r="I270" s="183"/>
      <c r="J270" s="183"/>
      <c r="K270" s="183"/>
      <c r="L270" s="183"/>
      <c r="N270" s="183"/>
      <c r="O270" s="183"/>
      <c r="P270" s="183"/>
      <c r="Q270" s="183"/>
      <c r="R270" s="183"/>
      <c r="S270" s="183"/>
      <c r="T270" s="183"/>
      <c r="U270" s="183"/>
      <c r="V270" s="183"/>
      <c r="W270" s="183"/>
      <c r="X270" s="183"/>
      <c r="Y270" s="183"/>
      <c r="Z270" s="183"/>
      <c r="AA270" s="183"/>
      <c r="AB270" s="183"/>
    </row>
    <row r="271" spans="8:8" ht="15.75" hidden="1">
      <c r="F271" s="183"/>
      <c r="H271" s="185"/>
      <c r="I271" s="183"/>
      <c r="J271" s="183"/>
      <c r="K271" s="183"/>
      <c r="L271" s="183"/>
      <c r="N271" s="183"/>
      <c r="O271" s="183"/>
      <c r="P271" s="183"/>
      <c r="Q271" s="183"/>
      <c r="R271" s="183"/>
      <c r="S271" s="183"/>
      <c r="T271" s="183"/>
      <c r="U271" s="183"/>
      <c r="V271" s="183"/>
      <c r="W271" s="183"/>
      <c r="X271" s="183"/>
      <c r="Y271" s="183"/>
      <c r="Z271" s="183"/>
      <c r="AA271" s="183"/>
      <c r="AB271" s="183"/>
    </row>
    <row r="272" spans="8:8" ht="15.75" hidden="1">
      <c r="F272" s="183"/>
      <c r="H272" s="185"/>
      <c r="I272" s="183"/>
      <c r="J272" s="183"/>
      <c r="K272" s="183"/>
      <c r="L272" s="183"/>
      <c r="N272" s="183"/>
      <c r="O272" s="183"/>
      <c r="P272" s="183"/>
      <c r="Q272" s="183"/>
      <c r="R272" s="183"/>
      <c r="S272" s="183"/>
      <c r="T272" s="183"/>
      <c r="U272" s="183"/>
      <c r="V272" s="183"/>
      <c r="W272" s="183"/>
      <c r="X272" s="183"/>
      <c r="Y272" s="183"/>
      <c r="Z272" s="183"/>
      <c r="AA272" s="183"/>
      <c r="AB272" s="183"/>
    </row>
    <row r="273" spans="8:8" ht="15.75" hidden="1">
      <c r="F273" s="183"/>
      <c r="H273" s="185"/>
      <c r="I273" s="183"/>
      <c r="J273" s="183"/>
      <c r="K273" s="183"/>
      <c r="L273" s="183"/>
      <c r="N273" s="183"/>
      <c r="O273" s="183"/>
      <c r="P273" s="183"/>
      <c r="Q273" s="183"/>
      <c r="R273" s="183"/>
      <c r="S273" s="183"/>
      <c r="T273" s="183"/>
      <c r="U273" s="183"/>
      <c r="V273" s="183"/>
      <c r="W273" s="183"/>
      <c r="X273" s="183"/>
      <c r="Y273" s="183"/>
      <c r="Z273" s="183"/>
      <c r="AA273" s="183"/>
      <c r="AB273" s="183"/>
    </row>
    <row r="274" spans="8:8" ht="15.75" hidden="1">
      <c r="F274" s="183"/>
      <c r="H274" s="185"/>
      <c r="I274" s="183"/>
      <c r="J274" s="183"/>
      <c r="K274" s="183"/>
      <c r="L274" s="183"/>
      <c r="N274" s="183"/>
      <c r="O274" s="183"/>
      <c r="P274" s="183"/>
      <c r="Q274" s="183"/>
      <c r="R274" s="183"/>
      <c r="S274" s="183"/>
      <c r="T274" s="183"/>
      <c r="U274" s="183"/>
      <c r="V274" s="183"/>
      <c r="W274" s="183"/>
      <c r="X274" s="183"/>
      <c r="Y274" s="183"/>
      <c r="Z274" s="183"/>
      <c r="AA274" s="183"/>
      <c r="AB274" s="183"/>
    </row>
    <row r="275" spans="8:8" ht="15.75" hidden="1">
      <c r="F275" s="183"/>
      <c r="H275" s="185"/>
      <c r="I275" s="183"/>
      <c r="J275" s="183"/>
      <c r="K275" s="183"/>
      <c r="L275" s="183"/>
      <c r="N275" s="183"/>
      <c r="O275" s="183"/>
      <c r="P275" s="183"/>
      <c r="Q275" s="183"/>
      <c r="R275" s="183"/>
      <c r="S275" s="183"/>
      <c r="T275" s="183"/>
      <c r="U275" s="183"/>
      <c r="V275" s="183"/>
      <c r="W275" s="183"/>
      <c r="X275" s="183"/>
      <c r="Y275" s="183"/>
      <c r="Z275" s="183"/>
      <c r="AA275" s="183"/>
      <c r="AB275" s="183"/>
    </row>
    <row r="276" spans="8:8" ht="15.75" hidden="1">
      <c r="F276" s="183"/>
      <c r="H276" s="185"/>
      <c r="I276" s="183"/>
      <c r="J276" s="183"/>
      <c r="K276" s="183"/>
      <c r="L276" s="183"/>
      <c r="N276" s="183"/>
      <c r="O276" s="183"/>
      <c r="P276" s="183"/>
      <c r="Q276" s="183"/>
      <c r="R276" s="183"/>
      <c r="S276" s="183"/>
      <c r="T276" s="183"/>
      <c r="U276" s="183"/>
      <c r="V276" s="183"/>
      <c r="W276" s="183"/>
      <c r="X276" s="183"/>
      <c r="Y276" s="183"/>
      <c r="Z276" s="183"/>
      <c r="AA276" s="183"/>
      <c r="AB276" s="183"/>
    </row>
    <row r="277" spans="8:8" ht="15.75" hidden="1">
      <c r="F277" s="183"/>
      <c r="H277" s="185"/>
      <c r="I277" s="183"/>
      <c r="J277" s="183"/>
      <c r="K277" s="183"/>
      <c r="L277" s="183"/>
      <c r="N277" s="183"/>
      <c r="O277" s="183"/>
      <c r="P277" s="183"/>
      <c r="Q277" s="183"/>
      <c r="R277" s="183"/>
      <c r="S277" s="183"/>
      <c r="T277" s="183"/>
      <c r="U277" s="183"/>
      <c r="V277" s="183"/>
      <c r="W277" s="183"/>
      <c r="X277" s="183"/>
      <c r="Y277" s="183"/>
      <c r="Z277" s="183"/>
      <c r="AA277" s="183"/>
      <c r="AB277" s="183"/>
    </row>
    <row r="278" spans="8:8" ht="15.75" hidden="1">
      <c r="F278" s="183"/>
      <c r="H278" s="185"/>
      <c r="I278" s="183"/>
      <c r="J278" s="183"/>
      <c r="K278" s="183"/>
      <c r="L278" s="183"/>
      <c r="N278" s="183"/>
      <c r="O278" s="183"/>
      <c r="P278" s="183"/>
      <c r="Q278" s="183"/>
      <c r="R278" s="183"/>
      <c r="S278" s="183"/>
      <c r="T278" s="183"/>
      <c r="U278" s="183"/>
      <c r="V278" s="183"/>
      <c r="W278" s="183"/>
      <c r="X278" s="183"/>
      <c r="Y278" s="183"/>
      <c r="Z278" s="183"/>
      <c r="AA278" s="183"/>
      <c r="AB278" s="183"/>
    </row>
    <row r="279" spans="8:8" ht="15.75" hidden="1">
      <c r="F279" s="183"/>
      <c r="H279" s="185"/>
      <c r="I279" s="183"/>
      <c r="J279" s="183"/>
      <c r="K279" s="183"/>
      <c r="L279" s="183"/>
      <c r="N279" s="183"/>
      <c r="O279" s="183"/>
      <c r="P279" s="183"/>
      <c r="Q279" s="183"/>
      <c r="R279" s="183"/>
      <c r="S279" s="183"/>
      <c r="T279" s="183"/>
      <c r="U279" s="183"/>
      <c r="V279" s="183"/>
      <c r="W279" s="183"/>
      <c r="X279" s="183"/>
      <c r="Y279" s="183"/>
      <c r="Z279" s="183"/>
      <c r="AA279" s="183"/>
      <c r="AB279" s="183"/>
    </row>
    <row r="280" spans="8:8" ht="15.75" hidden="1">
      <c r="F280" s="183"/>
      <c r="H280" s="185"/>
      <c r="I280" s="183"/>
      <c r="J280" s="183"/>
      <c r="K280" s="183"/>
      <c r="L280" s="183"/>
      <c r="N280" s="183"/>
      <c r="O280" s="183"/>
      <c r="P280" s="183"/>
      <c r="Q280" s="183"/>
      <c r="R280" s="183"/>
      <c r="S280" s="183"/>
      <c r="T280" s="183"/>
      <c r="U280" s="183"/>
      <c r="V280" s="183"/>
      <c r="W280" s="183"/>
      <c r="X280" s="183"/>
      <c r="Y280" s="183"/>
      <c r="Z280" s="183"/>
      <c r="AA280" s="183"/>
      <c r="AB280" s="183"/>
    </row>
    <row r="281" spans="8:8" ht="15.75" hidden="1">
      <c r="F281" s="183"/>
      <c r="H281" s="185"/>
      <c r="I281" s="183"/>
      <c r="J281" s="183"/>
      <c r="K281" s="183"/>
      <c r="L281" s="183"/>
      <c r="N281" s="183"/>
      <c r="O281" s="183"/>
      <c r="P281" s="183"/>
      <c r="Q281" s="183"/>
      <c r="R281" s="183"/>
      <c r="S281" s="183"/>
      <c r="T281" s="183"/>
      <c r="U281" s="183"/>
      <c r="V281" s="183"/>
      <c r="W281" s="183"/>
      <c r="X281" s="183"/>
      <c r="Y281" s="183"/>
      <c r="Z281" s="183"/>
      <c r="AA281" s="183"/>
      <c r="AB281" s="183"/>
    </row>
    <row r="282" spans="8:8" ht="15.75" hidden="1">
      <c r="F282" s="183"/>
      <c r="H282" s="185"/>
      <c r="I282" s="183"/>
      <c r="J282" s="183"/>
      <c r="K282" s="183"/>
      <c r="L282" s="183"/>
      <c r="N282" s="183"/>
      <c r="O282" s="183"/>
      <c r="P282" s="183"/>
      <c r="Q282" s="183"/>
      <c r="R282" s="183"/>
      <c r="S282" s="183"/>
      <c r="T282" s="183"/>
      <c r="U282" s="183"/>
      <c r="V282" s="183"/>
      <c r="W282" s="183"/>
      <c r="X282" s="183"/>
      <c r="Y282" s="183"/>
      <c r="Z282" s="183"/>
      <c r="AA282" s="183"/>
      <c r="AB282" s="183"/>
    </row>
    <row r="283" spans="8:8" ht="15.75" hidden="1">
      <c r="F283" s="183"/>
      <c r="H283" s="185"/>
      <c r="I283" s="183"/>
      <c r="J283" s="183"/>
      <c r="K283" s="183"/>
      <c r="L283" s="183"/>
      <c r="N283" s="183"/>
      <c r="O283" s="183"/>
      <c r="P283" s="183"/>
      <c r="Q283" s="183"/>
      <c r="R283" s="183"/>
      <c r="S283" s="183"/>
      <c r="T283" s="183"/>
      <c r="U283" s="183"/>
      <c r="V283" s="183"/>
      <c r="W283" s="183"/>
      <c r="X283" s="183"/>
      <c r="Y283" s="183"/>
      <c r="Z283" s="183"/>
      <c r="AA283" s="183"/>
      <c r="AB283" s="183"/>
    </row>
    <row r="284" spans="8:8" ht="15.75" hidden="1">
      <c r="F284" s="183"/>
      <c r="H284" s="185"/>
      <c r="I284" s="183"/>
      <c r="J284" s="183"/>
      <c r="K284" s="183"/>
      <c r="L284" s="183"/>
      <c r="N284" s="183"/>
      <c r="O284" s="183"/>
      <c r="P284" s="183"/>
      <c r="Q284" s="183"/>
      <c r="R284" s="183"/>
      <c r="S284" s="183"/>
      <c r="T284" s="183"/>
      <c r="U284" s="183"/>
      <c r="V284" s="183"/>
      <c r="W284" s="183"/>
      <c r="X284" s="183"/>
      <c r="Y284" s="183"/>
      <c r="Z284" s="183"/>
      <c r="AA284" s="183"/>
      <c r="AB284" s="183"/>
    </row>
    <row r="285" spans="8:8" ht="15.75" hidden="1">
      <c r="F285" s="183"/>
      <c r="H285" s="185"/>
      <c r="I285" s="183"/>
      <c r="J285" s="183"/>
      <c r="K285" s="183"/>
      <c r="L285" s="183"/>
      <c r="N285" s="183"/>
      <c r="O285" s="183"/>
      <c r="P285" s="183"/>
      <c r="Q285" s="183"/>
      <c r="R285" s="183"/>
      <c r="S285" s="183"/>
      <c r="T285" s="183"/>
      <c r="U285" s="183"/>
      <c r="V285" s="183"/>
      <c r="W285" s="183"/>
      <c r="X285" s="183"/>
      <c r="Y285" s="183"/>
      <c r="Z285" s="183"/>
      <c r="AA285" s="183"/>
      <c r="AB285" s="183"/>
    </row>
    <row r="286" spans="8:8" ht="15.75" hidden="1">
      <c r="F286" s="183"/>
      <c r="H286" s="185"/>
      <c r="I286" s="183"/>
      <c r="J286" s="183"/>
      <c r="K286" s="183"/>
      <c r="L286" s="183"/>
      <c r="N286" s="183"/>
      <c r="O286" s="183"/>
      <c r="P286" s="183"/>
      <c r="Q286" s="183"/>
      <c r="R286" s="183"/>
      <c r="S286" s="183"/>
      <c r="T286" s="183"/>
      <c r="U286" s="183"/>
      <c r="V286" s="183"/>
      <c r="W286" s="183"/>
      <c r="X286" s="183"/>
      <c r="Y286" s="183"/>
      <c r="Z286" s="183"/>
      <c r="AA286" s="183"/>
      <c r="AB286" s="183"/>
    </row>
    <row r="287" spans="8:8" ht="15.75" hidden="1">
      <c r="F287" s="183"/>
      <c r="H287" s="185"/>
      <c r="I287" s="183"/>
      <c r="J287" s="183"/>
      <c r="K287" s="183"/>
      <c r="L287" s="183"/>
      <c r="N287" s="183"/>
      <c r="O287" s="183"/>
      <c r="P287" s="183"/>
      <c r="Q287" s="183"/>
      <c r="R287" s="183"/>
      <c r="S287" s="183"/>
      <c r="T287" s="183"/>
      <c r="U287" s="183"/>
      <c r="V287" s="183"/>
      <c r="W287" s="183"/>
      <c r="X287" s="183"/>
      <c r="Y287" s="183"/>
      <c r="Z287" s="183"/>
      <c r="AA287" s="183"/>
      <c r="AB287" s="183"/>
    </row>
    <row r="288" spans="8:8" ht="15.75" hidden="1">
      <c r="F288" s="183"/>
      <c r="H288" s="185"/>
      <c r="I288" s="183"/>
      <c r="J288" s="183"/>
      <c r="K288" s="183"/>
      <c r="L288" s="183"/>
      <c r="N288" s="183"/>
      <c r="O288" s="183"/>
      <c r="P288" s="183"/>
      <c r="Q288" s="183"/>
      <c r="R288" s="183"/>
      <c r="S288" s="183"/>
      <c r="T288" s="183"/>
      <c r="U288" s="183"/>
      <c r="V288" s="183"/>
      <c r="W288" s="183"/>
      <c r="X288" s="183"/>
      <c r="Y288" s="183"/>
      <c r="Z288" s="183"/>
      <c r="AA288" s="183"/>
      <c r="AB288" s="183"/>
    </row>
    <row r="289" spans="8:8" ht="15.75" hidden="1">
      <c r="F289" s="183"/>
      <c r="H289" s="185"/>
      <c r="I289" s="183"/>
      <c r="J289" s="183"/>
      <c r="K289" s="183"/>
      <c r="L289" s="183"/>
      <c r="N289" s="183"/>
      <c r="O289" s="183"/>
      <c r="P289" s="183"/>
      <c r="Q289" s="183"/>
      <c r="R289" s="183"/>
      <c r="S289" s="183"/>
      <c r="T289" s="183"/>
      <c r="U289" s="183"/>
      <c r="V289" s="183"/>
      <c r="W289" s="183"/>
      <c r="X289" s="183"/>
      <c r="Y289" s="183"/>
      <c r="Z289" s="183"/>
      <c r="AA289" s="183"/>
      <c r="AB289" s="183"/>
    </row>
    <row r="290" spans="8:8" ht="15.75" hidden="1">
      <c r="F290" s="183"/>
      <c r="H290" s="185"/>
      <c r="I290" s="183"/>
      <c r="J290" s="183"/>
      <c r="K290" s="183"/>
      <c r="L290" s="183"/>
      <c r="N290" s="183"/>
      <c r="O290" s="183"/>
      <c r="P290" s="183"/>
      <c r="Q290" s="183"/>
      <c r="R290" s="183"/>
      <c r="S290" s="183"/>
      <c r="T290" s="183"/>
      <c r="U290" s="183"/>
      <c r="V290" s="183"/>
      <c r="W290" s="183"/>
      <c r="X290" s="183"/>
      <c r="Y290" s="183"/>
      <c r="Z290" s="183"/>
      <c r="AA290" s="183"/>
      <c r="AB290" s="183"/>
    </row>
    <row r="291" spans="8:8" ht="15.75" hidden="1">
      <c r="F291" s="183"/>
      <c r="H291" s="185"/>
      <c r="I291" s="183"/>
      <c r="J291" s="183"/>
      <c r="K291" s="183"/>
      <c r="L291" s="183"/>
      <c r="N291" s="183"/>
      <c r="O291" s="183"/>
      <c r="P291" s="183"/>
      <c r="Q291" s="183"/>
      <c r="R291" s="183"/>
      <c r="S291" s="183"/>
      <c r="T291" s="183"/>
      <c r="U291" s="183"/>
      <c r="V291" s="183"/>
      <c r="W291" s="183"/>
      <c r="X291" s="183"/>
      <c r="Y291" s="183"/>
      <c r="Z291" s="183"/>
      <c r="AA291" s="183"/>
      <c r="AB291" s="183"/>
    </row>
    <row r="292" spans="8:8" ht="15.75" hidden="1">
      <c r="F292" s="183"/>
      <c r="H292" s="185"/>
      <c r="I292" s="183"/>
      <c r="J292" s="183"/>
      <c r="K292" s="183"/>
      <c r="L292" s="183"/>
      <c r="N292" s="183"/>
      <c r="O292" s="183"/>
      <c r="P292" s="183"/>
      <c r="Q292" s="183"/>
      <c r="R292" s="183"/>
      <c r="S292" s="183"/>
      <c r="T292" s="183"/>
      <c r="U292" s="183"/>
      <c r="V292" s="183"/>
      <c r="W292" s="183"/>
      <c r="X292" s="183"/>
      <c r="Y292" s="183"/>
      <c r="Z292" s="183"/>
      <c r="AA292" s="183"/>
      <c r="AB292" s="183"/>
    </row>
    <row r="293" spans="8:8" ht="15.75" hidden="1">
      <c r="F293" s="183"/>
      <c r="H293" s="185"/>
      <c r="I293" s="183"/>
      <c r="J293" s="183"/>
      <c r="K293" s="183"/>
      <c r="L293" s="183"/>
      <c r="N293" s="183"/>
      <c r="O293" s="183"/>
      <c r="P293" s="183"/>
      <c r="Q293" s="183"/>
      <c r="R293" s="183"/>
      <c r="S293" s="183"/>
      <c r="T293" s="183"/>
      <c r="U293" s="183"/>
      <c r="V293" s="183"/>
      <c r="W293" s="183"/>
      <c r="X293" s="183"/>
      <c r="Y293" s="183"/>
      <c r="Z293" s="183"/>
      <c r="AA293" s="183"/>
      <c r="AB293" s="183"/>
    </row>
    <row r="294" spans="8:8" ht="15.75" hidden="1">
      <c r="F294" s="183"/>
      <c r="H294" s="185"/>
      <c r="I294" s="183"/>
      <c r="J294" s="183"/>
      <c r="K294" s="183"/>
      <c r="L294" s="183"/>
      <c r="N294" s="183"/>
      <c r="O294" s="183"/>
      <c r="P294" s="183"/>
      <c r="Q294" s="183"/>
      <c r="R294" s="183"/>
      <c r="S294" s="183"/>
      <c r="T294" s="183"/>
      <c r="U294" s="183"/>
      <c r="V294" s="183"/>
      <c r="W294" s="183"/>
      <c r="X294" s="183"/>
      <c r="Y294" s="183"/>
      <c r="Z294" s="183"/>
      <c r="AA294" s="183"/>
      <c r="AB294" s="183"/>
    </row>
    <row r="295" spans="8:8" ht="15.75" hidden="1">
      <c r="F295" s="183"/>
      <c r="H295" s="185"/>
      <c r="I295" s="183"/>
      <c r="J295" s="183"/>
      <c r="K295" s="183"/>
      <c r="L295" s="183"/>
      <c r="N295" s="183"/>
      <c r="O295" s="183"/>
      <c r="P295" s="183"/>
      <c r="Q295" s="183"/>
      <c r="R295" s="183"/>
      <c r="S295" s="183"/>
      <c r="T295" s="183"/>
      <c r="U295" s="183"/>
      <c r="V295" s="183"/>
      <c r="W295" s="183"/>
      <c r="X295" s="183"/>
      <c r="Y295" s="183"/>
      <c r="Z295" s="183"/>
      <c r="AA295" s="183"/>
      <c r="AB295" s="183"/>
    </row>
    <row r="296" spans="8:8" ht="15.75" hidden="1">
      <c r="F296" s="183"/>
      <c r="H296" s="185"/>
      <c r="I296" s="183"/>
      <c r="J296" s="183"/>
      <c r="K296" s="183"/>
      <c r="L296" s="183"/>
      <c r="N296" s="183"/>
      <c r="O296" s="183"/>
      <c r="P296" s="183"/>
      <c r="Q296" s="183"/>
      <c r="R296" s="183"/>
      <c r="S296" s="183"/>
      <c r="T296" s="183"/>
      <c r="U296" s="183"/>
      <c r="V296" s="183"/>
      <c r="W296" s="183"/>
      <c r="X296" s="183"/>
      <c r="Y296" s="183"/>
      <c r="Z296" s="183"/>
      <c r="AA296" s="183"/>
      <c r="AB296" s="183"/>
    </row>
    <row r="297" spans="8:8" ht="15.75" hidden="1">
      <c r="F297" s="183"/>
      <c r="H297" s="185"/>
      <c r="I297" s="183"/>
      <c r="J297" s="183"/>
      <c r="K297" s="183"/>
      <c r="L297" s="183"/>
      <c r="N297" s="183"/>
      <c r="O297" s="183"/>
      <c r="P297" s="183"/>
      <c r="Q297" s="183"/>
      <c r="R297" s="183"/>
      <c r="S297" s="183"/>
      <c r="T297" s="183"/>
      <c r="U297" s="183"/>
      <c r="V297" s="183"/>
      <c r="W297" s="183"/>
      <c r="X297" s="183"/>
      <c r="Y297" s="183"/>
      <c r="Z297" s="183"/>
      <c r="AA297" s="183"/>
      <c r="AB297" s="183"/>
    </row>
    <row r="298" spans="8:8" ht="15.75" hidden="1">
      <c r="F298" s="183"/>
      <c r="H298" s="185"/>
      <c r="I298" s="183"/>
      <c r="J298" s="183"/>
      <c r="K298" s="183"/>
      <c r="L298" s="183"/>
      <c r="N298" s="183"/>
      <c r="O298" s="183"/>
      <c r="P298" s="183"/>
      <c r="Q298" s="183"/>
      <c r="R298" s="183"/>
      <c r="S298" s="183"/>
      <c r="T298" s="183"/>
      <c r="U298" s="183"/>
      <c r="V298" s="183"/>
      <c r="W298" s="183"/>
      <c r="X298" s="183"/>
      <c r="Y298" s="183"/>
      <c r="Z298" s="183"/>
      <c r="AA298" s="183"/>
      <c r="AB298" s="183"/>
    </row>
    <row r="299" spans="8:8" ht="15.75" hidden="1">
      <c r="F299" s="183"/>
      <c r="H299" s="185"/>
      <c r="I299" s="183"/>
      <c r="J299" s="183"/>
      <c r="K299" s="183"/>
      <c r="L299" s="183"/>
      <c r="N299" s="183"/>
      <c r="O299" s="183"/>
      <c r="P299" s="183"/>
      <c r="Q299" s="183"/>
      <c r="R299" s="183"/>
      <c r="S299" s="183"/>
      <c r="T299" s="183"/>
      <c r="U299" s="183"/>
      <c r="V299" s="183"/>
      <c r="W299" s="183"/>
      <c r="X299" s="183"/>
      <c r="Y299" s="183"/>
      <c r="Z299" s="183"/>
      <c r="AA299" s="183"/>
      <c r="AB299" s="183"/>
    </row>
    <row r="300" spans="8:8" ht="15.75" hidden="1">
      <c r="F300" s="183"/>
      <c r="H300" s="185"/>
      <c r="I300" s="183"/>
      <c r="J300" s="183"/>
      <c r="K300" s="183"/>
      <c r="L300" s="183"/>
      <c r="N300" s="183"/>
      <c r="O300" s="183"/>
      <c r="P300" s="183"/>
      <c r="Q300" s="183"/>
      <c r="R300" s="183"/>
      <c r="S300" s="183"/>
      <c r="T300" s="183"/>
      <c r="U300" s="183"/>
      <c r="V300" s="183"/>
      <c r="W300" s="183"/>
      <c r="X300" s="183"/>
      <c r="Y300" s="183"/>
      <c r="Z300" s="183"/>
      <c r="AA300" s="183"/>
      <c r="AB300" s="183"/>
    </row>
    <row r="301" spans="8:8" ht="15.75" hidden="1">
      <c r="F301" s="183"/>
      <c r="H301" s="185"/>
      <c r="I301" s="183"/>
      <c r="J301" s="183"/>
      <c r="K301" s="183"/>
      <c r="L301" s="183"/>
      <c r="N301" s="183"/>
      <c r="O301" s="183"/>
      <c r="P301" s="183"/>
      <c r="Q301" s="183"/>
      <c r="R301" s="183"/>
      <c r="S301" s="183"/>
      <c r="T301" s="183"/>
      <c r="U301" s="183"/>
      <c r="V301" s="183"/>
      <c r="W301" s="183"/>
      <c r="X301" s="183"/>
      <c r="Y301" s="183"/>
      <c r="Z301" s="183"/>
      <c r="AA301" s="183"/>
      <c r="AB301" s="183"/>
    </row>
    <row r="302" spans="8:8" ht="15.75" hidden="1">
      <c r="F302" s="183"/>
      <c r="H302" s="185"/>
      <c r="I302" s="183"/>
      <c r="J302" s="183"/>
      <c r="K302" s="183"/>
      <c r="L302" s="183"/>
      <c r="N302" s="183"/>
      <c r="O302" s="183"/>
      <c r="P302" s="183"/>
      <c r="Q302" s="183"/>
      <c r="R302" s="183"/>
      <c r="S302" s="183"/>
      <c r="T302" s="183"/>
      <c r="U302" s="183"/>
      <c r="V302" s="183"/>
      <c r="W302" s="183"/>
      <c r="X302" s="183"/>
      <c r="Y302" s="183"/>
      <c r="Z302" s="183"/>
      <c r="AA302" s="183"/>
      <c r="AB302" s="183"/>
    </row>
    <row r="303" spans="8:8" ht="15.75" hidden="1">
      <c r="F303" s="183"/>
      <c r="H303" s="185"/>
      <c r="I303" s="183"/>
      <c r="J303" s="183"/>
      <c r="K303" s="183"/>
      <c r="L303" s="183"/>
      <c r="N303" s="183"/>
      <c r="O303" s="183"/>
      <c r="P303" s="183"/>
      <c r="Q303" s="183"/>
      <c r="R303" s="183"/>
      <c r="S303" s="183"/>
      <c r="T303" s="183"/>
      <c r="U303" s="183"/>
      <c r="V303" s="183"/>
      <c r="W303" s="183"/>
      <c r="X303" s="183"/>
      <c r="Y303" s="183"/>
      <c r="Z303" s="183"/>
      <c r="AA303" s="183"/>
      <c r="AB303" s="183"/>
    </row>
    <row r="304" spans="8:8" ht="15.75" hidden="1">
      <c r="F304" s="183"/>
      <c r="H304" s="185"/>
      <c r="I304" s="183"/>
      <c r="J304" s="183"/>
      <c r="K304" s="183"/>
      <c r="L304" s="183"/>
      <c r="N304" s="183"/>
      <c r="O304" s="183"/>
      <c r="P304" s="183"/>
      <c r="Q304" s="183"/>
      <c r="R304" s="183"/>
      <c r="S304" s="183"/>
      <c r="T304" s="183"/>
      <c r="U304" s="183"/>
      <c r="V304" s="183"/>
      <c r="W304" s="183"/>
      <c r="X304" s="183"/>
      <c r="Y304" s="183"/>
      <c r="Z304" s="183"/>
      <c r="AA304" s="183"/>
      <c r="AB304" s="183"/>
    </row>
    <row r="305" spans="8:8" ht="15.75" hidden="1">
      <c r="F305" s="183"/>
      <c r="H305" s="185"/>
      <c r="I305" s="183"/>
      <c r="J305" s="183"/>
      <c r="K305" s="183"/>
      <c r="L305" s="183"/>
      <c r="N305" s="183"/>
      <c r="O305" s="183"/>
      <c r="P305" s="183"/>
      <c r="Q305" s="183"/>
      <c r="R305" s="183"/>
      <c r="S305" s="183"/>
      <c r="T305" s="183"/>
      <c r="U305" s="183"/>
      <c r="V305" s="183"/>
      <c r="W305" s="183"/>
      <c r="X305" s="183"/>
      <c r="Y305" s="183"/>
      <c r="Z305" s="183"/>
      <c r="AA305" s="183"/>
      <c r="AB305" s="183"/>
    </row>
    <row r="306" spans="8:8" ht="15.75" hidden="1">
      <c r="F306" s="183"/>
      <c r="H306" s="185"/>
      <c r="I306" s="183"/>
      <c r="J306" s="183"/>
      <c r="K306" s="183"/>
      <c r="L306" s="183"/>
      <c r="N306" s="183"/>
      <c r="O306" s="183"/>
      <c r="P306" s="183"/>
      <c r="Q306" s="183"/>
      <c r="R306" s="183"/>
      <c r="S306" s="183"/>
      <c r="T306" s="183"/>
      <c r="U306" s="183"/>
      <c r="V306" s="183"/>
      <c r="W306" s="183"/>
      <c r="X306" s="183"/>
      <c r="Y306" s="183"/>
      <c r="Z306" s="183"/>
      <c r="AA306" s="183"/>
      <c r="AB306" s="183"/>
    </row>
    <row r="307" spans="8:8" ht="15.75" hidden="1">
      <c r="F307" s="183"/>
      <c r="H307" s="185"/>
      <c r="I307" s="183"/>
      <c r="J307" s="183"/>
      <c r="K307" s="183"/>
      <c r="L307" s="183"/>
      <c r="N307" s="183"/>
      <c r="O307" s="183"/>
      <c r="P307" s="183"/>
      <c r="Q307" s="183"/>
      <c r="R307" s="183"/>
      <c r="S307" s="183"/>
      <c r="T307" s="183"/>
      <c r="U307" s="183"/>
      <c r="V307" s="183"/>
      <c r="W307" s="183"/>
      <c r="X307" s="183"/>
      <c r="Y307" s="183"/>
      <c r="Z307" s="183"/>
      <c r="AA307" s="183"/>
      <c r="AB307" s="183"/>
    </row>
    <row r="308" spans="8:8" ht="15.75" hidden="1">
      <c r="F308" s="183"/>
      <c r="H308" s="185"/>
      <c r="I308" s="183"/>
      <c r="J308" s="183"/>
      <c r="K308" s="183"/>
      <c r="L308" s="183"/>
      <c r="N308" s="183"/>
      <c r="O308" s="183"/>
      <c r="P308" s="183"/>
      <c r="Q308" s="183"/>
      <c r="R308" s="183"/>
      <c r="S308" s="183"/>
      <c r="T308" s="183"/>
      <c r="U308" s="183"/>
      <c r="V308" s="183"/>
      <c r="W308" s="183"/>
      <c r="X308" s="183"/>
      <c r="Y308" s="183"/>
      <c r="Z308" s="183"/>
      <c r="AA308" s="183"/>
      <c r="AB308" s="183"/>
    </row>
    <row r="309" spans="8:8" ht="15.75" hidden="1">
      <c r="F309" s="183"/>
      <c r="H309" s="185"/>
      <c r="I309" s="183"/>
      <c r="J309" s="183"/>
      <c r="K309" s="183"/>
      <c r="L309" s="183"/>
      <c r="N309" s="183"/>
      <c r="O309" s="183"/>
      <c r="P309" s="183"/>
      <c r="Q309" s="183"/>
      <c r="R309" s="183"/>
      <c r="S309" s="183"/>
      <c r="T309" s="183"/>
      <c r="U309" s="183"/>
      <c r="V309" s="183"/>
      <c r="W309" s="183"/>
      <c r="X309" s="183"/>
      <c r="Y309" s="183"/>
      <c r="Z309" s="183"/>
      <c r="AA309" s="183"/>
      <c r="AB309" s="183"/>
    </row>
    <row r="310" spans="8:8" ht="15.75" hidden="1">
      <c r="F310" s="183"/>
      <c r="H310" s="185"/>
      <c r="I310" s="183"/>
      <c r="J310" s="183"/>
      <c r="K310" s="183"/>
      <c r="L310" s="183"/>
      <c r="N310" s="183"/>
      <c r="O310" s="183"/>
      <c r="P310" s="183"/>
      <c r="Q310" s="183"/>
      <c r="R310" s="183"/>
      <c r="S310" s="183"/>
      <c r="T310" s="183"/>
      <c r="U310" s="183"/>
      <c r="V310" s="183"/>
      <c r="W310" s="183"/>
      <c r="X310" s="183"/>
      <c r="Y310" s="183"/>
      <c r="Z310" s="183"/>
      <c r="AA310" s="183"/>
      <c r="AB310" s="183"/>
    </row>
    <row r="311" spans="8:8" ht="15.75" hidden="1">
      <c r="F311" s="183"/>
      <c r="H311" s="185"/>
      <c r="I311" s="183"/>
      <c r="J311" s="183"/>
      <c r="K311" s="183"/>
      <c r="L311" s="183"/>
      <c r="N311" s="183"/>
      <c r="O311" s="183"/>
      <c r="P311" s="183"/>
      <c r="Q311" s="183"/>
      <c r="R311" s="183"/>
      <c r="S311" s="183"/>
      <c r="T311" s="183"/>
      <c r="U311" s="183"/>
      <c r="V311" s="183"/>
      <c r="W311" s="183"/>
      <c r="X311" s="183"/>
      <c r="Y311" s="183"/>
      <c r="Z311" s="183"/>
      <c r="AA311" s="183"/>
      <c r="AB311" s="183"/>
    </row>
    <row r="312" spans="8:8" ht="15.75" hidden="1">
      <c r="F312" s="183"/>
      <c r="H312" s="185"/>
      <c r="I312" s="183"/>
      <c r="J312" s="183"/>
      <c r="K312" s="183"/>
      <c r="L312" s="183"/>
      <c r="N312" s="183"/>
      <c r="O312" s="183"/>
      <c r="P312" s="183"/>
      <c r="Q312" s="183"/>
      <c r="R312" s="183"/>
      <c r="S312" s="183"/>
      <c r="T312" s="183"/>
      <c r="U312" s="183"/>
      <c r="V312" s="183"/>
      <c r="W312" s="183"/>
      <c r="X312" s="183"/>
      <c r="Y312" s="183"/>
      <c r="Z312" s="183"/>
      <c r="AA312" s="183"/>
      <c r="AB312" s="183"/>
    </row>
    <row r="313" spans="8:8" ht="15.75" hidden="1">
      <c r="F313" s="183"/>
      <c r="H313" s="185"/>
      <c r="I313" s="183"/>
      <c r="J313" s="183"/>
      <c r="K313" s="183"/>
      <c r="L313" s="183"/>
      <c r="N313" s="183"/>
      <c r="O313" s="183"/>
      <c r="P313" s="183"/>
      <c r="Q313" s="183"/>
      <c r="R313" s="183"/>
      <c r="S313" s="183"/>
      <c r="T313" s="183"/>
      <c r="U313" s="183"/>
      <c r="V313" s="183"/>
      <c r="W313" s="183"/>
      <c r="X313" s="183"/>
      <c r="Y313" s="183"/>
      <c r="Z313" s="183"/>
      <c r="AA313" s="183"/>
      <c r="AB313" s="183"/>
    </row>
    <row r="314" spans="8:8" ht="15.75" hidden="1">
      <c r="F314" s="183"/>
      <c r="H314" s="185"/>
      <c r="I314" s="183"/>
      <c r="J314" s="183"/>
      <c r="K314" s="183"/>
      <c r="L314" s="183"/>
      <c r="N314" s="183"/>
      <c r="O314" s="183"/>
      <c r="P314" s="183"/>
      <c r="Q314" s="183"/>
      <c r="R314" s="183"/>
      <c r="S314" s="183"/>
      <c r="T314" s="183"/>
      <c r="U314" s="183"/>
      <c r="V314" s="183"/>
      <c r="W314" s="183"/>
      <c r="X314" s="183"/>
      <c r="Y314" s="183"/>
      <c r="Z314" s="183"/>
      <c r="AA314" s="183"/>
      <c r="AB314" s="183"/>
    </row>
    <row r="315" spans="8:8" ht="15.75" hidden="1">
      <c r="F315" s="183"/>
      <c r="H315" s="185"/>
      <c r="I315" s="183"/>
      <c r="J315" s="183"/>
      <c r="K315" s="183"/>
      <c r="L315" s="183"/>
      <c r="N315" s="183"/>
      <c r="O315" s="183"/>
      <c r="P315" s="183"/>
      <c r="Q315" s="183"/>
      <c r="R315" s="183"/>
      <c r="S315" s="183"/>
      <c r="T315" s="183"/>
      <c r="U315" s="183"/>
      <c r="V315" s="183"/>
      <c r="W315" s="183"/>
      <c r="X315" s="183"/>
      <c r="Y315" s="183"/>
      <c r="Z315" s="183"/>
      <c r="AA315" s="183"/>
      <c r="AB315" s="183"/>
    </row>
    <row r="316" spans="8:8" ht="15.75" hidden="1">
      <c r="F316" s="183"/>
      <c r="H316" s="185"/>
      <c r="I316" s="183"/>
      <c r="J316" s="183"/>
      <c r="K316" s="183"/>
      <c r="L316" s="183"/>
      <c r="N316" s="183"/>
      <c r="O316" s="183"/>
      <c r="P316" s="183"/>
      <c r="Q316" s="183"/>
      <c r="R316" s="183"/>
      <c r="S316" s="183"/>
      <c r="T316" s="183"/>
      <c r="U316" s="183"/>
      <c r="V316" s="183"/>
      <c r="W316" s="183"/>
      <c r="X316" s="183"/>
      <c r="Y316" s="183"/>
      <c r="Z316" s="183"/>
      <c r="AA316" s="183"/>
      <c r="AB316" s="183"/>
    </row>
    <row r="317" spans="8:8" ht="15.75" hidden="1">
      <c r="F317" s="183"/>
      <c r="H317" s="185"/>
      <c r="I317" s="183"/>
      <c r="J317" s="183"/>
      <c r="K317" s="183"/>
      <c r="L317" s="183"/>
      <c r="N317" s="183"/>
      <c r="O317" s="183"/>
      <c r="P317" s="183"/>
      <c r="Q317" s="183"/>
      <c r="R317" s="183"/>
      <c r="S317" s="183"/>
      <c r="T317" s="183"/>
      <c r="U317" s="183"/>
      <c r="V317" s="183"/>
      <c r="W317" s="183"/>
      <c r="X317" s="183"/>
      <c r="Y317" s="183"/>
      <c r="Z317" s="183"/>
      <c r="AA317" s="183"/>
      <c r="AB317" s="183"/>
    </row>
    <row r="318" spans="8:8" ht="15.75" hidden="1">
      <c r="F318" s="183"/>
      <c r="H318" s="185"/>
      <c r="I318" s="183"/>
      <c r="J318" s="183"/>
      <c r="K318" s="183"/>
      <c r="L318" s="183"/>
      <c r="N318" s="183"/>
      <c r="O318" s="183"/>
      <c r="P318" s="183"/>
      <c r="Q318" s="183"/>
      <c r="R318" s="183"/>
      <c r="S318" s="183"/>
      <c r="T318" s="183"/>
      <c r="U318" s="183"/>
      <c r="V318" s="183"/>
      <c r="W318" s="183"/>
      <c r="X318" s="183"/>
      <c r="Y318" s="183"/>
      <c r="Z318" s="183"/>
      <c r="AA318" s="183"/>
      <c r="AB318" s="183"/>
    </row>
    <row r="319" spans="8:8" ht="15.75" hidden="1">
      <c r="F319" s="183"/>
      <c r="H319" s="185"/>
      <c r="I319" s="183"/>
      <c r="J319" s="183"/>
      <c r="K319" s="183"/>
      <c r="L319" s="183"/>
      <c r="N319" s="183"/>
      <c r="O319" s="183"/>
      <c r="P319" s="183"/>
      <c r="Q319" s="183"/>
      <c r="R319" s="183"/>
      <c r="S319" s="183"/>
      <c r="T319" s="183"/>
      <c r="U319" s="183"/>
      <c r="V319" s="183"/>
      <c r="W319" s="183"/>
      <c r="X319" s="183"/>
      <c r="Y319" s="183"/>
      <c r="Z319" s="183"/>
      <c r="AA319" s="183"/>
      <c r="AB319" s="183"/>
    </row>
    <row r="320" spans="8:8" ht="15.75" hidden="1">
      <c r="F320" s="183"/>
      <c r="H320" s="185"/>
      <c r="I320" s="183"/>
      <c r="J320" s="183"/>
      <c r="K320" s="183"/>
      <c r="L320" s="183"/>
      <c r="N320" s="183"/>
      <c r="O320" s="183"/>
      <c r="P320" s="183"/>
      <c r="Q320" s="183"/>
      <c r="R320" s="183"/>
      <c r="S320" s="183"/>
      <c r="T320" s="183"/>
      <c r="U320" s="183"/>
      <c r="V320" s="183"/>
      <c r="W320" s="183"/>
      <c r="X320" s="183"/>
      <c r="Y320" s="183"/>
      <c r="Z320" s="183"/>
      <c r="AA320" s="183"/>
      <c r="AB320" s="183"/>
    </row>
    <row r="321" spans="8:8" ht="15.75" hidden="1">
      <c r="F321" s="183"/>
      <c r="H321" s="185"/>
      <c r="I321" s="183"/>
      <c r="J321" s="183"/>
      <c r="K321" s="183"/>
      <c r="L321" s="183"/>
      <c r="N321" s="183"/>
      <c r="O321" s="183"/>
      <c r="P321" s="183"/>
      <c r="Q321" s="183"/>
      <c r="R321" s="183"/>
      <c r="S321" s="183"/>
      <c r="T321" s="183"/>
      <c r="U321" s="183"/>
      <c r="V321" s="183"/>
      <c r="W321" s="183"/>
      <c r="X321" s="183"/>
      <c r="Y321" s="183"/>
      <c r="Z321" s="183"/>
      <c r="AA321" s="183"/>
      <c r="AB321" s="183"/>
    </row>
    <row r="322" spans="8:8" ht="15.75" hidden="1">
      <c r="F322" s="183"/>
      <c r="H322" s="185"/>
      <c r="I322" s="183"/>
      <c r="J322" s="183"/>
      <c r="K322" s="183"/>
      <c r="L322" s="183"/>
      <c r="N322" s="183"/>
      <c r="O322" s="183"/>
      <c r="P322" s="183"/>
      <c r="Q322" s="183"/>
      <c r="R322" s="183"/>
      <c r="S322" s="183"/>
      <c r="T322" s="183"/>
      <c r="U322" s="183"/>
      <c r="V322" s="183"/>
      <c r="W322" s="183"/>
      <c r="X322" s="183"/>
      <c r="Y322" s="183"/>
      <c r="Z322" s="183"/>
      <c r="AA322" s="183"/>
      <c r="AB322" s="183"/>
    </row>
    <row r="323" spans="8:8" ht="15.75" hidden="1">
      <c r="F323" s="183"/>
      <c r="H323" s="185"/>
      <c r="I323" s="183"/>
      <c r="J323" s="183"/>
      <c r="K323" s="183"/>
      <c r="L323" s="183"/>
      <c r="N323" s="183"/>
      <c r="O323" s="183"/>
      <c r="P323" s="183"/>
      <c r="Q323" s="183"/>
      <c r="R323" s="183"/>
      <c r="S323" s="183"/>
      <c r="T323" s="183"/>
      <c r="U323" s="183"/>
      <c r="V323" s="183"/>
      <c r="W323" s="183"/>
      <c r="X323" s="183"/>
      <c r="Y323" s="183"/>
      <c r="Z323" s="183"/>
      <c r="AA323" s="183"/>
      <c r="AB323" s="183"/>
    </row>
    <row r="324" spans="8:8" ht="15.75" hidden="1">
      <c r="F324" s="183"/>
      <c r="H324" s="185"/>
      <c r="I324" s="183"/>
      <c r="J324" s="183"/>
      <c r="K324" s="183"/>
      <c r="L324" s="183"/>
      <c r="N324" s="183"/>
      <c r="O324" s="183"/>
      <c r="P324" s="183"/>
      <c r="Q324" s="183"/>
      <c r="R324" s="183"/>
      <c r="S324" s="183"/>
      <c r="T324" s="183"/>
      <c r="U324" s="183"/>
      <c r="V324" s="183"/>
      <c r="W324" s="183"/>
      <c r="X324" s="183"/>
      <c r="Y324" s="183"/>
      <c r="Z324" s="183"/>
      <c r="AA324" s="183"/>
      <c r="AB324" s="183"/>
    </row>
    <row r="325" spans="8:8" ht="15.75" hidden="1">
      <c r="F325" s="183"/>
      <c r="H325" s="185"/>
      <c r="I325" s="183"/>
      <c r="J325" s="183"/>
      <c r="K325" s="183"/>
      <c r="L325" s="183"/>
      <c r="N325" s="183"/>
      <c r="O325" s="183"/>
      <c r="P325" s="183"/>
      <c r="Q325" s="183"/>
      <c r="R325" s="183"/>
      <c r="S325" s="183"/>
      <c r="T325" s="183"/>
      <c r="U325" s="183"/>
      <c r="V325" s="183"/>
      <c r="W325" s="183"/>
      <c r="X325" s="183"/>
      <c r="Y325" s="183"/>
      <c r="Z325" s="183"/>
      <c r="AA325" s="183"/>
      <c r="AB325" s="183"/>
    </row>
    <row r="326" spans="8:8" ht="15.75" hidden="1">
      <c r="F326" s="183"/>
      <c r="H326" s="185"/>
      <c r="I326" s="183"/>
      <c r="J326" s="183"/>
      <c r="K326" s="183"/>
      <c r="L326" s="183"/>
      <c r="N326" s="183"/>
      <c r="O326" s="183"/>
      <c r="P326" s="183"/>
      <c r="Q326" s="183"/>
      <c r="R326" s="183"/>
      <c r="S326" s="183"/>
      <c r="T326" s="183"/>
      <c r="U326" s="183"/>
      <c r="V326" s="183"/>
      <c r="W326" s="183"/>
      <c r="X326" s="183"/>
      <c r="Y326" s="183"/>
      <c r="Z326" s="183"/>
      <c r="AA326" s="183"/>
      <c r="AB326" s="183"/>
    </row>
    <row r="327" spans="8:8" ht="15.75" hidden="1">
      <c r="F327" s="183"/>
      <c r="H327" s="185"/>
      <c r="I327" s="183"/>
      <c r="J327" s="183"/>
      <c r="K327" s="183"/>
      <c r="L327" s="183"/>
      <c r="N327" s="183"/>
      <c r="O327" s="183"/>
      <c r="P327" s="183"/>
      <c r="Q327" s="183"/>
      <c r="R327" s="183"/>
      <c r="S327" s="183"/>
      <c r="T327" s="183"/>
      <c r="U327" s="183"/>
      <c r="V327" s="183"/>
      <c r="W327" s="183"/>
      <c r="X327" s="183"/>
      <c r="Y327" s="183"/>
      <c r="Z327" s="183"/>
      <c r="AA327" s="183"/>
      <c r="AB327" s="183"/>
    </row>
    <row r="328" spans="8:8" ht="15.75" hidden="1">
      <c r="F328" s="183"/>
      <c r="H328" s="185"/>
      <c r="I328" s="183"/>
      <c r="J328" s="183"/>
      <c r="K328" s="183"/>
      <c r="L328" s="183"/>
      <c r="N328" s="183"/>
      <c r="O328" s="183"/>
      <c r="P328" s="183"/>
      <c r="Q328" s="183"/>
      <c r="R328" s="183"/>
      <c r="S328" s="183"/>
      <c r="T328" s="183"/>
      <c r="U328" s="183"/>
      <c r="V328" s="183"/>
      <c r="W328" s="183"/>
      <c r="X328" s="183"/>
      <c r="Y328" s="183"/>
      <c r="Z328" s="183"/>
      <c r="AA328" s="183"/>
      <c r="AB328" s="183"/>
    </row>
    <row r="329" spans="8:8" ht="15.75" hidden="1">
      <c r="F329" s="183"/>
      <c r="H329" s="185"/>
      <c r="I329" s="183"/>
      <c r="J329" s="183"/>
      <c r="K329" s="183"/>
      <c r="L329" s="183"/>
      <c r="N329" s="183"/>
      <c r="O329" s="183"/>
      <c r="P329" s="183"/>
      <c r="Q329" s="183"/>
      <c r="R329" s="183"/>
      <c r="S329" s="183"/>
      <c r="T329" s="183"/>
      <c r="U329" s="183"/>
      <c r="V329" s="183"/>
      <c r="W329" s="183"/>
      <c r="X329" s="183"/>
      <c r="Y329" s="183"/>
      <c r="Z329" s="183"/>
      <c r="AA329" s="183"/>
      <c r="AB329" s="183"/>
    </row>
    <row r="330" spans="8:8" ht="15.75" hidden="1">
      <c r="F330" s="183"/>
      <c r="H330" s="185"/>
      <c r="I330" s="183"/>
      <c r="J330" s="183"/>
      <c r="K330" s="183"/>
      <c r="L330" s="183"/>
      <c r="N330" s="183"/>
      <c r="O330" s="183"/>
      <c r="P330" s="183"/>
      <c r="Q330" s="183"/>
      <c r="R330" s="183"/>
      <c r="S330" s="183"/>
      <c r="T330" s="183"/>
      <c r="U330" s="183"/>
      <c r="V330" s="183"/>
      <c r="W330" s="183"/>
      <c r="X330" s="183"/>
      <c r="Y330" s="183"/>
      <c r="Z330" s="183"/>
      <c r="AA330" s="183"/>
      <c r="AB330" s="183"/>
    </row>
    <row r="331" spans="8:8" ht="15.75" hidden="1">
      <c r="F331" s="183"/>
      <c r="H331" s="185"/>
      <c r="I331" s="183"/>
      <c r="J331" s="183"/>
      <c r="K331" s="183"/>
      <c r="L331" s="183"/>
      <c r="N331" s="183"/>
      <c r="O331" s="183"/>
      <c r="P331" s="183"/>
      <c r="Q331" s="183"/>
      <c r="R331" s="183"/>
      <c r="S331" s="183"/>
      <c r="T331" s="183"/>
      <c r="U331" s="183"/>
      <c r="V331" s="183"/>
      <c r="W331" s="183"/>
      <c r="X331" s="183"/>
      <c r="Y331" s="183"/>
      <c r="Z331" s="183"/>
      <c r="AA331" s="183"/>
      <c r="AB331" s="183"/>
    </row>
    <row r="332" spans="8:8" ht="15.75" hidden="1">
      <c r="F332" s="183"/>
      <c r="H332" s="185"/>
      <c r="I332" s="183"/>
      <c r="J332" s="183"/>
      <c r="K332" s="183"/>
      <c r="L332" s="183"/>
      <c r="N332" s="183"/>
      <c r="O332" s="183"/>
      <c r="P332" s="183"/>
      <c r="Q332" s="183"/>
      <c r="R332" s="183"/>
      <c r="S332" s="183"/>
      <c r="T332" s="183"/>
      <c r="U332" s="183"/>
      <c r="V332" s="183"/>
      <c r="W332" s="183"/>
      <c r="X332" s="183"/>
      <c r="Y332" s="183"/>
      <c r="Z332" s="183"/>
      <c r="AA332" s="183"/>
      <c r="AB332" s="183"/>
    </row>
    <row r="333" spans="8:8" ht="15.75" hidden="1">
      <c r="F333" s="183"/>
      <c r="H333" s="185"/>
      <c r="I333" s="183"/>
      <c r="J333" s="183"/>
      <c r="K333" s="183"/>
      <c r="L333" s="183"/>
      <c r="N333" s="183"/>
      <c r="O333" s="183"/>
      <c r="P333" s="183"/>
      <c r="Q333" s="183"/>
      <c r="R333" s="183"/>
      <c r="S333" s="183"/>
      <c r="T333" s="183"/>
      <c r="U333" s="183"/>
      <c r="V333" s="183"/>
      <c r="W333" s="183"/>
      <c r="X333" s="183"/>
      <c r="Y333" s="183"/>
      <c r="Z333" s="183"/>
      <c r="AA333" s="183"/>
      <c r="AB333" s="183"/>
    </row>
    <row r="334" spans="8:8" ht="15.75" hidden="1">
      <c r="F334" s="183"/>
      <c r="H334" s="185"/>
      <c r="I334" s="183"/>
      <c r="J334" s="183"/>
      <c r="K334" s="183"/>
      <c r="L334" s="183"/>
      <c r="N334" s="183"/>
      <c r="O334" s="183"/>
      <c r="P334" s="183"/>
      <c r="Q334" s="183"/>
      <c r="R334" s="183"/>
      <c r="S334" s="183"/>
      <c r="T334" s="183"/>
      <c r="U334" s="183"/>
      <c r="V334" s="183"/>
      <c r="W334" s="183"/>
      <c r="X334" s="183"/>
      <c r="Y334" s="183"/>
      <c r="Z334" s="183"/>
      <c r="AA334" s="183"/>
      <c r="AB334" s="183"/>
    </row>
    <row r="335" spans="8:8" ht="15.75" hidden="1">
      <c r="F335" s="183"/>
      <c r="H335" s="185"/>
      <c r="I335" s="183"/>
      <c r="J335" s="183"/>
      <c r="K335" s="183"/>
      <c r="L335" s="183"/>
      <c r="N335" s="183"/>
      <c r="O335" s="183"/>
      <c r="P335" s="183"/>
      <c r="Q335" s="183"/>
      <c r="R335" s="183"/>
      <c r="S335" s="183"/>
      <c r="T335" s="183"/>
      <c r="U335" s="183"/>
      <c r="V335" s="183"/>
      <c r="W335" s="183"/>
      <c r="X335" s="183"/>
      <c r="Y335" s="183"/>
      <c r="Z335" s="183"/>
      <c r="AA335" s="183"/>
      <c r="AB335" s="183"/>
    </row>
    <row r="336" spans="8:8" ht="15.75" hidden="1">
      <c r="F336" s="183"/>
      <c r="H336" s="185"/>
      <c r="I336" s="183"/>
      <c r="J336" s="183"/>
      <c r="K336" s="183"/>
      <c r="L336" s="183"/>
      <c r="N336" s="183"/>
      <c r="O336" s="183"/>
      <c r="P336" s="183"/>
      <c r="Q336" s="183"/>
      <c r="R336" s="183"/>
      <c r="S336" s="183"/>
      <c r="T336" s="183"/>
      <c r="U336" s="183"/>
      <c r="V336" s="183"/>
      <c r="W336" s="183"/>
      <c r="X336" s="183"/>
      <c r="Y336" s="183"/>
      <c r="Z336" s="183"/>
      <c r="AA336" s="183"/>
      <c r="AB336" s="183"/>
    </row>
    <row r="337" spans="8:8" ht="15.75" hidden="1">
      <c r="F337" s="183"/>
      <c r="H337" s="185"/>
      <c r="I337" s="183"/>
      <c r="J337" s="183"/>
      <c r="K337" s="183"/>
      <c r="L337" s="183"/>
      <c r="N337" s="183"/>
      <c r="O337" s="183"/>
      <c r="P337" s="183"/>
      <c r="Q337" s="183"/>
      <c r="R337" s="183"/>
      <c r="S337" s="183"/>
      <c r="T337" s="183"/>
      <c r="U337" s="183"/>
      <c r="V337" s="183"/>
      <c r="W337" s="183"/>
      <c r="X337" s="183"/>
      <c r="Y337" s="183"/>
      <c r="Z337" s="183"/>
      <c r="AA337" s="183"/>
      <c r="AB337" s="183"/>
    </row>
    <row r="338" spans="8:8" ht="15.75" hidden="1">
      <c r="F338" s="183"/>
      <c r="H338" s="185"/>
      <c r="I338" s="183"/>
      <c r="J338" s="183"/>
      <c r="K338" s="183"/>
      <c r="L338" s="183"/>
      <c r="N338" s="183"/>
      <c r="O338" s="183"/>
      <c r="P338" s="183"/>
      <c r="Q338" s="183"/>
      <c r="R338" s="183"/>
      <c r="S338" s="183"/>
      <c r="T338" s="183"/>
      <c r="U338" s="183"/>
      <c r="V338" s="183"/>
      <c r="W338" s="183"/>
      <c r="X338" s="183"/>
      <c r="Y338" s="183"/>
      <c r="Z338" s="183"/>
      <c r="AA338" s="183"/>
      <c r="AB338" s="183"/>
    </row>
    <row r="339" spans="8:8" ht="15.75" hidden="1">
      <c r="F339" s="183"/>
      <c r="H339" s="185"/>
      <c r="I339" s="183"/>
      <c r="J339" s="183"/>
      <c r="K339" s="183"/>
      <c r="L339" s="183"/>
      <c r="N339" s="183"/>
      <c r="O339" s="183"/>
      <c r="P339" s="183"/>
      <c r="Q339" s="183"/>
      <c r="R339" s="183"/>
      <c r="S339" s="183"/>
      <c r="T339" s="183"/>
      <c r="U339" s="183"/>
      <c r="V339" s="183"/>
      <c r="W339" s="183"/>
      <c r="X339" s="183"/>
      <c r="Y339" s="183"/>
      <c r="Z339" s="183"/>
      <c r="AA339" s="183"/>
      <c r="AB339" s="183"/>
    </row>
    <row r="340" spans="8:8" ht="15.75" hidden="1">
      <c r="F340" s="183"/>
      <c r="H340" s="185"/>
      <c r="I340" s="183"/>
      <c r="J340" s="183"/>
      <c r="K340" s="183"/>
      <c r="L340" s="183"/>
      <c r="N340" s="183"/>
      <c r="O340" s="183"/>
      <c r="P340" s="183"/>
      <c r="Q340" s="183"/>
      <c r="R340" s="183"/>
      <c r="S340" s="183"/>
      <c r="T340" s="183"/>
      <c r="U340" s="183"/>
      <c r="V340" s="183"/>
      <c r="W340" s="183"/>
      <c r="X340" s="183"/>
      <c r="Y340" s="183"/>
      <c r="Z340" s="183"/>
      <c r="AA340" s="183"/>
      <c r="AB340" s="183"/>
    </row>
    <row r="341" spans="8:8" ht="15.75" hidden="1">
      <c r="F341" s="183"/>
      <c r="H341" s="185"/>
      <c r="I341" s="183"/>
      <c r="J341" s="183"/>
      <c r="K341" s="183"/>
      <c r="L341" s="183"/>
      <c r="N341" s="183"/>
      <c r="O341" s="183"/>
      <c r="P341" s="183"/>
      <c r="Q341" s="183"/>
      <c r="R341" s="183"/>
      <c r="S341" s="183"/>
      <c r="T341" s="183"/>
      <c r="U341" s="183"/>
      <c r="V341" s="183"/>
      <c r="W341" s="183"/>
      <c r="X341" s="183"/>
      <c r="Y341" s="183"/>
      <c r="Z341" s="183"/>
      <c r="AA341" s="183"/>
      <c r="AB341" s="183"/>
    </row>
    <row r="342" spans="8:8" ht="15.75" hidden="1">
      <c r="F342" s="183"/>
      <c r="H342" s="185"/>
      <c r="I342" s="183"/>
      <c r="J342" s="183"/>
      <c r="K342" s="183"/>
      <c r="L342" s="183"/>
      <c r="N342" s="183"/>
      <c r="O342" s="183"/>
      <c r="P342" s="183"/>
      <c r="Q342" s="183"/>
      <c r="R342" s="183"/>
      <c r="S342" s="183"/>
      <c r="T342" s="183"/>
      <c r="U342" s="183"/>
      <c r="V342" s="183"/>
      <c r="W342" s="183"/>
      <c r="X342" s="183"/>
      <c r="Y342" s="183"/>
      <c r="Z342" s="183"/>
      <c r="AA342" s="183"/>
      <c r="AB342" s="183"/>
    </row>
    <row r="343" spans="8:8" ht="15.75" hidden="1">
      <c r="F343" s="183"/>
      <c r="H343" s="185"/>
      <c r="I343" s="183"/>
      <c r="J343" s="183"/>
      <c r="K343" s="183"/>
      <c r="L343" s="183"/>
      <c r="N343" s="183"/>
      <c r="O343" s="183"/>
      <c r="P343" s="183"/>
      <c r="Q343" s="183"/>
      <c r="R343" s="183"/>
      <c r="S343" s="183"/>
      <c r="T343" s="183"/>
      <c r="U343" s="183"/>
      <c r="V343" s="183"/>
      <c r="W343" s="183"/>
      <c r="X343" s="183"/>
      <c r="Y343" s="183"/>
      <c r="Z343" s="183"/>
      <c r="AA343" s="183"/>
      <c r="AB343" s="183"/>
    </row>
    <row r="344" spans="8:8" ht="15.75" hidden="1">
      <c r="F344" s="183"/>
      <c r="H344" s="185"/>
      <c r="I344" s="183"/>
      <c r="J344" s="183"/>
      <c r="K344" s="183"/>
      <c r="L344" s="183"/>
      <c r="N344" s="183"/>
      <c r="O344" s="183"/>
      <c r="P344" s="183"/>
      <c r="Q344" s="183"/>
      <c r="R344" s="183"/>
      <c r="S344" s="183"/>
      <c r="T344" s="183"/>
      <c r="U344" s="183"/>
      <c r="V344" s="183"/>
      <c r="W344" s="183"/>
      <c r="X344" s="183"/>
      <c r="Y344" s="183"/>
      <c r="Z344" s="183"/>
      <c r="AA344" s="183"/>
      <c r="AB344" s="183"/>
    </row>
    <row r="345" spans="8:8" ht="15.75" hidden="1">
      <c r="F345" s="183"/>
      <c r="H345" s="185"/>
      <c r="I345" s="183"/>
      <c r="J345" s="183"/>
      <c r="K345" s="183"/>
      <c r="L345" s="183"/>
      <c r="N345" s="183"/>
      <c r="O345" s="183"/>
      <c r="P345" s="183"/>
      <c r="Q345" s="183"/>
      <c r="R345" s="183"/>
      <c r="S345" s="183"/>
      <c r="T345" s="183"/>
      <c r="U345" s="183"/>
      <c r="V345" s="183"/>
      <c r="W345" s="183"/>
      <c r="X345" s="183"/>
      <c r="Y345" s="183"/>
      <c r="Z345" s="183"/>
      <c r="AA345" s="183"/>
      <c r="AB345" s="183"/>
    </row>
    <row r="346" spans="8:8" ht="15.75" hidden="1">
      <c r="F346" s="183"/>
      <c r="H346" s="185"/>
      <c r="I346" s="183"/>
      <c r="J346" s="183"/>
      <c r="K346" s="183"/>
      <c r="L346" s="183"/>
      <c r="N346" s="183"/>
      <c r="O346" s="183"/>
      <c r="P346" s="183"/>
      <c r="Q346" s="183"/>
      <c r="R346" s="183"/>
      <c r="S346" s="183"/>
      <c r="T346" s="183"/>
      <c r="U346" s="183"/>
      <c r="V346" s="183"/>
      <c r="W346" s="183"/>
      <c r="X346" s="183"/>
      <c r="Y346" s="183"/>
      <c r="Z346" s="183"/>
      <c r="AA346" s="183"/>
      <c r="AB346" s="183"/>
    </row>
    <row r="347" spans="8:8" ht="15.75" hidden="1">
      <c r="F347" s="183"/>
      <c r="H347" s="185"/>
      <c r="I347" s="183"/>
      <c r="J347" s="183"/>
      <c r="K347" s="183"/>
      <c r="L347" s="183"/>
      <c r="N347" s="183"/>
      <c r="O347" s="183"/>
      <c r="P347" s="183"/>
      <c r="Q347" s="183"/>
      <c r="R347" s="183"/>
      <c r="S347" s="183"/>
      <c r="T347" s="183"/>
      <c r="U347" s="183"/>
      <c r="V347" s="183"/>
      <c r="W347" s="183"/>
      <c r="X347" s="183"/>
      <c r="Y347" s="183"/>
      <c r="Z347" s="183"/>
      <c r="AA347" s="183"/>
      <c r="AB347" s="183"/>
    </row>
    <row r="348" spans="8:8" ht="15.75" hidden="1">
      <c r="F348" s="183"/>
      <c r="H348" s="185"/>
      <c r="I348" s="183"/>
      <c r="J348" s="183"/>
      <c r="K348" s="183"/>
      <c r="L348" s="183"/>
      <c r="N348" s="183"/>
      <c r="O348" s="183"/>
      <c r="P348" s="183"/>
      <c r="Q348" s="183"/>
      <c r="R348" s="183"/>
      <c r="S348" s="183"/>
      <c r="T348" s="183"/>
      <c r="U348" s="183"/>
      <c r="V348" s="183"/>
      <c r="W348" s="183"/>
      <c r="X348" s="183"/>
      <c r="Y348" s="183"/>
      <c r="Z348" s="183"/>
      <c r="AA348" s="183"/>
      <c r="AB348" s="183"/>
    </row>
    <row r="349" spans="8:8" ht="15.75" hidden="1">
      <c r="F349" s="183"/>
      <c r="H349" s="185"/>
      <c r="I349" s="183"/>
      <c r="J349" s="183"/>
      <c r="K349" s="183"/>
      <c r="L349" s="183"/>
      <c r="N349" s="183"/>
      <c r="O349" s="183"/>
      <c r="P349" s="183"/>
      <c r="Q349" s="183"/>
      <c r="R349" s="183"/>
      <c r="S349" s="183"/>
      <c r="T349" s="183"/>
      <c r="U349" s="183"/>
      <c r="V349" s="183"/>
      <c r="W349" s="183"/>
      <c r="X349" s="183"/>
      <c r="Y349" s="183"/>
      <c r="Z349" s="183"/>
      <c r="AA349" s="183"/>
      <c r="AB349" s="183"/>
    </row>
    <row r="350" spans="8:8" ht="15.75" hidden="1">
      <c r="F350" s="183"/>
      <c r="H350" s="185"/>
      <c r="I350" s="183"/>
      <c r="J350" s="183"/>
      <c r="K350" s="183"/>
      <c r="L350" s="183"/>
      <c r="N350" s="183"/>
      <c r="O350" s="183"/>
      <c r="P350" s="183"/>
      <c r="Q350" s="183"/>
      <c r="R350" s="183"/>
      <c r="S350" s="183"/>
      <c r="T350" s="183"/>
      <c r="U350" s="183"/>
      <c r="V350" s="183"/>
      <c r="W350" s="183"/>
      <c r="X350" s="183"/>
      <c r="Y350" s="183"/>
      <c r="Z350" s="183"/>
      <c r="AA350" s="183"/>
      <c r="AB350" s="183"/>
    </row>
    <row r="351" spans="8:8" ht="15.75" hidden="1">
      <c r="F351" s="183"/>
      <c r="H351" s="185"/>
      <c r="I351" s="183"/>
      <c r="J351" s="183"/>
      <c r="K351" s="183"/>
      <c r="L351" s="183"/>
      <c r="N351" s="183"/>
      <c r="O351" s="183"/>
      <c r="P351" s="183"/>
      <c r="Q351" s="183"/>
      <c r="R351" s="183"/>
      <c r="S351" s="183"/>
      <c r="T351" s="183"/>
      <c r="U351" s="183"/>
      <c r="V351" s="183"/>
      <c r="W351" s="183"/>
      <c r="X351" s="183"/>
      <c r="Y351" s="183"/>
      <c r="Z351" s="183"/>
      <c r="AA351" s="183"/>
      <c r="AB351" s="183"/>
    </row>
    <row r="352" spans="8:8" ht="15.75" hidden="1">
      <c r="F352" s="183"/>
      <c r="H352" s="185"/>
      <c r="I352" s="183"/>
      <c r="J352" s="183"/>
      <c r="K352" s="183"/>
      <c r="L352" s="183"/>
      <c r="N352" s="183"/>
      <c r="O352" s="183"/>
      <c r="P352" s="183"/>
      <c r="Q352" s="183"/>
      <c r="R352" s="183"/>
      <c r="S352" s="183"/>
      <c r="T352" s="183"/>
      <c r="U352" s="183"/>
      <c r="V352" s="183"/>
      <c r="W352" s="183"/>
      <c r="X352" s="183"/>
      <c r="Y352" s="183"/>
      <c r="Z352" s="183"/>
      <c r="AA352" s="183"/>
      <c r="AB352" s="183"/>
    </row>
    <row r="353" spans="8:8" ht="15.75" hidden="1">
      <c r="F353" s="183"/>
      <c r="H353" s="185"/>
      <c r="I353" s="183"/>
      <c r="J353" s="183"/>
      <c r="K353" s="183"/>
      <c r="L353" s="183"/>
      <c r="N353" s="183"/>
      <c r="O353" s="183"/>
      <c r="P353" s="183"/>
      <c r="Q353" s="183"/>
      <c r="R353" s="183"/>
      <c r="S353" s="183"/>
      <c r="T353" s="183"/>
      <c r="U353" s="183"/>
      <c r="V353" s="183"/>
      <c r="W353" s="183"/>
      <c r="X353" s="183"/>
      <c r="Y353" s="183"/>
      <c r="Z353" s="183"/>
      <c r="AA353" s="183"/>
      <c r="AB353" s="183"/>
    </row>
    <row r="354" spans="8:8" ht="15.75" hidden="1">
      <c r="F354" s="183"/>
      <c r="H354" s="185"/>
      <c r="I354" s="183"/>
      <c r="J354" s="183"/>
      <c r="K354" s="183"/>
      <c r="L354" s="183"/>
      <c r="N354" s="183"/>
      <c r="O354" s="183"/>
      <c r="P354" s="183"/>
      <c r="Q354" s="183"/>
      <c r="R354" s="183"/>
      <c r="S354" s="183"/>
      <c r="T354" s="183"/>
      <c r="U354" s="183"/>
      <c r="V354" s="183"/>
      <c r="W354" s="183"/>
      <c r="X354" s="183"/>
      <c r="Y354" s="183"/>
      <c r="Z354" s="183"/>
      <c r="AA354" s="183"/>
      <c r="AB354" s="183"/>
    </row>
    <row r="355" spans="8:8" ht="15.75" hidden="1">
      <c r="F355" s="183"/>
      <c r="H355" s="185"/>
      <c r="I355" s="183"/>
      <c r="J355" s="183"/>
      <c r="K355" s="183"/>
      <c r="L355" s="183"/>
      <c r="N355" s="183"/>
      <c r="O355" s="183"/>
      <c r="P355" s="183"/>
      <c r="Q355" s="183"/>
      <c r="R355" s="183"/>
      <c r="S355" s="183"/>
      <c r="T355" s="183"/>
      <c r="U355" s="183"/>
      <c r="V355" s="183"/>
      <c r="W355" s="183"/>
      <c r="X355" s="183"/>
      <c r="Y355" s="183"/>
      <c r="Z355" s="183"/>
      <c r="AA355" s="183"/>
      <c r="AB355" s="183"/>
    </row>
    <row r="356" spans="8:8" ht="15.75" hidden="1">
      <c r="F356" s="183"/>
      <c r="H356" s="185"/>
      <c r="I356" s="183"/>
      <c r="J356" s="183"/>
      <c r="K356" s="183"/>
      <c r="L356" s="183"/>
      <c r="N356" s="183"/>
      <c r="O356" s="183"/>
      <c r="P356" s="183"/>
      <c r="Q356" s="183"/>
      <c r="R356" s="183"/>
      <c r="S356" s="183"/>
      <c r="T356" s="183"/>
      <c r="U356" s="183"/>
      <c r="V356" s="183"/>
      <c r="W356" s="183"/>
      <c r="X356" s="183"/>
      <c r="Y356" s="183"/>
      <c r="Z356" s="183"/>
      <c r="AA356" s="183"/>
      <c r="AB356" s="183"/>
    </row>
    <row r="357" spans="8:8" ht="15.75" hidden="1">
      <c r="F357" s="183"/>
      <c r="H357" s="185"/>
      <c r="I357" s="183"/>
      <c r="J357" s="183"/>
      <c r="K357" s="183"/>
      <c r="L357" s="183"/>
      <c r="N357" s="183"/>
      <c r="O357" s="183"/>
      <c r="P357" s="183"/>
      <c r="Q357" s="183"/>
      <c r="R357" s="183"/>
      <c r="S357" s="183"/>
      <c r="T357" s="183"/>
      <c r="U357" s="183"/>
      <c r="V357" s="183"/>
      <c r="W357" s="183"/>
      <c r="X357" s="183"/>
      <c r="Y357" s="183"/>
      <c r="Z357" s="183"/>
      <c r="AA357" s="183"/>
      <c r="AB357" s="183"/>
    </row>
    <row r="358" spans="8:8" ht="15.75" hidden="1">
      <c r="F358" s="183"/>
      <c r="H358" s="185"/>
      <c r="I358" s="183"/>
      <c r="J358" s="183"/>
      <c r="K358" s="183"/>
      <c r="L358" s="183"/>
      <c r="N358" s="183"/>
      <c r="O358" s="183"/>
      <c r="P358" s="183"/>
      <c r="Q358" s="183"/>
      <c r="R358" s="183"/>
      <c r="S358" s="183"/>
      <c r="T358" s="183"/>
      <c r="U358" s="183"/>
      <c r="V358" s="183"/>
      <c r="W358" s="183"/>
      <c r="X358" s="183"/>
      <c r="Y358" s="183"/>
      <c r="Z358" s="183"/>
      <c r="AA358" s="183"/>
      <c r="AB358" s="183"/>
    </row>
    <row r="359" spans="8:8" ht="15.75" hidden="1">
      <c r="F359" s="183"/>
      <c r="H359" s="185"/>
      <c r="I359" s="183"/>
      <c r="J359" s="183"/>
      <c r="K359" s="183"/>
      <c r="L359" s="183"/>
      <c r="N359" s="183"/>
      <c r="O359" s="183"/>
      <c r="P359" s="183"/>
      <c r="Q359" s="183"/>
      <c r="R359" s="183"/>
      <c r="S359" s="183"/>
      <c r="T359" s="183"/>
      <c r="U359" s="183"/>
      <c r="V359" s="183"/>
      <c r="W359" s="183"/>
      <c r="X359" s="183"/>
      <c r="Y359" s="183"/>
      <c r="Z359" s="183"/>
      <c r="AA359" s="183"/>
      <c r="AB359" s="183"/>
    </row>
    <row r="360" spans="8:8" ht="15.75" hidden="1">
      <c r="F360" s="183"/>
      <c r="H360" s="185"/>
      <c r="I360" s="183"/>
      <c r="J360" s="183"/>
      <c r="K360" s="183"/>
      <c r="L360" s="183"/>
      <c r="N360" s="183"/>
      <c r="O360" s="183"/>
      <c r="P360" s="183"/>
      <c r="Q360" s="183"/>
      <c r="R360" s="183"/>
      <c r="S360" s="183"/>
      <c r="T360" s="183"/>
      <c r="U360" s="183"/>
      <c r="V360" s="183"/>
      <c r="W360" s="183"/>
      <c r="X360" s="183"/>
      <c r="Y360" s="183"/>
      <c r="Z360" s="183"/>
      <c r="AA360" s="183"/>
      <c r="AB360" s="183"/>
    </row>
    <row r="361" spans="8:8" ht="15.75" hidden="1">
      <c r="F361" s="183"/>
      <c r="H361" s="185"/>
      <c r="I361" s="183"/>
      <c r="J361" s="183"/>
      <c r="K361" s="183"/>
      <c r="L361" s="183"/>
      <c r="N361" s="183"/>
      <c r="O361" s="183"/>
      <c r="P361" s="183"/>
      <c r="Q361" s="183"/>
      <c r="R361" s="183"/>
      <c r="S361" s="183"/>
      <c r="T361" s="183"/>
      <c r="U361" s="183"/>
      <c r="V361" s="183"/>
      <c r="W361" s="183"/>
      <c r="X361" s="183"/>
      <c r="Y361" s="183"/>
      <c r="Z361" s="183"/>
      <c r="AA361" s="183"/>
      <c r="AB361" s="183"/>
    </row>
    <row r="362" spans="8:8" ht="15.75" hidden="1">
      <c r="F362" s="183"/>
      <c r="H362" s="185"/>
      <c r="I362" s="183"/>
      <c r="J362" s="183"/>
      <c r="K362" s="183"/>
      <c r="L362" s="183"/>
      <c r="N362" s="183"/>
      <c r="O362" s="183"/>
      <c r="P362" s="183"/>
      <c r="Q362" s="183"/>
      <c r="R362" s="183"/>
      <c r="S362" s="183"/>
      <c r="T362" s="183"/>
      <c r="U362" s="183"/>
      <c r="V362" s="183"/>
      <c r="W362" s="183"/>
      <c r="X362" s="183"/>
      <c r="Y362" s="183"/>
      <c r="Z362" s="183"/>
      <c r="AA362" s="183"/>
      <c r="AB362" s="183"/>
    </row>
    <row r="363" spans="8:8" ht="15.75" hidden="1">
      <c r="F363" s="183"/>
      <c r="H363" s="185"/>
      <c r="I363" s="183"/>
      <c r="J363" s="183"/>
      <c r="K363" s="183"/>
      <c r="L363" s="183"/>
      <c r="N363" s="183"/>
      <c r="O363" s="183"/>
      <c r="P363" s="183"/>
      <c r="Q363" s="183"/>
      <c r="R363" s="183"/>
      <c r="S363" s="183"/>
      <c r="T363" s="183"/>
      <c r="U363" s="183"/>
      <c r="V363" s="183"/>
      <c r="W363" s="183"/>
      <c r="X363" s="183"/>
      <c r="Y363" s="183"/>
      <c r="Z363" s="183"/>
      <c r="AA363" s="183"/>
      <c r="AB363" s="183"/>
    </row>
    <row r="364" spans="8:8" ht="15.75" hidden="1">
      <c r="F364" s="183"/>
      <c r="H364" s="185"/>
      <c r="I364" s="183"/>
      <c r="J364" s="183"/>
      <c r="K364" s="183"/>
      <c r="L364" s="183"/>
      <c r="N364" s="183"/>
      <c r="O364" s="183"/>
      <c r="P364" s="183"/>
      <c r="Q364" s="183"/>
      <c r="R364" s="183"/>
      <c r="S364" s="183"/>
      <c r="T364" s="183"/>
      <c r="U364" s="183"/>
      <c r="V364" s="183"/>
      <c r="W364" s="183"/>
      <c r="X364" s="183"/>
      <c r="Y364" s="183"/>
      <c r="Z364" s="183"/>
      <c r="AA364" s="183"/>
      <c r="AB364" s="183"/>
    </row>
    <row r="365" spans="8:8" ht="15.75" hidden="1">
      <c r="F365" s="183"/>
      <c r="H365" s="185"/>
      <c r="I365" s="183"/>
      <c r="J365" s="183"/>
      <c r="K365" s="183"/>
      <c r="L365" s="183"/>
      <c r="N365" s="183"/>
      <c r="O365" s="183"/>
      <c r="P365" s="183"/>
      <c r="Q365" s="183"/>
      <c r="R365" s="183"/>
      <c r="S365" s="183"/>
      <c r="T365" s="183"/>
      <c r="U365" s="183"/>
      <c r="V365" s="183"/>
      <c r="W365" s="183"/>
      <c r="X365" s="183"/>
      <c r="Y365" s="183"/>
      <c r="Z365" s="183"/>
      <c r="AA365" s="183"/>
      <c r="AB365" s="183"/>
    </row>
    <row r="366" spans="8:8" ht="15.75" hidden="1">
      <c r="F366" s="183"/>
      <c r="H366" s="185"/>
      <c r="I366" s="183"/>
      <c r="J366" s="183"/>
      <c r="K366" s="183"/>
      <c r="L366" s="183"/>
      <c r="N366" s="183"/>
      <c r="O366" s="183"/>
      <c r="P366" s="183"/>
      <c r="Q366" s="183"/>
      <c r="R366" s="183"/>
      <c r="S366" s="183"/>
      <c r="T366" s="183"/>
      <c r="U366" s="183"/>
      <c r="V366" s="183"/>
      <c r="W366" s="183"/>
      <c r="X366" s="183"/>
      <c r="Y366" s="183"/>
      <c r="Z366" s="183"/>
      <c r="AA366" s="183"/>
      <c r="AB366" s="183"/>
    </row>
    <row r="367" spans="8:8" ht="15.75" hidden="1">
      <c r="F367" s="183"/>
      <c r="H367" s="185"/>
      <c r="I367" s="183"/>
      <c r="J367" s="183"/>
      <c r="K367" s="183"/>
      <c r="L367" s="183"/>
      <c r="N367" s="183"/>
      <c r="O367" s="183"/>
      <c r="P367" s="183"/>
      <c r="Q367" s="183"/>
      <c r="R367" s="183"/>
      <c r="S367" s="183"/>
      <c r="T367" s="183"/>
      <c r="U367" s="183"/>
      <c r="V367" s="183"/>
      <c r="W367" s="183"/>
      <c r="X367" s="183"/>
      <c r="Y367" s="183"/>
      <c r="Z367" s="183"/>
      <c r="AA367" s="183"/>
      <c r="AB367" s="183"/>
    </row>
    <row r="368" spans="8:8" ht="15.75" hidden="1">
      <c r="F368" s="183"/>
      <c r="H368" s="185"/>
      <c r="I368" s="183"/>
      <c r="J368" s="183"/>
      <c r="K368" s="183"/>
      <c r="L368" s="183"/>
      <c r="N368" s="183"/>
      <c r="O368" s="183"/>
      <c r="P368" s="183"/>
      <c r="Q368" s="183"/>
      <c r="R368" s="183"/>
      <c r="S368" s="183"/>
      <c r="T368" s="183"/>
      <c r="U368" s="183"/>
      <c r="V368" s="183"/>
      <c r="W368" s="183"/>
      <c r="X368" s="183"/>
      <c r="Y368" s="183"/>
      <c r="Z368" s="183"/>
      <c r="AA368" s="183"/>
      <c r="AB368" s="183"/>
    </row>
    <row r="369" spans="8:8" ht="15.75" hidden="1">
      <c r="F369" s="183"/>
      <c r="H369" s="185"/>
      <c r="I369" s="183"/>
      <c r="J369" s="183"/>
      <c r="K369" s="183"/>
      <c r="L369" s="183"/>
      <c r="N369" s="183"/>
      <c r="O369" s="183"/>
      <c r="P369" s="183"/>
      <c r="Q369" s="183"/>
      <c r="R369" s="183"/>
      <c r="S369" s="183"/>
      <c r="T369" s="183"/>
      <c r="U369" s="183"/>
      <c r="V369" s="183"/>
      <c r="W369" s="183"/>
      <c r="X369" s="183"/>
      <c r="Y369" s="183"/>
      <c r="Z369" s="183"/>
      <c r="AA369" s="183"/>
      <c r="AB369" s="183"/>
    </row>
    <row r="370" spans="8:8" ht="15.75" hidden="1">
      <c r="F370" s="183"/>
      <c r="H370" s="185"/>
      <c r="I370" s="183"/>
      <c r="J370" s="183"/>
      <c r="K370" s="183"/>
      <c r="L370" s="183"/>
      <c r="N370" s="183"/>
      <c r="O370" s="183"/>
      <c r="P370" s="183"/>
      <c r="Q370" s="183"/>
      <c r="R370" s="183"/>
      <c r="S370" s="183"/>
      <c r="T370" s="183"/>
      <c r="U370" s="183"/>
      <c r="V370" s="183"/>
      <c r="W370" s="183"/>
      <c r="X370" s="183"/>
      <c r="Y370" s="183"/>
      <c r="Z370" s="183"/>
      <c r="AA370" s="183"/>
      <c r="AB370" s="183"/>
    </row>
    <row r="371" spans="8:8" ht="15.75" hidden="1">
      <c r="F371" s="183"/>
      <c r="H371" s="185"/>
      <c r="I371" s="183"/>
      <c r="J371" s="183"/>
      <c r="K371" s="183"/>
      <c r="L371" s="183"/>
      <c r="N371" s="183"/>
      <c r="O371" s="183"/>
      <c r="P371" s="183"/>
      <c r="Q371" s="183"/>
      <c r="R371" s="183"/>
      <c r="S371" s="183"/>
      <c r="T371" s="183"/>
      <c r="U371" s="183"/>
      <c r="V371" s="183"/>
      <c r="W371" s="183"/>
      <c r="X371" s="183"/>
      <c r="Y371" s="183"/>
      <c r="Z371" s="183"/>
      <c r="AA371" s="183"/>
      <c r="AB371" s="183"/>
    </row>
    <row r="372" spans="8:8" ht="15.75" hidden="1">
      <c r="F372" s="183"/>
      <c r="H372" s="185"/>
      <c r="I372" s="183"/>
      <c r="J372" s="183"/>
      <c r="K372" s="183"/>
      <c r="L372" s="183"/>
      <c r="N372" s="183"/>
      <c r="O372" s="183"/>
      <c r="P372" s="183"/>
      <c r="Q372" s="183"/>
      <c r="R372" s="183"/>
      <c r="S372" s="183"/>
      <c r="T372" s="183"/>
      <c r="U372" s="183"/>
      <c r="V372" s="183"/>
      <c r="W372" s="183"/>
      <c r="X372" s="183"/>
      <c r="Y372" s="183"/>
      <c r="Z372" s="183"/>
      <c r="AA372" s="183"/>
      <c r="AB372" s="183"/>
    </row>
    <row r="373" spans="8:8" ht="15.75" hidden="1">
      <c r="F373" s="183"/>
      <c r="H373" s="185"/>
      <c r="I373" s="183"/>
      <c r="J373" s="183"/>
      <c r="K373" s="183"/>
      <c r="L373" s="183"/>
      <c r="N373" s="183"/>
      <c r="O373" s="183"/>
      <c r="P373" s="183"/>
      <c r="Q373" s="183"/>
      <c r="R373" s="183"/>
      <c r="S373" s="183"/>
      <c r="T373" s="183"/>
      <c r="U373" s="183"/>
      <c r="V373" s="183"/>
      <c r="W373" s="183"/>
      <c r="X373" s="183"/>
      <c r="Y373" s="183"/>
      <c r="Z373" s="183"/>
      <c r="AA373" s="183"/>
      <c r="AB373" s="183"/>
    </row>
    <row r="374" spans="8:8" ht="15.75" hidden="1">
      <c r="F374" s="183"/>
      <c r="H374" s="185"/>
      <c r="I374" s="183"/>
      <c r="J374" s="183"/>
      <c r="K374" s="183"/>
      <c r="L374" s="183"/>
      <c r="N374" s="183"/>
      <c r="O374" s="183"/>
      <c r="P374" s="183"/>
      <c r="Q374" s="183"/>
      <c r="R374" s="183"/>
      <c r="S374" s="183"/>
      <c r="T374" s="183"/>
      <c r="U374" s="183"/>
      <c r="V374" s="183"/>
      <c r="W374" s="183"/>
      <c r="X374" s="183"/>
      <c r="Y374" s="183"/>
      <c r="Z374" s="183"/>
      <c r="AA374" s="183"/>
      <c r="AB374" s="183"/>
    </row>
    <row r="375" spans="8:8" ht="15.75" hidden="1">
      <c r="F375" s="183"/>
      <c r="H375" s="185"/>
      <c r="I375" s="183"/>
      <c r="J375" s="183"/>
      <c r="K375" s="183"/>
      <c r="L375" s="183"/>
      <c r="N375" s="183"/>
      <c r="O375" s="183"/>
      <c r="P375" s="183"/>
      <c r="Q375" s="183"/>
      <c r="R375" s="183"/>
      <c r="S375" s="183"/>
      <c r="T375" s="183"/>
      <c r="U375" s="183"/>
      <c r="V375" s="183"/>
      <c r="W375" s="183"/>
      <c r="X375" s="183"/>
      <c r="Y375" s="183"/>
      <c r="Z375" s="183"/>
      <c r="AA375" s="183"/>
      <c r="AB375" s="183"/>
    </row>
    <row r="376" spans="8:8" ht="15.75" hidden="1">
      <c r="F376" s="183"/>
      <c r="H376" s="185"/>
      <c r="I376" s="183"/>
      <c r="J376" s="183"/>
      <c r="K376" s="183"/>
      <c r="L376" s="183"/>
      <c r="N376" s="183"/>
      <c r="O376" s="183"/>
      <c r="P376" s="183"/>
      <c r="Q376" s="183"/>
      <c r="R376" s="183"/>
      <c r="S376" s="183"/>
      <c r="T376" s="183"/>
      <c r="U376" s="183"/>
      <c r="V376" s="183"/>
      <c r="W376" s="183"/>
      <c r="X376" s="183"/>
      <c r="Y376" s="183"/>
      <c r="Z376" s="183"/>
      <c r="AA376" s="183"/>
      <c r="AB376" s="183"/>
    </row>
    <row r="377" spans="8:8" ht="15.75" hidden="1">
      <c r="F377" s="183"/>
      <c r="H377" s="185"/>
      <c r="I377" s="183"/>
      <c r="J377" s="183"/>
      <c r="K377" s="183"/>
      <c r="L377" s="183"/>
      <c r="N377" s="183"/>
      <c r="O377" s="183"/>
      <c r="P377" s="183"/>
      <c r="Q377" s="183"/>
      <c r="R377" s="183"/>
      <c r="S377" s="183"/>
      <c r="T377" s="183"/>
      <c r="U377" s="183"/>
      <c r="V377" s="183"/>
      <c r="W377" s="183"/>
      <c r="X377" s="183"/>
      <c r="Y377" s="183"/>
      <c r="Z377" s="183"/>
      <c r="AA377" s="183"/>
      <c r="AB377" s="183"/>
    </row>
    <row r="378" spans="8:8" ht="15.75" hidden="1">
      <c r="F378" s="183"/>
      <c r="H378" s="185"/>
      <c r="I378" s="183"/>
      <c r="J378" s="183"/>
      <c r="K378" s="183"/>
      <c r="L378" s="183"/>
      <c r="N378" s="183"/>
      <c r="O378" s="183"/>
      <c r="P378" s="183"/>
      <c r="Q378" s="183"/>
      <c r="R378" s="183"/>
      <c r="S378" s="183"/>
      <c r="T378" s="183"/>
      <c r="U378" s="183"/>
      <c r="V378" s="183"/>
      <c r="W378" s="183"/>
      <c r="X378" s="183"/>
      <c r="Y378" s="183"/>
      <c r="Z378" s="183"/>
      <c r="AA378" s="183"/>
      <c r="AB378" s="183"/>
    </row>
    <row r="379" spans="8:8" ht="15.75" hidden="1">
      <c r="F379" s="183"/>
      <c r="H379" s="185"/>
      <c r="I379" s="183"/>
      <c r="J379" s="183"/>
      <c r="K379" s="183"/>
      <c r="L379" s="183"/>
      <c r="N379" s="183"/>
      <c r="O379" s="183"/>
      <c r="P379" s="183"/>
      <c r="Q379" s="183"/>
      <c r="R379" s="183"/>
      <c r="S379" s="183"/>
      <c r="T379" s="183"/>
      <c r="U379" s="183"/>
      <c r="V379" s="183"/>
      <c r="W379" s="183"/>
      <c r="X379" s="183"/>
      <c r="Y379" s="183"/>
      <c r="Z379" s="183"/>
      <c r="AA379" s="183"/>
      <c r="AB379" s="183"/>
    </row>
    <row r="380" spans="8:8" ht="15.75" hidden="1">
      <c r="F380" s="183"/>
      <c r="H380" s="185"/>
      <c r="I380" s="183"/>
      <c r="J380" s="183"/>
      <c r="K380" s="183"/>
      <c r="L380" s="183"/>
      <c r="N380" s="183"/>
      <c r="O380" s="183"/>
      <c r="P380" s="183"/>
      <c r="Q380" s="183"/>
      <c r="R380" s="183"/>
      <c r="S380" s="183"/>
      <c r="T380" s="183"/>
      <c r="U380" s="183"/>
      <c r="V380" s="183"/>
      <c r="W380" s="183"/>
      <c r="X380" s="183"/>
      <c r="Y380" s="183"/>
      <c r="Z380" s="183"/>
      <c r="AA380" s="183"/>
      <c r="AB380" s="183"/>
    </row>
    <row r="381" spans="8:8" ht="15.75" hidden="1">
      <c r="F381" s="183"/>
      <c r="H381" s="185"/>
      <c r="I381" s="183"/>
      <c r="J381" s="183"/>
      <c r="K381" s="183"/>
      <c r="L381" s="183"/>
      <c r="N381" s="183"/>
      <c r="O381" s="183"/>
      <c r="P381" s="183"/>
      <c r="Q381" s="183"/>
      <c r="R381" s="183"/>
      <c r="S381" s="183"/>
      <c r="T381" s="183"/>
      <c r="U381" s="183"/>
      <c r="V381" s="183"/>
      <c r="W381" s="183"/>
      <c r="X381" s="183"/>
      <c r="Y381" s="183"/>
      <c r="Z381" s="183"/>
      <c r="AA381" s="183"/>
      <c r="AB381" s="183"/>
    </row>
    <row r="382" spans="8:8" ht="15.75" hidden="1">
      <c r="F382" s="183"/>
      <c r="H382" s="185"/>
      <c r="I382" s="183"/>
      <c r="J382" s="183"/>
      <c r="K382" s="183"/>
      <c r="L382" s="183"/>
      <c r="N382" s="183"/>
      <c r="O382" s="183"/>
      <c r="P382" s="183"/>
      <c r="Q382" s="183"/>
      <c r="R382" s="183"/>
      <c r="S382" s="183"/>
      <c r="T382" s="183"/>
      <c r="U382" s="183"/>
      <c r="V382" s="183"/>
      <c r="W382" s="183"/>
      <c r="X382" s="183"/>
      <c r="Y382" s="183"/>
      <c r="Z382" s="183"/>
      <c r="AA382" s="183"/>
      <c r="AB382" s="183"/>
    </row>
    <row r="383" spans="8:8" ht="15.75" hidden="1">
      <c r="F383" s="183"/>
      <c r="H383" s="185"/>
      <c r="I383" s="183"/>
      <c r="J383" s="183"/>
      <c r="K383" s="183"/>
      <c r="L383" s="183"/>
      <c r="N383" s="183"/>
      <c r="O383" s="183"/>
      <c r="P383" s="183"/>
      <c r="Q383" s="183"/>
      <c r="R383" s="183"/>
      <c r="S383" s="183"/>
      <c r="T383" s="183"/>
      <c r="U383" s="183"/>
      <c r="V383" s="183"/>
      <c r="W383" s="183"/>
      <c r="X383" s="183"/>
      <c r="Y383" s="183"/>
      <c r="Z383" s="183"/>
      <c r="AA383" s="183"/>
      <c r="AB383" s="183"/>
    </row>
    <row r="384" spans="8:8" ht="15.75" hidden="1">
      <c r="F384" s="183"/>
      <c r="H384" s="185"/>
      <c r="I384" s="183"/>
      <c r="J384" s="183"/>
      <c r="K384" s="183"/>
      <c r="L384" s="183"/>
      <c r="N384" s="183"/>
      <c r="O384" s="183"/>
      <c r="P384" s="183"/>
      <c r="Q384" s="183"/>
      <c r="R384" s="183"/>
      <c r="S384" s="183"/>
      <c r="T384" s="183"/>
      <c r="U384" s="183"/>
      <c r="V384" s="183"/>
      <c r="W384" s="183"/>
      <c r="X384" s="183"/>
      <c r="Y384" s="183"/>
      <c r="Z384" s="183"/>
      <c r="AA384" s="183"/>
      <c r="AB384" s="183"/>
    </row>
    <row r="385" spans="8:8" ht="15.75" hidden="1">
      <c r="F385" s="183"/>
      <c r="H385" s="185"/>
      <c r="I385" s="183"/>
      <c r="J385" s="183"/>
      <c r="K385" s="183"/>
      <c r="L385" s="183"/>
      <c r="N385" s="183"/>
      <c r="O385" s="183"/>
      <c r="P385" s="183"/>
      <c r="Q385" s="183"/>
      <c r="R385" s="183"/>
      <c r="S385" s="183"/>
      <c r="T385" s="183"/>
      <c r="U385" s="183"/>
      <c r="V385" s="183"/>
      <c r="W385" s="183"/>
      <c r="X385" s="183"/>
      <c r="Y385" s="183"/>
      <c r="Z385" s="183"/>
      <c r="AA385" s="183"/>
      <c r="AB385" s="183"/>
    </row>
    <row r="386" spans="8:8" ht="15.75" hidden="1">
      <c r="F386" s="183"/>
      <c r="H386" s="185"/>
      <c r="I386" s="183"/>
      <c r="J386" s="183"/>
      <c r="K386" s="183"/>
      <c r="L386" s="183"/>
      <c r="N386" s="183"/>
      <c r="O386" s="183"/>
      <c r="P386" s="183"/>
      <c r="Q386" s="183"/>
      <c r="R386" s="183"/>
      <c r="S386" s="183"/>
      <c r="T386" s="183"/>
      <c r="U386" s="183"/>
      <c r="V386" s="183"/>
      <c r="W386" s="183"/>
      <c r="X386" s="183"/>
      <c r="Y386" s="183"/>
      <c r="Z386" s="183"/>
      <c r="AA386" s="183"/>
      <c r="AB386" s="183"/>
    </row>
    <row r="387" spans="8:8" ht="15.75" hidden="1">
      <c r="F387" s="183"/>
      <c r="H387" s="185"/>
      <c r="I387" s="183"/>
      <c r="J387" s="183"/>
      <c r="K387" s="183"/>
      <c r="L387" s="183"/>
      <c r="N387" s="183"/>
      <c r="O387" s="183"/>
      <c r="P387" s="183"/>
      <c r="Q387" s="183"/>
      <c r="R387" s="183"/>
      <c r="S387" s="183"/>
      <c r="T387" s="183"/>
      <c r="U387" s="183"/>
      <c r="V387" s="183"/>
      <c r="W387" s="183"/>
      <c r="X387" s="183"/>
      <c r="Y387" s="183"/>
      <c r="Z387" s="183"/>
      <c r="AA387" s="183"/>
      <c r="AB387" s="183"/>
    </row>
    <row r="388" spans="8:8" ht="15.75" hidden="1">
      <c r="F388" s="183"/>
      <c r="H388" s="185"/>
      <c r="I388" s="183"/>
      <c r="J388" s="183"/>
      <c r="K388" s="183"/>
      <c r="L388" s="183"/>
      <c r="N388" s="183"/>
      <c r="O388" s="183"/>
      <c r="P388" s="183"/>
      <c r="Q388" s="183"/>
      <c r="R388" s="183"/>
      <c r="S388" s="183"/>
      <c r="T388" s="183"/>
      <c r="U388" s="183"/>
      <c r="V388" s="183"/>
      <c r="W388" s="183"/>
      <c r="X388" s="183"/>
      <c r="Y388" s="183"/>
      <c r="Z388" s="183"/>
      <c r="AA388" s="183"/>
      <c r="AB388" s="183"/>
    </row>
    <row r="389" spans="8:8" ht="15.75" hidden="1">
      <c r="F389" s="183"/>
      <c r="H389" s="185"/>
      <c r="I389" s="183"/>
      <c r="J389" s="183"/>
      <c r="K389" s="183"/>
      <c r="L389" s="183"/>
      <c r="N389" s="183"/>
      <c r="O389" s="183"/>
      <c r="P389" s="183"/>
      <c r="Q389" s="183"/>
      <c r="R389" s="183"/>
      <c r="S389" s="183"/>
      <c r="T389" s="183"/>
      <c r="U389" s="183"/>
      <c r="V389" s="183"/>
      <c r="W389" s="183"/>
      <c r="X389" s="183"/>
      <c r="Y389" s="183"/>
      <c r="Z389" s="183"/>
      <c r="AA389" s="183"/>
      <c r="AB389" s="183"/>
    </row>
    <row r="390" spans="8:8" ht="15.75" hidden="1">
      <c r="F390" s="183"/>
      <c r="H390" s="185"/>
      <c r="I390" s="183"/>
      <c r="J390" s="183"/>
      <c r="K390" s="183"/>
      <c r="L390" s="183"/>
      <c r="N390" s="183"/>
      <c r="O390" s="183"/>
      <c r="P390" s="183"/>
      <c r="Q390" s="183"/>
      <c r="R390" s="183"/>
      <c r="S390" s="183"/>
      <c r="T390" s="183"/>
      <c r="U390" s="183"/>
      <c r="V390" s="183"/>
      <c r="W390" s="183"/>
      <c r="X390" s="183"/>
      <c r="Y390" s="183"/>
      <c r="Z390" s="183"/>
      <c r="AA390" s="183"/>
      <c r="AB390" s="183"/>
    </row>
    <row r="391" spans="8:8" ht="15.75" hidden="1">
      <c r="F391" s="183"/>
      <c r="H391" s="185"/>
      <c r="I391" s="183"/>
      <c r="J391" s="183"/>
      <c r="K391" s="183"/>
      <c r="L391" s="183"/>
      <c r="N391" s="183"/>
      <c r="O391" s="183"/>
      <c r="P391" s="183"/>
      <c r="Q391" s="183"/>
      <c r="R391" s="183"/>
      <c r="S391" s="183"/>
      <c r="T391" s="183"/>
      <c r="U391" s="183"/>
      <c r="V391" s="183"/>
      <c r="W391" s="183"/>
      <c r="X391" s="183"/>
      <c r="Y391" s="183"/>
      <c r="Z391" s="183"/>
      <c r="AA391" s="183"/>
      <c r="AB391" s="183"/>
    </row>
    <row r="392" spans="8:8" ht="15.75" hidden="1">
      <c r="F392" s="183"/>
      <c r="H392" s="185"/>
      <c r="I392" s="183"/>
      <c r="J392" s="183"/>
      <c r="K392" s="183"/>
      <c r="L392" s="183"/>
      <c r="N392" s="183"/>
      <c r="O392" s="183"/>
      <c r="P392" s="183"/>
      <c r="Q392" s="183"/>
      <c r="R392" s="183"/>
      <c r="S392" s="183"/>
      <c r="T392" s="183"/>
      <c r="U392" s="183"/>
      <c r="V392" s="183"/>
      <c r="W392" s="183"/>
      <c r="X392" s="183"/>
      <c r="Y392" s="183"/>
      <c r="Z392" s="183"/>
      <c r="AA392" s="183"/>
      <c r="AB392" s="183"/>
    </row>
    <row r="393" spans="8:8" ht="15.75" hidden="1">
      <c r="F393" s="183"/>
      <c r="H393" s="185"/>
      <c r="I393" s="183"/>
      <c r="J393" s="183"/>
      <c r="K393" s="183"/>
      <c r="L393" s="183"/>
      <c r="N393" s="183"/>
      <c r="O393" s="183"/>
      <c r="P393" s="183"/>
      <c r="Q393" s="183"/>
      <c r="R393" s="183"/>
      <c r="S393" s="183"/>
      <c r="T393" s="183"/>
      <c r="U393" s="183"/>
      <c r="V393" s="183"/>
      <c r="W393" s="183"/>
      <c r="X393" s="183"/>
      <c r="Y393" s="183"/>
      <c r="Z393" s="183"/>
      <c r="AA393" s="183"/>
      <c r="AB393" s="183"/>
    </row>
    <row r="394" spans="8:8" ht="15.75" hidden="1">
      <c r="F394" s="183"/>
      <c r="H394" s="185"/>
      <c r="I394" s="183"/>
      <c r="J394" s="183"/>
      <c r="K394" s="183"/>
      <c r="L394" s="183"/>
      <c r="N394" s="183"/>
      <c r="O394" s="183"/>
      <c r="P394" s="183"/>
      <c r="Q394" s="183"/>
      <c r="R394" s="183"/>
      <c r="S394" s="183"/>
      <c r="T394" s="183"/>
      <c r="U394" s="183"/>
      <c r="V394" s="183"/>
      <c r="W394" s="183"/>
      <c r="X394" s="183"/>
      <c r="Y394" s="183"/>
      <c r="Z394" s="183"/>
      <c r="AA394" s="183"/>
      <c r="AB394" s="183"/>
    </row>
    <row r="395" spans="8:8" ht="15.75" hidden="1">
      <c r="F395" s="183"/>
      <c r="H395" s="185"/>
      <c r="I395" s="183"/>
      <c r="J395" s="183"/>
      <c r="K395" s="183"/>
      <c r="L395" s="183"/>
      <c r="N395" s="183"/>
      <c r="O395" s="183"/>
      <c r="P395" s="183"/>
      <c r="Q395" s="183"/>
      <c r="R395" s="183"/>
      <c r="S395" s="183"/>
      <c r="T395" s="183"/>
      <c r="U395" s="183"/>
      <c r="V395" s="183"/>
      <c r="W395" s="183"/>
      <c r="X395" s="183"/>
      <c r="Y395" s="183"/>
      <c r="Z395" s="183"/>
      <c r="AA395" s="183"/>
      <c r="AB395" s="183"/>
    </row>
    <row r="396" spans="8:8" ht="15.75" hidden="1">
      <c r="F396" s="183"/>
      <c r="H396" s="185"/>
      <c r="I396" s="183"/>
      <c r="J396" s="183"/>
      <c r="K396" s="183"/>
      <c r="L396" s="183"/>
      <c r="N396" s="183"/>
      <c r="O396" s="183"/>
      <c r="P396" s="183"/>
      <c r="Q396" s="183"/>
      <c r="R396" s="183"/>
      <c r="S396" s="183"/>
      <c r="T396" s="183"/>
      <c r="U396" s="183"/>
      <c r="V396" s="183"/>
      <c r="W396" s="183"/>
      <c r="X396" s="183"/>
      <c r="Y396" s="183"/>
      <c r="Z396" s="183"/>
      <c r="AA396" s="183"/>
      <c r="AB396" s="183"/>
    </row>
    <row r="397" spans="8:8" ht="15.75" hidden="1">
      <c r="F397" s="183"/>
      <c r="H397" s="185"/>
      <c r="I397" s="183"/>
      <c r="J397" s="183"/>
      <c r="K397" s="183"/>
      <c r="L397" s="183"/>
      <c r="N397" s="183"/>
      <c r="O397" s="183"/>
      <c r="P397" s="183"/>
      <c r="Q397" s="183"/>
      <c r="R397" s="183"/>
      <c r="S397" s="183"/>
      <c r="T397" s="183"/>
      <c r="U397" s="183"/>
      <c r="V397" s="183"/>
      <c r="W397" s="183"/>
      <c r="X397" s="183"/>
      <c r="Y397" s="183"/>
      <c r="Z397" s="183"/>
      <c r="AA397" s="183"/>
      <c r="AB397" s="183"/>
    </row>
    <row r="398" spans="8:8" ht="15.75" hidden="1">
      <c r="F398" s="183"/>
      <c r="H398" s="185"/>
      <c r="I398" s="183"/>
      <c r="J398" s="183"/>
      <c r="K398" s="183"/>
      <c r="L398" s="183"/>
      <c r="N398" s="183"/>
      <c r="O398" s="183"/>
      <c r="P398" s="183"/>
      <c r="Q398" s="183"/>
      <c r="R398" s="183"/>
      <c r="S398" s="183"/>
      <c r="T398" s="183"/>
      <c r="U398" s="183"/>
      <c r="V398" s="183"/>
      <c r="W398" s="183"/>
      <c r="X398" s="183"/>
      <c r="Y398" s="183"/>
      <c r="Z398" s="183"/>
      <c r="AA398" s="183"/>
      <c r="AB398" s="183"/>
    </row>
    <row r="399" spans="8:8" ht="15.75" hidden="1">
      <c r="F399" s="183"/>
      <c r="H399" s="185"/>
      <c r="I399" s="183"/>
      <c r="J399" s="183"/>
      <c r="K399" s="183"/>
      <c r="L399" s="183"/>
      <c r="N399" s="183"/>
      <c r="O399" s="183"/>
      <c r="P399" s="183"/>
      <c r="Q399" s="183"/>
      <c r="R399" s="183"/>
      <c r="S399" s="183"/>
      <c r="T399" s="183"/>
      <c r="U399" s="183"/>
      <c r="V399" s="183"/>
      <c r="W399" s="183"/>
      <c r="X399" s="183"/>
      <c r="Y399" s="183"/>
      <c r="Z399" s="183"/>
      <c r="AA399" s="183"/>
      <c r="AB399" s="183"/>
    </row>
    <row r="400" spans="8:8" ht="15.75" hidden="1">
      <c r="F400" s="183"/>
      <c r="H400" s="185"/>
      <c r="I400" s="183"/>
      <c r="J400" s="183"/>
      <c r="K400" s="183"/>
      <c r="L400" s="183"/>
      <c r="N400" s="183"/>
      <c r="O400" s="183"/>
      <c r="P400" s="183"/>
      <c r="Q400" s="183"/>
      <c r="R400" s="183"/>
      <c r="S400" s="183"/>
      <c r="T400" s="183"/>
      <c r="U400" s="183"/>
      <c r="V400" s="183"/>
      <c r="W400" s="183"/>
      <c r="X400" s="183"/>
      <c r="Y400" s="183"/>
      <c r="Z400" s="183"/>
      <c r="AA400" s="183"/>
      <c r="AB400" s="183"/>
    </row>
    <row r="401" spans="8:8" ht="15.75" hidden="1">
      <c r="F401" s="183"/>
      <c r="H401" s="185"/>
      <c r="I401" s="183"/>
      <c r="J401" s="183"/>
      <c r="K401" s="183"/>
      <c r="L401" s="183"/>
      <c r="N401" s="183"/>
      <c r="O401" s="183"/>
      <c r="P401" s="183"/>
      <c r="Q401" s="183"/>
      <c r="R401" s="183"/>
      <c r="S401" s="183"/>
      <c r="T401" s="183"/>
      <c r="U401" s="183"/>
      <c r="V401" s="183"/>
      <c r="W401" s="183"/>
      <c r="X401" s="183"/>
      <c r="Y401" s="183"/>
      <c r="Z401" s="183"/>
      <c r="AA401" s="183"/>
      <c r="AB401" s="183"/>
    </row>
    <row r="402" spans="8:8" ht="15.75" hidden="1">
      <c r="F402" s="183"/>
      <c r="H402" s="185"/>
      <c r="I402" s="183"/>
      <c r="J402" s="183"/>
      <c r="K402" s="183"/>
      <c r="L402" s="183"/>
      <c r="N402" s="183"/>
      <c r="O402" s="183"/>
      <c r="P402" s="183"/>
      <c r="Q402" s="183"/>
      <c r="R402" s="183"/>
      <c r="S402" s="183"/>
      <c r="T402" s="183"/>
      <c r="U402" s="183"/>
      <c r="V402" s="183"/>
      <c r="W402" s="183"/>
      <c r="X402" s="183"/>
      <c r="Y402" s="183"/>
      <c r="Z402" s="183"/>
      <c r="AA402" s="183"/>
      <c r="AB402" s="183"/>
    </row>
    <row r="403" spans="8:8" ht="15.75" hidden="1">
      <c r="F403" s="183"/>
      <c r="H403" s="185"/>
      <c r="I403" s="183"/>
      <c r="J403" s="183"/>
      <c r="K403" s="183"/>
      <c r="L403" s="183"/>
      <c r="N403" s="183"/>
      <c r="O403" s="183"/>
      <c r="P403" s="183"/>
      <c r="Q403" s="183"/>
      <c r="R403" s="183"/>
      <c r="S403" s="183"/>
      <c r="T403" s="183"/>
      <c r="U403" s="183"/>
      <c r="V403" s="183"/>
      <c r="W403" s="183"/>
      <c r="X403" s="183"/>
      <c r="Y403" s="183"/>
      <c r="Z403" s="183"/>
      <c r="AA403" s="183"/>
      <c r="AB403" s="183"/>
    </row>
    <row r="404" spans="8:8" ht="15.75" hidden="1">
      <c r="F404" s="183"/>
      <c r="H404" s="185"/>
      <c r="I404" s="183"/>
      <c r="J404" s="183"/>
      <c r="K404" s="183"/>
      <c r="L404" s="183"/>
      <c r="N404" s="183"/>
      <c r="O404" s="183"/>
      <c r="P404" s="183"/>
      <c r="Q404" s="183"/>
      <c r="R404" s="183"/>
      <c r="S404" s="183"/>
      <c r="T404" s="183"/>
      <c r="U404" s="183"/>
      <c r="V404" s="183"/>
      <c r="W404" s="183"/>
      <c r="X404" s="183"/>
      <c r="Y404" s="183"/>
      <c r="Z404" s="183"/>
      <c r="AA404" s="183"/>
      <c r="AB404" s="183"/>
    </row>
    <row r="405" spans="8:8" ht="15.75" hidden="1">
      <c r="F405" s="183"/>
      <c r="H405" s="185"/>
      <c r="I405" s="183"/>
      <c r="J405" s="183"/>
      <c r="K405" s="183"/>
      <c r="L405" s="183"/>
      <c r="N405" s="183"/>
      <c r="O405" s="183"/>
      <c r="P405" s="183"/>
      <c r="Q405" s="183"/>
      <c r="R405" s="183"/>
      <c r="S405" s="183"/>
      <c r="T405" s="183"/>
      <c r="U405" s="183"/>
      <c r="V405" s="183"/>
      <c r="W405" s="183"/>
      <c r="X405" s="183"/>
      <c r="Y405" s="183"/>
      <c r="Z405" s="183"/>
      <c r="AA405" s="183"/>
      <c r="AB405" s="183"/>
    </row>
    <row r="406" spans="8:8" ht="15.75" hidden="1">
      <c r="F406" s="183"/>
      <c r="H406" s="185"/>
      <c r="I406" s="183"/>
      <c r="J406" s="183"/>
      <c r="K406" s="183"/>
      <c r="L406" s="183"/>
      <c r="N406" s="183"/>
      <c r="O406" s="183"/>
      <c r="P406" s="183"/>
      <c r="Q406" s="183"/>
      <c r="R406" s="183"/>
      <c r="S406" s="183"/>
      <c r="T406" s="183"/>
      <c r="U406" s="183"/>
      <c r="V406" s="183"/>
      <c r="W406" s="183"/>
      <c r="X406" s="183"/>
      <c r="Y406" s="183"/>
      <c r="Z406" s="183"/>
      <c r="AA406" s="183"/>
      <c r="AB406" s="183"/>
    </row>
    <row r="407" spans="8:8" ht="15.75" hidden="1">
      <c r="F407" s="183"/>
      <c r="H407" s="185"/>
      <c r="I407" s="183"/>
      <c r="J407" s="183"/>
      <c r="K407" s="183"/>
      <c r="L407" s="183"/>
      <c r="N407" s="183"/>
      <c r="O407" s="183"/>
      <c r="P407" s="183"/>
      <c r="Q407" s="183"/>
      <c r="R407" s="183"/>
      <c r="S407" s="183"/>
      <c r="T407" s="183"/>
      <c r="U407" s="183"/>
      <c r="V407" s="183"/>
      <c r="W407" s="183"/>
      <c r="X407" s="183"/>
      <c r="Y407" s="183"/>
      <c r="Z407" s="183"/>
      <c r="AA407" s="183"/>
      <c r="AB407" s="183"/>
    </row>
    <row r="408" spans="8:8" ht="15.75" hidden="1">
      <c r="F408" s="183"/>
      <c r="H408" s="185"/>
      <c r="I408" s="183"/>
      <c r="J408" s="183"/>
      <c r="K408" s="183"/>
      <c r="L408" s="183"/>
      <c r="N408" s="183"/>
      <c r="O408" s="183"/>
      <c r="P408" s="183"/>
      <c r="Q408" s="183"/>
      <c r="R408" s="183"/>
      <c r="S408" s="183"/>
      <c r="T408" s="183"/>
      <c r="U408" s="183"/>
      <c r="V408" s="183"/>
      <c r="W408" s="183"/>
      <c r="X408" s="183"/>
      <c r="Y408" s="183"/>
      <c r="Z408" s="183"/>
      <c r="AA408" s="183"/>
      <c r="AB408" s="183"/>
    </row>
    <row r="409" spans="8:8" ht="15.75" hidden="1">
      <c r="F409" s="183"/>
      <c r="H409" s="185"/>
      <c r="I409" s="183"/>
      <c r="J409" s="183"/>
      <c r="K409" s="183"/>
      <c r="L409" s="183"/>
      <c r="N409" s="183"/>
      <c r="O409" s="183"/>
      <c r="P409" s="183"/>
      <c r="Q409" s="183"/>
      <c r="R409" s="183"/>
      <c r="S409" s="183"/>
      <c r="T409" s="183"/>
      <c r="U409" s="183"/>
      <c r="V409" s="183"/>
      <c r="W409" s="183"/>
      <c r="X409" s="183"/>
      <c r="Y409" s="183"/>
      <c r="Z409" s="183"/>
      <c r="AA409" s="183"/>
      <c r="AB409" s="183"/>
    </row>
    <row r="410" spans="8:8" ht="15.75" hidden="1">
      <c r="F410" s="183"/>
      <c r="H410" s="185"/>
      <c r="I410" s="183"/>
      <c r="J410" s="183"/>
      <c r="K410" s="183"/>
      <c r="L410" s="183"/>
      <c r="N410" s="183"/>
      <c r="O410" s="183"/>
      <c r="P410" s="183"/>
      <c r="Q410" s="183"/>
      <c r="R410" s="183"/>
      <c r="S410" s="183"/>
      <c r="T410" s="183"/>
      <c r="U410" s="183"/>
      <c r="V410" s="183"/>
      <c r="W410" s="183"/>
      <c r="X410" s="183"/>
      <c r="Y410" s="183"/>
      <c r="Z410" s="183"/>
      <c r="AA410" s="183"/>
      <c r="AB410" s="183"/>
    </row>
    <row r="411" spans="8:8" ht="15.75" hidden="1">
      <c r="F411" s="183"/>
      <c r="H411" s="185"/>
      <c r="I411" s="183"/>
      <c r="J411" s="183"/>
      <c r="K411" s="183"/>
      <c r="L411" s="183"/>
      <c r="N411" s="183"/>
      <c r="O411" s="183"/>
      <c r="P411" s="183"/>
      <c r="Q411" s="183"/>
      <c r="R411" s="183"/>
      <c r="S411" s="183"/>
      <c r="T411" s="183"/>
      <c r="U411" s="183"/>
      <c r="V411" s="183"/>
      <c r="W411" s="183"/>
      <c r="X411" s="183"/>
      <c r="Y411" s="183"/>
      <c r="Z411" s="183"/>
      <c r="AA411" s="183"/>
      <c r="AB411" s="183"/>
    </row>
    <row r="412" spans="8:8" ht="15.75" hidden="1">
      <c r="F412" s="183"/>
      <c r="H412" s="185"/>
      <c r="I412" s="183"/>
      <c r="J412" s="183"/>
      <c r="K412" s="183"/>
      <c r="L412" s="183"/>
      <c r="N412" s="183"/>
      <c r="O412" s="183"/>
      <c r="P412" s="183"/>
      <c r="Q412" s="183"/>
      <c r="R412" s="183"/>
      <c r="S412" s="183"/>
      <c r="T412" s="183"/>
      <c r="U412" s="183"/>
      <c r="V412" s="183"/>
      <c r="W412" s="183"/>
      <c r="X412" s="183"/>
      <c r="Y412" s="183"/>
      <c r="Z412" s="183"/>
      <c r="AA412" s="183"/>
      <c r="AB412" s="183"/>
    </row>
    <row r="413" spans="8:8" ht="15.75" hidden="1">
      <c r="F413" s="183"/>
      <c r="H413" s="185"/>
      <c r="I413" s="183"/>
      <c r="J413" s="183"/>
      <c r="K413" s="183"/>
      <c r="L413" s="183"/>
      <c r="N413" s="183"/>
      <c r="O413" s="183"/>
      <c r="P413" s="183"/>
      <c r="Q413" s="183"/>
      <c r="R413" s="183"/>
      <c r="S413" s="183"/>
      <c r="T413" s="183"/>
      <c r="U413" s="183"/>
      <c r="V413" s="183"/>
      <c r="W413" s="183"/>
      <c r="X413" s="183"/>
      <c r="Y413" s="183"/>
      <c r="Z413" s="183"/>
      <c r="AA413" s="183"/>
      <c r="AB413" s="183"/>
    </row>
    <row r="414" spans="8:8" ht="15.75" hidden="1">
      <c r="F414" s="183"/>
      <c r="H414" s="185"/>
      <c r="I414" s="183"/>
      <c r="J414" s="183"/>
      <c r="K414" s="183"/>
      <c r="L414" s="183"/>
      <c r="N414" s="183"/>
      <c r="O414" s="183"/>
      <c r="P414" s="183"/>
      <c r="Q414" s="183"/>
      <c r="R414" s="183"/>
      <c r="S414" s="183"/>
      <c r="T414" s="183"/>
      <c r="U414" s="183"/>
      <c r="V414" s="183"/>
      <c r="W414" s="183"/>
      <c r="X414" s="183"/>
      <c r="Y414" s="183"/>
      <c r="Z414" s="183"/>
      <c r="AA414" s="183"/>
      <c r="AB414" s="183"/>
    </row>
    <row r="415" spans="8:8" ht="15.75" hidden="1">
      <c r="F415" s="183"/>
      <c r="H415" s="185"/>
      <c r="I415" s="183"/>
      <c r="J415" s="183"/>
      <c r="K415" s="183"/>
      <c r="L415" s="183"/>
      <c r="N415" s="183"/>
      <c r="O415" s="183"/>
      <c r="P415" s="183"/>
      <c r="Q415" s="183"/>
      <c r="R415" s="183"/>
      <c r="S415" s="183"/>
      <c r="T415" s="183"/>
      <c r="U415" s="183"/>
      <c r="V415" s="183"/>
      <c r="W415" s="183"/>
      <c r="X415" s="183"/>
      <c r="Y415" s="183"/>
      <c r="Z415" s="183"/>
      <c r="AA415" s="183"/>
      <c r="AB415" s="183"/>
    </row>
    <row r="416" spans="8:8" ht="15.75" hidden="1">
      <c r="F416" s="183"/>
      <c r="H416" s="185"/>
      <c r="I416" s="183"/>
      <c r="J416" s="183"/>
      <c r="K416" s="183"/>
      <c r="L416" s="183"/>
      <c r="N416" s="183"/>
      <c r="O416" s="183"/>
      <c r="P416" s="183"/>
      <c r="Q416" s="183"/>
      <c r="R416" s="183"/>
      <c r="S416" s="183"/>
      <c r="T416" s="183"/>
      <c r="U416" s="183"/>
      <c r="V416" s="183"/>
      <c r="W416" s="183"/>
      <c r="X416" s="183"/>
      <c r="Y416" s="183"/>
      <c r="Z416" s="183"/>
      <c r="AA416" s="183"/>
      <c r="AB416" s="183"/>
    </row>
    <row r="417" spans="8:8" ht="15.75" hidden="1">
      <c r="F417" s="183"/>
      <c r="H417" s="185"/>
      <c r="I417" s="183"/>
      <c r="J417" s="183"/>
      <c r="K417" s="183"/>
      <c r="L417" s="183"/>
      <c r="N417" s="183"/>
      <c r="O417" s="183"/>
      <c r="P417" s="183"/>
      <c r="Q417" s="183"/>
      <c r="R417" s="183"/>
      <c r="S417" s="183"/>
      <c r="T417" s="183"/>
      <c r="U417" s="183"/>
      <c r="V417" s="183"/>
      <c r="W417" s="183"/>
      <c r="X417" s="183"/>
      <c r="Y417" s="183"/>
      <c r="Z417" s="183"/>
      <c r="AA417" s="183"/>
      <c r="AB417" s="183"/>
    </row>
    <row r="418" spans="8:8" ht="15.75" hidden="1">
      <c r="F418" s="183"/>
      <c r="H418" s="185"/>
      <c r="I418" s="183"/>
      <c r="J418" s="183"/>
      <c r="K418" s="183"/>
      <c r="L418" s="183"/>
      <c r="N418" s="183"/>
      <c r="O418" s="183"/>
      <c r="P418" s="183"/>
      <c r="Q418" s="183"/>
      <c r="R418" s="183"/>
      <c r="S418" s="183"/>
      <c r="T418" s="183"/>
      <c r="U418" s="183"/>
      <c r="V418" s="183"/>
      <c r="W418" s="183"/>
      <c r="X418" s="183"/>
      <c r="Y418" s="183"/>
      <c r="Z418" s="183"/>
      <c r="AA418" s="183"/>
      <c r="AB418" s="183"/>
    </row>
    <row r="419" spans="8:8" ht="15.75" hidden="1">
      <c r="F419" s="183"/>
      <c r="H419" s="185"/>
      <c r="I419" s="183"/>
      <c r="J419" s="183"/>
      <c r="K419" s="183"/>
      <c r="L419" s="183"/>
      <c r="N419" s="183"/>
      <c r="O419" s="183"/>
      <c r="P419" s="183"/>
      <c r="Q419" s="183"/>
      <c r="R419" s="183"/>
      <c r="S419" s="183"/>
      <c r="T419" s="183"/>
      <c r="U419" s="183"/>
      <c r="V419" s="183"/>
      <c r="W419" s="183"/>
      <c r="X419" s="183"/>
      <c r="Y419" s="183"/>
      <c r="Z419" s="183"/>
      <c r="AA419" s="183"/>
      <c r="AB419" s="183"/>
    </row>
    <row r="420" spans="8:8" ht="15.75" hidden="1">
      <c r="F420" s="183"/>
      <c r="H420" s="185"/>
      <c r="I420" s="183"/>
      <c r="J420" s="183"/>
      <c r="K420" s="183"/>
      <c r="L420" s="183"/>
      <c r="N420" s="183"/>
      <c r="O420" s="183"/>
      <c r="P420" s="183"/>
      <c r="Q420" s="183"/>
      <c r="R420" s="183"/>
      <c r="S420" s="183"/>
      <c r="T420" s="183"/>
      <c r="U420" s="183"/>
      <c r="V420" s="183"/>
      <c r="W420" s="183"/>
      <c r="X420" s="183"/>
      <c r="Y420" s="183"/>
      <c r="Z420" s="183"/>
      <c r="AA420" s="183"/>
      <c r="AB420" s="183"/>
    </row>
    <row r="421" spans="8:8" ht="15.75" hidden="1">
      <c r="F421" s="183"/>
      <c r="H421" s="185"/>
      <c r="I421" s="183"/>
      <c r="J421" s="183"/>
      <c r="K421" s="183"/>
      <c r="L421" s="183"/>
      <c r="N421" s="183"/>
      <c r="O421" s="183"/>
      <c r="P421" s="183"/>
      <c r="Q421" s="183"/>
      <c r="R421" s="183"/>
      <c r="S421" s="183"/>
      <c r="T421" s="183"/>
      <c r="U421" s="183"/>
      <c r="V421" s="183"/>
      <c r="W421" s="183"/>
      <c r="X421" s="183"/>
      <c r="Y421" s="183"/>
      <c r="Z421" s="183"/>
      <c r="AA421" s="183"/>
      <c r="AB421" s="183"/>
    </row>
    <row r="422" spans="8:8" ht="15.75" hidden="1">
      <c r="F422" s="183"/>
      <c r="H422" s="185"/>
      <c r="I422" s="183"/>
      <c r="J422" s="183"/>
      <c r="K422" s="183"/>
      <c r="L422" s="183"/>
      <c r="N422" s="183"/>
      <c r="O422" s="183"/>
      <c r="P422" s="183"/>
      <c r="Q422" s="183"/>
      <c r="R422" s="183"/>
      <c r="S422" s="183"/>
      <c r="T422" s="183"/>
      <c r="U422" s="183"/>
      <c r="V422" s="183"/>
      <c r="W422" s="183"/>
      <c r="X422" s="183"/>
      <c r="Y422" s="183"/>
      <c r="Z422" s="183"/>
      <c r="AA422" s="183"/>
      <c r="AB422" s="183"/>
    </row>
    <row r="423" spans="8:8" ht="15.75" hidden="1">
      <c r="F423" s="183"/>
      <c r="H423" s="185"/>
      <c r="I423" s="183"/>
      <c r="J423" s="183"/>
      <c r="K423" s="183"/>
      <c r="L423" s="183"/>
      <c r="N423" s="183"/>
      <c r="O423" s="183"/>
      <c r="P423" s="183"/>
      <c r="Q423" s="183"/>
      <c r="R423" s="183"/>
      <c r="S423" s="183"/>
      <c r="T423" s="183"/>
      <c r="U423" s="183"/>
      <c r="V423" s="183"/>
      <c r="W423" s="183"/>
      <c r="X423" s="183"/>
      <c r="Y423" s="183"/>
      <c r="Z423" s="183"/>
      <c r="AA423" s="183"/>
      <c r="AB423" s="183"/>
    </row>
    <row r="424" spans="8:8" ht="15.75" hidden="1">
      <c r="F424" s="183"/>
      <c r="H424" s="185"/>
      <c r="I424" s="183"/>
      <c r="J424" s="183"/>
      <c r="K424" s="183"/>
      <c r="L424" s="183"/>
      <c r="N424" s="183"/>
      <c r="O424" s="183"/>
      <c r="P424" s="183"/>
      <c r="Q424" s="183"/>
      <c r="R424" s="183"/>
      <c r="S424" s="183"/>
      <c r="T424" s="183"/>
      <c r="U424" s="183"/>
      <c r="V424" s="183"/>
      <c r="W424" s="183"/>
      <c r="X424" s="183"/>
      <c r="Y424" s="183"/>
      <c r="Z424" s="183"/>
      <c r="AA424" s="183"/>
      <c r="AB424" s="183"/>
    </row>
    <row r="425" spans="8:8" ht="15.75" hidden="1">
      <c r="F425" s="183"/>
      <c r="H425" s="185"/>
      <c r="I425" s="183"/>
      <c r="J425" s="183"/>
      <c r="K425" s="183"/>
      <c r="L425" s="183"/>
      <c r="N425" s="183"/>
      <c r="O425" s="183"/>
      <c r="P425" s="183"/>
      <c r="Q425" s="183"/>
      <c r="R425" s="183"/>
      <c r="S425" s="183"/>
      <c r="T425" s="183"/>
      <c r="U425" s="183"/>
      <c r="V425" s="183"/>
      <c r="W425" s="183"/>
      <c r="X425" s="183"/>
      <c r="Y425" s="183"/>
      <c r="Z425" s="183"/>
      <c r="AA425" s="183"/>
      <c r="AB425" s="183"/>
    </row>
    <row r="426" spans="8:8" ht="15.75" hidden="1">
      <c r="F426" s="183"/>
      <c r="H426" s="185"/>
      <c r="I426" s="183"/>
      <c r="J426" s="183"/>
      <c r="K426" s="183"/>
      <c r="L426" s="183"/>
      <c r="N426" s="183"/>
      <c r="O426" s="183"/>
      <c r="P426" s="183"/>
      <c r="Q426" s="183"/>
      <c r="R426" s="183"/>
      <c r="S426" s="183"/>
      <c r="T426" s="183"/>
      <c r="U426" s="183"/>
      <c r="V426" s="183"/>
      <c r="W426" s="183"/>
      <c r="X426" s="183"/>
      <c r="Y426" s="183"/>
      <c r="Z426" s="183"/>
      <c r="AA426" s="183"/>
      <c r="AB426" s="183"/>
    </row>
    <row r="427" spans="8:8" ht="15.75" hidden="1">
      <c r="F427" s="183"/>
      <c r="H427" s="185"/>
      <c r="I427" s="183"/>
      <c r="J427" s="183"/>
      <c r="K427" s="183"/>
      <c r="L427" s="183"/>
      <c r="N427" s="183"/>
      <c r="O427" s="183"/>
      <c r="P427" s="183"/>
      <c r="Q427" s="183"/>
      <c r="R427" s="183"/>
      <c r="S427" s="183"/>
      <c r="T427" s="183"/>
      <c r="U427" s="183"/>
      <c r="V427" s="183"/>
      <c r="W427" s="183"/>
      <c r="X427" s="183"/>
      <c r="Y427" s="183"/>
      <c r="Z427" s="183"/>
      <c r="AA427" s="183"/>
      <c r="AB427" s="183"/>
    </row>
    <row r="428" spans="8:8" ht="15.75" hidden="1">
      <c r="F428" s="183"/>
      <c r="H428" s="185"/>
      <c r="I428" s="183"/>
      <c r="J428" s="183"/>
      <c r="K428" s="183"/>
      <c r="L428" s="183"/>
      <c r="N428" s="183"/>
      <c r="O428" s="183"/>
      <c r="P428" s="183"/>
      <c r="Q428" s="183"/>
      <c r="R428" s="183"/>
      <c r="S428" s="183"/>
      <c r="T428" s="183"/>
      <c r="U428" s="183"/>
      <c r="V428" s="183"/>
      <c r="W428" s="183"/>
      <c r="X428" s="183"/>
      <c r="Y428" s="183"/>
      <c r="Z428" s="183"/>
      <c r="AA428" s="183"/>
      <c r="AB428" s="183"/>
    </row>
    <row r="429" spans="8:8" ht="15.75" hidden="1">
      <c r="F429" s="183"/>
      <c r="H429" s="185"/>
      <c r="I429" s="183"/>
      <c r="J429" s="183"/>
      <c r="K429" s="183"/>
      <c r="L429" s="183"/>
      <c r="N429" s="183"/>
      <c r="O429" s="183"/>
      <c r="P429" s="183"/>
      <c r="Q429" s="183"/>
      <c r="R429" s="183"/>
      <c r="S429" s="183"/>
      <c r="T429" s="183"/>
      <c r="U429" s="183"/>
      <c r="V429" s="183"/>
      <c r="W429" s="183"/>
      <c r="X429" s="183"/>
      <c r="Y429" s="183"/>
      <c r="Z429" s="183"/>
      <c r="AA429" s="183"/>
      <c r="AB429" s="183"/>
    </row>
    <row r="430" spans="8:8" ht="15.75" hidden="1">
      <c r="F430" s="183"/>
      <c r="H430" s="185"/>
      <c r="I430" s="183"/>
      <c r="J430" s="183"/>
      <c r="K430" s="183"/>
      <c r="L430" s="183"/>
      <c r="N430" s="183"/>
      <c r="O430" s="183"/>
      <c r="P430" s="183"/>
      <c r="Q430" s="183"/>
      <c r="R430" s="183"/>
      <c r="S430" s="183"/>
      <c r="T430" s="183"/>
      <c r="U430" s="183"/>
      <c r="V430" s="183"/>
      <c r="W430" s="183"/>
      <c r="X430" s="183"/>
      <c r="Y430" s="183"/>
      <c r="Z430" s="183"/>
      <c r="AA430" s="183"/>
      <c r="AB430" s="183"/>
    </row>
    <row r="431" spans="8:8" ht="15.75" hidden="1">
      <c r="F431" s="183"/>
      <c r="H431" s="185"/>
      <c r="I431" s="183"/>
      <c r="J431" s="183"/>
      <c r="K431" s="183"/>
      <c r="L431" s="183"/>
      <c r="N431" s="183"/>
      <c r="O431" s="183"/>
      <c r="P431" s="183"/>
      <c r="Q431" s="183"/>
      <c r="R431" s="183"/>
      <c r="S431" s="183"/>
      <c r="T431" s="183"/>
      <c r="U431" s="183"/>
      <c r="V431" s="183"/>
      <c r="W431" s="183"/>
      <c r="X431" s="183"/>
      <c r="Y431" s="183"/>
      <c r="Z431" s="183"/>
      <c r="AA431" s="183"/>
      <c r="AB431" s="183"/>
    </row>
    <row r="432" spans="8:8" ht="15.75" hidden="1">
      <c r="F432" s="183"/>
      <c r="H432" s="185"/>
      <c r="I432" s="183"/>
      <c r="J432" s="183"/>
      <c r="K432" s="183"/>
      <c r="L432" s="183"/>
      <c r="N432" s="183"/>
      <c r="O432" s="183"/>
      <c r="P432" s="183"/>
      <c r="Q432" s="183"/>
      <c r="R432" s="183"/>
      <c r="S432" s="183"/>
      <c r="T432" s="183"/>
      <c r="U432" s="183"/>
      <c r="V432" s="183"/>
      <c r="W432" s="183"/>
      <c r="X432" s="183"/>
      <c r="Y432" s="183"/>
      <c r="Z432" s="183"/>
      <c r="AA432" s="183"/>
      <c r="AB432" s="183"/>
    </row>
    <row r="433" spans="8:8" ht="15.75" hidden="1">
      <c r="F433" s="183"/>
      <c r="H433" s="185"/>
      <c r="I433" s="183"/>
      <c r="J433" s="183"/>
      <c r="K433" s="183"/>
      <c r="L433" s="183"/>
      <c r="N433" s="183"/>
      <c r="O433" s="183"/>
      <c r="P433" s="183"/>
      <c r="Q433" s="183"/>
      <c r="R433" s="183"/>
      <c r="S433" s="183"/>
      <c r="T433" s="183"/>
      <c r="U433" s="183"/>
      <c r="V433" s="183"/>
      <c r="W433" s="183"/>
      <c r="X433" s="183"/>
      <c r="Y433" s="183"/>
      <c r="Z433" s="183"/>
      <c r="AA433" s="183"/>
      <c r="AB433" s="183"/>
    </row>
    <row r="434" spans="8:8" ht="15.75" hidden="1">
      <c r="F434" s="183"/>
      <c r="H434" s="185"/>
      <c r="I434" s="183"/>
      <c r="J434" s="183"/>
      <c r="K434" s="183"/>
      <c r="L434" s="183"/>
      <c r="N434" s="183"/>
      <c r="O434" s="183"/>
      <c r="P434" s="183"/>
      <c r="Q434" s="183"/>
      <c r="R434" s="183"/>
      <c r="S434" s="183"/>
      <c r="T434" s="183"/>
      <c r="U434" s="183"/>
      <c r="V434" s="183"/>
      <c r="W434" s="183"/>
      <c r="X434" s="183"/>
      <c r="Y434" s="183"/>
      <c r="Z434" s="183"/>
      <c r="AA434" s="183"/>
      <c r="AB434" s="183"/>
    </row>
    <row r="435" spans="8:8" ht="15.75" hidden="1">
      <c r="F435" s="183"/>
      <c r="H435" s="185"/>
      <c r="I435" s="183"/>
      <c r="J435" s="183"/>
      <c r="K435" s="183"/>
      <c r="L435" s="183"/>
      <c r="N435" s="183"/>
      <c r="O435" s="183"/>
      <c r="P435" s="183"/>
      <c r="Q435" s="183"/>
      <c r="R435" s="183"/>
      <c r="S435" s="183"/>
      <c r="T435" s="183"/>
      <c r="U435" s="183"/>
      <c r="V435" s="183"/>
      <c r="W435" s="183"/>
      <c r="X435" s="183"/>
      <c r="Y435" s="183"/>
      <c r="Z435" s="183"/>
      <c r="AA435" s="183"/>
      <c r="AB435" s="183"/>
    </row>
    <row r="436" spans="8:8" ht="15.75" hidden="1">
      <c r="F436" s="183"/>
      <c r="H436" s="185"/>
      <c r="I436" s="183"/>
      <c r="J436" s="183"/>
      <c r="K436" s="183"/>
      <c r="L436" s="183"/>
      <c r="N436" s="183"/>
      <c r="O436" s="183"/>
      <c r="P436" s="183"/>
      <c r="Q436" s="183"/>
      <c r="R436" s="183"/>
      <c r="S436" s="183"/>
      <c r="T436" s="183"/>
      <c r="U436" s="183"/>
      <c r="V436" s="183"/>
      <c r="W436" s="183"/>
      <c r="X436" s="183"/>
      <c r="Y436" s="183"/>
      <c r="Z436" s="183"/>
      <c r="AA436" s="183"/>
      <c r="AB436" s="183"/>
    </row>
    <row r="437" spans="8:8" ht="15.75" hidden="1">
      <c r="F437" s="183"/>
      <c r="H437" s="185"/>
      <c r="I437" s="183"/>
      <c r="J437" s="183"/>
      <c r="K437" s="183"/>
      <c r="L437" s="183"/>
      <c r="N437" s="183"/>
      <c r="O437" s="183"/>
      <c r="P437" s="183"/>
      <c r="Q437" s="183"/>
      <c r="R437" s="183"/>
      <c r="S437" s="183"/>
      <c r="T437" s="183"/>
      <c r="U437" s="183"/>
      <c r="V437" s="183"/>
      <c r="W437" s="183"/>
      <c r="X437" s="183"/>
      <c r="Y437" s="183"/>
      <c r="Z437" s="183"/>
      <c r="AA437" s="183"/>
      <c r="AB437" s="183"/>
    </row>
    <row r="438" spans="8:8" ht="15.75" hidden="1">
      <c r="F438" s="183"/>
      <c r="H438" s="185"/>
      <c r="I438" s="183"/>
      <c r="J438" s="183"/>
      <c r="K438" s="183"/>
      <c r="L438" s="183"/>
      <c r="N438" s="183"/>
      <c r="O438" s="183"/>
      <c r="P438" s="183"/>
      <c r="Q438" s="183"/>
      <c r="R438" s="183"/>
      <c r="S438" s="183"/>
      <c r="T438" s="183"/>
      <c r="U438" s="183"/>
      <c r="V438" s="183"/>
      <c r="W438" s="183"/>
      <c r="X438" s="183"/>
      <c r="Y438" s="183"/>
      <c r="Z438" s="183"/>
      <c r="AA438" s="183"/>
      <c r="AB438" s="183"/>
    </row>
    <row r="439" spans="8:8" ht="15.75" hidden="1">
      <c r="F439" s="183"/>
      <c r="H439" s="185"/>
      <c r="I439" s="183"/>
      <c r="J439" s="183"/>
      <c r="K439" s="183"/>
      <c r="L439" s="183"/>
      <c r="N439" s="183"/>
      <c r="O439" s="183"/>
      <c r="P439" s="183"/>
      <c r="Q439" s="183"/>
      <c r="R439" s="183"/>
      <c r="S439" s="183"/>
      <c r="T439" s="183"/>
      <c r="U439" s="183"/>
      <c r="V439" s="183"/>
      <c r="W439" s="183"/>
      <c r="X439" s="183"/>
      <c r="Y439" s="183"/>
      <c r="Z439" s="183"/>
      <c r="AA439" s="183"/>
      <c r="AB439" s="183"/>
    </row>
    <row r="440" spans="8:8" ht="15.75" hidden="1">
      <c r="F440" s="183"/>
      <c r="H440" s="185"/>
      <c r="I440" s="183"/>
      <c r="J440" s="183"/>
      <c r="K440" s="183"/>
      <c r="L440" s="183"/>
      <c r="N440" s="183"/>
      <c r="O440" s="183"/>
      <c r="P440" s="183"/>
      <c r="Q440" s="183"/>
      <c r="R440" s="183"/>
      <c r="S440" s="183"/>
      <c r="T440" s="183"/>
      <c r="U440" s="183"/>
      <c r="V440" s="183"/>
      <c r="W440" s="183"/>
      <c r="X440" s="183"/>
      <c r="Y440" s="183"/>
      <c r="Z440" s="183"/>
      <c r="AA440" s="183"/>
      <c r="AB440" s="183"/>
    </row>
    <row r="441" spans="8:8" ht="15.75" hidden="1">
      <c r="F441" s="183"/>
      <c r="H441" s="185"/>
      <c r="I441" s="183"/>
      <c r="J441" s="183"/>
      <c r="K441" s="183"/>
      <c r="L441" s="183"/>
      <c r="N441" s="183"/>
      <c r="O441" s="183"/>
      <c r="P441" s="183"/>
      <c r="Q441" s="183"/>
      <c r="R441" s="183"/>
      <c r="S441" s="183"/>
      <c r="T441" s="183"/>
      <c r="U441" s="183"/>
      <c r="V441" s="183"/>
      <c r="W441" s="183"/>
      <c r="X441" s="183"/>
      <c r="Y441" s="183"/>
      <c r="Z441" s="183"/>
      <c r="AA441" s="183"/>
      <c r="AB441" s="183"/>
    </row>
    <row r="442" spans="8:8" ht="15.75" hidden="1">
      <c r="F442" s="183"/>
      <c r="H442" s="185"/>
      <c r="I442" s="183"/>
      <c r="J442" s="183"/>
      <c r="K442" s="183"/>
      <c r="L442" s="183"/>
      <c r="N442" s="183"/>
      <c r="O442" s="183"/>
      <c r="P442" s="183"/>
      <c r="Q442" s="183"/>
      <c r="R442" s="183"/>
      <c r="S442" s="183"/>
      <c r="T442" s="183"/>
      <c r="U442" s="183"/>
      <c r="V442" s="183"/>
      <c r="W442" s="183"/>
      <c r="X442" s="183"/>
      <c r="Y442" s="183"/>
      <c r="Z442" s="183"/>
      <c r="AA442" s="183"/>
      <c r="AB442" s="183"/>
    </row>
    <row r="443" spans="8:8" ht="15.75" hidden="1">
      <c r="F443" s="183"/>
      <c r="H443" s="185"/>
      <c r="I443" s="183"/>
      <c r="J443" s="183"/>
      <c r="K443" s="183"/>
      <c r="L443" s="183"/>
      <c r="N443" s="183"/>
      <c r="O443" s="183"/>
      <c r="P443" s="183"/>
      <c r="Q443" s="183"/>
      <c r="R443" s="183"/>
      <c r="S443" s="183"/>
      <c r="T443" s="183"/>
      <c r="U443" s="183"/>
      <c r="V443" s="183"/>
      <c r="W443" s="183"/>
      <c r="X443" s="183"/>
      <c r="Y443" s="183"/>
      <c r="Z443" s="183"/>
      <c r="AA443" s="183"/>
      <c r="AB443" s="183"/>
    </row>
    <row r="444" spans="8:8" ht="15.75" hidden="1">
      <c r="F444" s="183"/>
      <c r="H444" s="185"/>
      <c r="I444" s="183"/>
      <c r="J444" s="183"/>
      <c r="K444" s="183"/>
      <c r="L444" s="183"/>
      <c r="N444" s="183"/>
      <c r="O444" s="183"/>
      <c r="P444" s="183"/>
      <c r="Q444" s="183"/>
      <c r="R444" s="183"/>
      <c r="S444" s="183"/>
      <c r="T444" s="183"/>
      <c r="U444" s="183"/>
      <c r="V444" s="183"/>
      <c r="W444" s="183"/>
      <c r="X444" s="183"/>
      <c r="Y444" s="183"/>
      <c r="Z444" s="183"/>
      <c r="AA444" s="183"/>
      <c r="AB444" s="183"/>
    </row>
    <row r="445" spans="8:8" ht="15.75" hidden="1">
      <c r="F445" s="183"/>
      <c r="H445" s="185"/>
      <c r="I445" s="183"/>
      <c r="J445" s="183"/>
      <c r="K445" s="183"/>
      <c r="L445" s="183"/>
      <c r="N445" s="183"/>
      <c r="O445" s="183"/>
      <c r="P445" s="183"/>
      <c r="Q445" s="183"/>
      <c r="R445" s="183"/>
      <c r="S445" s="183"/>
      <c r="T445" s="183"/>
      <c r="U445" s="183"/>
      <c r="V445" s="183"/>
      <c r="W445" s="183"/>
      <c r="X445" s="183"/>
      <c r="Y445" s="183"/>
      <c r="Z445" s="183"/>
      <c r="AA445" s="183"/>
      <c r="AB445" s="183"/>
    </row>
    <row r="446" spans="8:8" ht="15.75" hidden="1">
      <c r="F446" s="183"/>
      <c r="H446" s="185"/>
      <c r="I446" s="183"/>
      <c r="J446" s="183"/>
      <c r="K446" s="183"/>
      <c r="L446" s="183"/>
      <c r="N446" s="183"/>
      <c r="O446" s="183"/>
      <c r="P446" s="183"/>
      <c r="Q446" s="183"/>
      <c r="R446" s="183"/>
      <c r="S446" s="183"/>
      <c r="T446" s="183"/>
      <c r="U446" s="183"/>
      <c r="V446" s="183"/>
      <c r="W446" s="183"/>
      <c r="X446" s="183"/>
      <c r="Y446" s="183"/>
      <c r="Z446" s="183"/>
      <c r="AA446" s="183"/>
      <c r="AB446" s="183"/>
    </row>
    <row r="447" spans="8:8" ht="15.75" hidden="1">
      <c r="F447" s="183"/>
      <c r="H447" s="185"/>
      <c r="I447" s="183"/>
      <c r="J447" s="183"/>
      <c r="K447" s="183"/>
      <c r="L447" s="183"/>
      <c r="N447" s="183"/>
      <c r="O447" s="183"/>
      <c r="P447" s="183"/>
      <c r="Q447" s="183"/>
      <c r="R447" s="183"/>
      <c r="S447" s="183"/>
      <c r="T447" s="183"/>
      <c r="U447" s="183"/>
      <c r="V447" s="183"/>
      <c r="W447" s="183"/>
      <c r="X447" s="183"/>
      <c r="Y447" s="183"/>
      <c r="Z447" s="183"/>
      <c r="AA447" s="183"/>
      <c r="AB447" s="183"/>
    </row>
    <row r="448" spans="8:8" ht="15.75" hidden="1">
      <c r="F448" s="183"/>
      <c r="H448" s="185"/>
      <c r="I448" s="183"/>
      <c r="J448" s="183"/>
      <c r="K448" s="183"/>
      <c r="L448" s="183"/>
      <c r="N448" s="183"/>
      <c r="O448" s="183"/>
      <c r="P448" s="183"/>
      <c r="Q448" s="183"/>
      <c r="R448" s="183"/>
      <c r="S448" s="183"/>
      <c r="T448" s="183"/>
      <c r="U448" s="183"/>
      <c r="V448" s="183"/>
      <c r="W448" s="183"/>
      <c r="X448" s="183"/>
      <c r="Y448" s="183"/>
      <c r="Z448" s="183"/>
      <c r="AA448" s="183"/>
      <c r="AB448" s="183"/>
    </row>
    <row r="449" spans="8:8" ht="15.75" hidden="1">
      <c r="F449" s="183"/>
      <c r="H449" s="185"/>
      <c r="I449" s="183"/>
      <c r="J449" s="183"/>
      <c r="K449" s="183"/>
      <c r="L449" s="183"/>
      <c r="N449" s="183"/>
      <c r="O449" s="183"/>
      <c r="P449" s="183"/>
      <c r="Q449" s="183"/>
      <c r="R449" s="183"/>
      <c r="S449" s="183"/>
      <c r="T449" s="183"/>
      <c r="U449" s="183"/>
      <c r="V449" s="183"/>
      <c r="W449" s="183"/>
      <c r="X449" s="183"/>
      <c r="Y449" s="183"/>
      <c r="Z449" s="183"/>
      <c r="AA449" s="183"/>
      <c r="AB449" s="183"/>
    </row>
    <row r="450" spans="8:8" ht="15.75" hidden="1">
      <c r="F450" s="183"/>
      <c r="H450" s="185"/>
      <c r="I450" s="183"/>
      <c r="J450" s="183"/>
      <c r="K450" s="183"/>
      <c r="L450" s="183"/>
      <c r="N450" s="183"/>
      <c r="O450" s="183"/>
      <c r="P450" s="183"/>
      <c r="Q450" s="183"/>
      <c r="R450" s="183"/>
      <c r="S450" s="183"/>
      <c r="T450" s="183"/>
      <c r="U450" s="183"/>
      <c r="V450" s="183"/>
      <c r="W450" s="183"/>
      <c r="X450" s="183"/>
      <c r="Y450" s="183"/>
      <c r="Z450" s="183"/>
      <c r="AA450" s="183"/>
      <c r="AB450" s="183"/>
    </row>
    <row r="451" spans="8:8" ht="15.75" hidden="1">
      <c r="F451" s="183"/>
      <c r="H451" s="185"/>
      <c r="I451" s="183"/>
      <c r="J451" s="183"/>
      <c r="K451" s="183"/>
      <c r="L451" s="183"/>
      <c r="N451" s="183"/>
      <c r="O451" s="183"/>
      <c r="P451" s="183"/>
      <c r="Q451" s="183"/>
      <c r="R451" s="183"/>
      <c r="S451" s="183"/>
      <c r="T451" s="183"/>
      <c r="U451" s="183"/>
      <c r="V451" s="183"/>
      <c r="W451" s="183"/>
      <c r="X451" s="183"/>
      <c r="Y451" s="183"/>
      <c r="Z451" s="183"/>
      <c r="AA451" s="183"/>
      <c r="AB451" s="183"/>
    </row>
    <row r="452" spans="8:8" ht="15.75" hidden="1">
      <c r="F452" s="183"/>
      <c r="H452" s="185"/>
      <c r="I452" s="183"/>
      <c r="J452" s="183"/>
      <c r="K452" s="183"/>
      <c r="L452" s="183"/>
      <c r="N452" s="183"/>
      <c r="O452" s="183"/>
      <c r="P452" s="183"/>
      <c r="Q452" s="183"/>
      <c r="R452" s="183"/>
      <c r="S452" s="183"/>
      <c r="T452" s="183"/>
      <c r="U452" s="183"/>
      <c r="V452" s="183"/>
      <c r="W452" s="183"/>
      <c r="X452" s="183"/>
      <c r="Y452" s="183"/>
      <c r="Z452" s="183"/>
      <c r="AA452" s="183"/>
      <c r="AB452" s="183"/>
    </row>
    <row r="453" spans="8:8" ht="15.75" hidden="1">
      <c r="F453" s="183"/>
      <c r="H453" s="185"/>
      <c r="I453" s="183"/>
      <c r="J453" s="183"/>
      <c r="K453" s="183"/>
      <c r="L453" s="183"/>
      <c r="N453" s="183"/>
      <c r="O453" s="183"/>
      <c r="P453" s="183"/>
      <c r="Q453" s="183"/>
      <c r="R453" s="183"/>
      <c r="S453" s="183"/>
      <c r="T453" s="183"/>
      <c r="U453" s="183"/>
      <c r="V453" s="183"/>
      <c r="W453" s="183"/>
      <c r="X453" s="183"/>
      <c r="Y453" s="183"/>
      <c r="Z453" s="183"/>
      <c r="AA453" s="183"/>
      <c r="AB453" s="183"/>
    </row>
    <row r="454" spans="8:8" ht="15.75" hidden="1">
      <c r="F454" s="183"/>
      <c r="H454" s="185"/>
      <c r="I454" s="183"/>
      <c r="J454" s="183"/>
      <c r="K454" s="183"/>
      <c r="L454" s="183"/>
      <c r="N454" s="183"/>
      <c r="O454" s="183"/>
      <c r="P454" s="183"/>
      <c r="Q454" s="183"/>
      <c r="R454" s="183"/>
      <c r="S454" s="183"/>
      <c r="T454" s="183"/>
      <c r="U454" s="183"/>
      <c r="V454" s="183"/>
      <c r="W454" s="183"/>
      <c r="X454" s="183"/>
      <c r="Y454" s="183"/>
      <c r="Z454" s="183"/>
      <c r="AA454" s="183"/>
      <c r="AB454" s="183"/>
    </row>
    <row r="455" spans="8:8" ht="15.75" hidden="1">
      <c r="F455" s="183"/>
      <c r="H455" s="185"/>
      <c r="I455" s="183"/>
      <c r="J455" s="183"/>
      <c r="K455" s="183"/>
      <c r="L455" s="183"/>
      <c r="N455" s="183"/>
      <c r="O455" s="183"/>
      <c r="P455" s="183"/>
      <c r="Q455" s="183"/>
      <c r="R455" s="183"/>
      <c r="S455" s="183"/>
      <c r="T455" s="183"/>
      <c r="U455" s="183"/>
      <c r="V455" s="183"/>
      <c r="W455" s="183"/>
      <c r="X455" s="183"/>
      <c r="Y455" s="183"/>
      <c r="Z455" s="183"/>
      <c r="AA455" s="183"/>
      <c r="AB455" s="183"/>
    </row>
    <row r="456" spans="8:8" ht="15.75" hidden="1">
      <c r="F456" s="183"/>
      <c r="H456" s="185"/>
      <c r="I456" s="183"/>
      <c r="J456" s="183"/>
      <c r="K456" s="183"/>
      <c r="L456" s="183"/>
      <c r="N456" s="183"/>
      <c r="O456" s="183"/>
      <c r="P456" s="183"/>
      <c r="Q456" s="183"/>
      <c r="R456" s="183"/>
      <c r="S456" s="183"/>
      <c r="T456" s="183"/>
      <c r="U456" s="183"/>
      <c r="V456" s="183"/>
      <c r="W456" s="183"/>
      <c r="X456" s="183"/>
      <c r="Y456" s="183"/>
      <c r="Z456" s="183"/>
      <c r="AA456" s="183"/>
      <c r="AB456" s="183"/>
    </row>
    <row r="457" spans="8:8" ht="15.75" hidden="1">
      <c r="F457" s="183"/>
      <c r="H457" s="185"/>
      <c r="I457" s="183"/>
      <c r="J457" s="183"/>
      <c r="K457" s="183"/>
      <c r="L457" s="183"/>
      <c r="N457" s="183"/>
      <c r="O457" s="183"/>
      <c r="P457" s="183"/>
      <c r="Q457" s="183"/>
      <c r="R457" s="183"/>
      <c r="S457" s="183"/>
      <c r="T457" s="183"/>
      <c r="U457" s="183"/>
      <c r="V457" s="183"/>
      <c r="W457" s="183"/>
      <c r="X457" s="183"/>
      <c r="Y457" s="183"/>
      <c r="Z457" s="183"/>
      <c r="AA457" s="183"/>
      <c r="AB457" s="183"/>
    </row>
    <row r="458" spans="8:8" ht="15.75" hidden="1">
      <c r="F458" s="183"/>
      <c r="H458" s="185"/>
      <c r="I458" s="183"/>
      <c r="J458" s="183"/>
      <c r="K458" s="183"/>
      <c r="L458" s="183"/>
      <c r="N458" s="183"/>
      <c r="O458" s="183"/>
      <c r="P458" s="183"/>
      <c r="Q458" s="183"/>
      <c r="R458" s="183"/>
      <c r="S458" s="183"/>
      <c r="T458" s="183"/>
      <c r="U458" s="183"/>
      <c r="V458" s="183"/>
      <c r="W458" s="183"/>
      <c r="X458" s="183"/>
      <c r="Y458" s="183"/>
      <c r="Z458" s="183"/>
      <c r="AA458" s="183"/>
      <c r="AB458" s="183"/>
    </row>
    <row r="459" spans="8:8" ht="15.75" hidden="1">
      <c r="F459" s="183"/>
      <c r="H459" s="185"/>
      <c r="I459" s="183"/>
      <c r="J459" s="183"/>
      <c r="K459" s="183"/>
      <c r="L459" s="183"/>
      <c r="N459" s="183"/>
      <c r="O459" s="183"/>
      <c r="P459" s="183"/>
      <c r="Q459" s="183"/>
      <c r="R459" s="183"/>
      <c r="S459" s="183"/>
      <c r="T459" s="183"/>
      <c r="U459" s="183"/>
      <c r="V459" s="183"/>
      <c r="W459" s="183"/>
      <c r="X459" s="183"/>
      <c r="Y459" s="183"/>
      <c r="Z459" s="183"/>
      <c r="AA459" s="183"/>
      <c r="AB459" s="183"/>
    </row>
    <row r="460" spans="8:8" ht="15.75" hidden="1">
      <c r="F460" s="183"/>
      <c r="H460" s="185"/>
      <c r="I460" s="183"/>
      <c r="J460" s="183"/>
      <c r="K460" s="183"/>
      <c r="L460" s="183"/>
      <c r="N460" s="183"/>
      <c r="O460" s="183"/>
      <c r="P460" s="183"/>
      <c r="Q460" s="183"/>
      <c r="R460" s="183"/>
      <c r="S460" s="183"/>
      <c r="T460" s="183"/>
      <c r="U460" s="183"/>
      <c r="V460" s="183"/>
      <c r="W460" s="183"/>
      <c r="X460" s="183"/>
      <c r="Y460" s="183"/>
      <c r="Z460" s="183"/>
      <c r="AA460" s="183"/>
      <c r="AB460" s="183"/>
    </row>
    <row r="461" spans="8:8" ht="15.75" hidden="1">
      <c r="F461" s="183"/>
      <c r="H461" s="185"/>
      <c r="I461" s="183"/>
      <c r="J461" s="183"/>
      <c r="K461" s="183"/>
      <c r="L461" s="183"/>
      <c r="N461" s="183"/>
      <c r="O461" s="183"/>
      <c r="P461" s="183"/>
      <c r="Q461" s="183"/>
      <c r="R461" s="183"/>
      <c r="S461" s="183"/>
      <c r="T461" s="183"/>
      <c r="U461" s="183"/>
      <c r="V461" s="183"/>
      <c r="W461" s="183"/>
      <c r="X461" s="183"/>
      <c r="Y461" s="183"/>
      <c r="Z461" s="183"/>
      <c r="AA461" s="183"/>
      <c r="AB461" s="183"/>
    </row>
    <row r="462" spans="8:8" ht="15.75" hidden="1">
      <c r="F462" s="183"/>
      <c r="H462" s="185"/>
      <c r="I462" s="183"/>
      <c r="J462" s="183"/>
      <c r="K462" s="183"/>
      <c r="L462" s="183"/>
      <c r="N462" s="183"/>
      <c r="O462" s="183"/>
      <c r="P462" s="183"/>
      <c r="Q462" s="183"/>
      <c r="R462" s="183"/>
      <c r="S462" s="183"/>
      <c r="T462" s="183"/>
      <c r="U462" s="183"/>
      <c r="V462" s="183"/>
      <c r="W462" s="183"/>
      <c r="X462" s="183"/>
      <c r="Y462" s="183"/>
      <c r="Z462" s="183"/>
      <c r="AA462" s="183"/>
      <c r="AB462" s="183"/>
    </row>
    <row r="463" spans="8:8" ht="15.75" hidden="1">
      <c r="F463" s="183"/>
      <c r="H463" s="185"/>
      <c r="I463" s="183"/>
      <c r="J463" s="183"/>
      <c r="K463" s="183"/>
      <c r="L463" s="183"/>
      <c r="N463" s="183"/>
      <c r="O463" s="183"/>
      <c r="P463" s="183"/>
      <c r="Q463" s="183"/>
      <c r="R463" s="183"/>
      <c r="S463" s="183"/>
      <c r="T463" s="183"/>
      <c r="U463" s="183"/>
      <c r="V463" s="183"/>
      <c r="W463" s="183"/>
      <c r="X463" s="183"/>
      <c r="Y463" s="183"/>
      <c r="Z463" s="183"/>
      <c r="AA463" s="183"/>
      <c r="AB463" s="183"/>
    </row>
    <row r="464" spans="8:8" ht="15.75" hidden="1">
      <c r="F464" s="183"/>
      <c r="H464" s="185"/>
      <c r="I464" s="183"/>
      <c r="J464" s="183"/>
      <c r="K464" s="183"/>
      <c r="L464" s="183"/>
      <c r="N464" s="183"/>
      <c r="O464" s="183"/>
      <c r="P464" s="183"/>
      <c r="Q464" s="183"/>
      <c r="R464" s="183"/>
      <c r="S464" s="183"/>
      <c r="T464" s="183"/>
      <c r="U464" s="183"/>
      <c r="V464" s="183"/>
      <c r="W464" s="183"/>
      <c r="X464" s="183"/>
      <c r="Y464" s="183"/>
      <c r="Z464" s="183"/>
      <c r="AA464" s="183"/>
      <c r="AB464" s="183"/>
    </row>
    <row r="465" spans="8:8" ht="15.75" hidden="1">
      <c r="F465" s="183"/>
      <c r="H465" s="185"/>
      <c r="I465" s="183"/>
      <c r="J465" s="183"/>
      <c r="K465" s="183"/>
      <c r="L465" s="183"/>
      <c r="N465" s="183"/>
      <c r="O465" s="183"/>
      <c r="P465" s="183"/>
      <c r="Q465" s="183"/>
      <c r="R465" s="183"/>
      <c r="S465" s="183"/>
      <c r="T465" s="183"/>
      <c r="U465" s="183"/>
      <c r="V465" s="183"/>
      <c r="W465" s="183"/>
      <c r="X465" s="183"/>
      <c r="Y465" s="183"/>
      <c r="Z465" s="183"/>
      <c r="AA465" s="183"/>
      <c r="AB465" s="183"/>
    </row>
    <row r="466" spans="8:8" ht="15.75" hidden="1">
      <c r="F466" s="183"/>
      <c r="H466" s="185"/>
      <c r="I466" s="183"/>
      <c r="J466" s="183"/>
      <c r="K466" s="183"/>
      <c r="L466" s="183"/>
      <c r="N466" s="183"/>
      <c r="O466" s="183"/>
      <c r="P466" s="183"/>
      <c r="Q466" s="183"/>
      <c r="R466" s="183"/>
      <c r="S466" s="183"/>
      <c r="T466" s="183"/>
      <c r="U466" s="183"/>
      <c r="V466" s="183"/>
      <c r="W466" s="183"/>
      <c r="X466" s="183"/>
      <c r="Y466" s="183"/>
      <c r="Z466" s="183"/>
      <c r="AA466" s="183"/>
      <c r="AB466" s="183"/>
    </row>
    <row r="467" spans="8:8" ht="15.75" hidden="1">
      <c r="F467" s="183"/>
      <c r="H467" s="185"/>
      <c r="I467" s="183"/>
      <c r="J467" s="183"/>
      <c r="K467" s="183"/>
      <c r="L467" s="183"/>
      <c r="N467" s="183"/>
      <c r="O467" s="183"/>
      <c r="P467" s="183"/>
      <c r="Q467" s="183"/>
      <c r="R467" s="183"/>
      <c r="S467" s="183"/>
      <c r="T467" s="183"/>
      <c r="U467" s="183"/>
      <c r="V467" s="183"/>
      <c r="W467" s="183"/>
      <c r="X467" s="183"/>
      <c r="Y467" s="183"/>
      <c r="Z467" s="183"/>
      <c r="AA467" s="183"/>
      <c r="AB467" s="183"/>
    </row>
    <row r="468" spans="8:8" ht="15.75" hidden="1">
      <c r="F468" s="183"/>
      <c r="H468" s="185"/>
      <c r="I468" s="183"/>
      <c r="J468" s="183"/>
      <c r="K468" s="183"/>
      <c r="L468" s="183"/>
      <c r="N468" s="183"/>
      <c r="O468" s="183"/>
      <c r="P468" s="183"/>
      <c r="Q468" s="183"/>
      <c r="R468" s="183"/>
      <c r="S468" s="183"/>
      <c r="T468" s="183"/>
      <c r="U468" s="183"/>
      <c r="V468" s="183"/>
      <c r="W468" s="183"/>
      <c r="X468" s="183"/>
      <c r="Y468" s="183"/>
      <c r="Z468" s="183"/>
      <c r="AA468" s="183"/>
      <c r="AB468" s="183"/>
    </row>
    <row r="469" spans="8:8" ht="15.75" hidden="1">
      <c r="F469" s="183"/>
      <c r="H469" s="185"/>
      <c r="I469" s="183"/>
      <c r="J469" s="183"/>
      <c r="K469" s="183"/>
      <c r="L469" s="183"/>
      <c r="N469" s="183"/>
      <c r="O469" s="183"/>
      <c r="P469" s="183"/>
      <c r="Q469" s="183"/>
      <c r="R469" s="183"/>
      <c r="S469" s="183"/>
      <c r="T469" s="183"/>
      <c r="U469" s="183"/>
      <c r="V469" s="183"/>
      <c r="W469" s="183"/>
      <c r="X469" s="183"/>
      <c r="Y469" s="183"/>
      <c r="Z469" s="183"/>
      <c r="AA469" s="183"/>
      <c r="AB469" s="183"/>
    </row>
    <row r="470" spans="8:8" ht="15.75" hidden="1">
      <c r="F470" s="183"/>
      <c r="H470" s="185"/>
      <c r="I470" s="183"/>
      <c r="J470" s="183"/>
      <c r="K470" s="183"/>
      <c r="L470" s="183"/>
      <c r="N470" s="183"/>
      <c r="O470" s="183"/>
      <c r="P470" s="183"/>
      <c r="Q470" s="183"/>
      <c r="R470" s="183"/>
      <c r="S470" s="183"/>
      <c r="T470" s="183"/>
      <c r="U470" s="183"/>
      <c r="V470" s="183"/>
      <c r="W470" s="183"/>
      <c r="X470" s="183"/>
      <c r="Y470" s="183"/>
      <c r="Z470" s="183"/>
      <c r="AA470" s="183"/>
      <c r="AB470" s="183"/>
    </row>
    <row r="471" spans="8:8" ht="15.75" hidden="1">
      <c r="F471" s="183"/>
      <c r="H471" s="185"/>
      <c r="I471" s="183"/>
      <c r="J471" s="183"/>
      <c r="K471" s="183"/>
      <c r="L471" s="183"/>
      <c r="N471" s="183"/>
      <c r="O471" s="183"/>
      <c r="P471" s="183"/>
      <c r="Q471" s="183"/>
      <c r="R471" s="183"/>
      <c r="S471" s="183"/>
      <c r="T471" s="183"/>
      <c r="U471" s="183"/>
      <c r="V471" s="183"/>
      <c r="W471" s="183"/>
      <c r="X471" s="183"/>
      <c r="Y471" s="183"/>
      <c r="Z471" s="183"/>
      <c r="AA471" s="183"/>
      <c r="AB471" s="183"/>
    </row>
    <row r="472" spans="8:8" ht="15.75" hidden="1">
      <c r="F472" s="183"/>
      <c r="H472" s="185"/>
      <c r="I472" s="183"/>
      <c r="J472" s="183"/>
      <c r="K472" s="183"/>
      <c r="L472" s="183"/>
      <c r="N472" s="183"/>
      <c r="O472" s="183"/>
      <c r="P472" s="183"/>
      <c r="Q472" s="183"/>
      <c r="R472" s="183"/>
      <c r="S472" s="183"/>
      <c r="T472" s="183"/>
      <c r="U472" s="183"/>
      <c r="V472" s="183"/>
      <c r="W472" s="183"/>
      <c r="X472" s="183"/>
      <c r="Y472" s="183"/>
      <c r="Z472" s="183"/>
      <c r="AA472" s="183"/>
      <c r="AB472" s="183"/>
    </row>
    <row r="473" spans="8:8" ht="15.75" hidden="1">
      <c r="F473" s="183"/>
      <c r="H473" s="185"/>
      <c r="I473" s="183"/>
      <c r="J473" s="183"/>
      <c r="K473" s="183"/>
      <c r="L473" s="183"/>
      <c r="N473" s="183"/>
      <c r="O473" s="183"/>
      <c r="P473" s="183"/>
      <c r="Q473" s="183"/>
      <c r="R473" s="183"/>
      <c r="S473" s="183"/>
      <c r="T473" s="183"/>
      <c r="U473" s="183"/>
      <c r="V473" s="183"/>
      <c r="W473" s="183"/>
      <c r="X473" s="183"/>
      <c r="Y473" s="183"/>
      <c r="Z473" s="183"/>
      <c r="AA473" s="183"/>
      <c r="AB473" s="183"/>
    </row>
    <row r="474" spans="8:8" ht="15.75" hidden="1">
      <c r="F474" s="183"/>
      <c r="H474" s="185"/>
      <c r="I474" s="183"/>
      <c r="J474" s="183"/>
      <c r="K474" s="183"/>
      <c r="L474" s="183"/>
      <c r="N474" s="183"/>
      <c r="O474" s="183"/>
      <c r="P474" s="183"/>
      <c r="Q474" s="183"/>
      <c r="R474" s="183"/>
      <c r="S474" s="183"/>
      <c r="T474" s="183"/>
      <c r="U474" s="183"/>
      <c r="V474" s="183"/>
      <c r="W474" s="183"/>
      <c r="X474" s="183"/>
      <c r="Y474" s="183"/>
      <c r="Z474" s="183"/>
      <c r="AA474" s="183"/>
      <c r="AB474" s="183"/>
    </row>
    <row r="475" spans="8:8" ht="15.75" hidden="1">
      <c r="F475" s="183"/>
      <c r="H475" s="185"/>
      <c r="I475" s="183"/>
      <c r="J475" s="183"/>
      <c r="K475" s="183"/>
      <c r="L475" s="183"/>
      <c r="N475" s="183"/>
      <c r="O475" s="183"/>
      <c r="P475" s="183"/>
      <c r="Q475" s="183"/>
      <c r="R475" s="183"/>
      <c r="S475" s="183"/>
      <c r="T475" s="183"/>
      <c r="U475" s="183"/>
      <c r="V475" s="183"/>
      <c r="W475" s="183"/>
      <c r="X475" s="183"/>
      <c r="Y475" s="183"/>
      <c r="Z475" s="183"/>
      <c r="AA475" s="183"/>
      <c r="AB475" s="183"/>
    </row>
    <row r="476" spans="8:8" ht="15.75" hidden="1">
      <c r="F476" s="183"/>
      <c r="H476" s="185"/>
      <c r="I476" s="183"/>
      <c r="J476" s="183"/>
      <c r="K476" s="183"/>
      <c r="L476" s="183"/>
      <c r="N476" s="183"/>
      <c r="O476" s="183"/>
      <c r="P476" s="183"/>
      <c r="Q476" s="183"/>
      <c r="R476" s="183"/>
      <c r="S476" s="183"/>
      <c r="T476" s="183"/>
      <c r="U476" s="183"/>
      <c r="V476" s="183"/>
      <c r="W476" s="183"/>
      <c r="X476" s="183"/>
      <c r="Y476" s="183"/>
      <c r="Z476" s="183"/>
      <c r="AA476" s="183"/>
      <c r="AB476" s="183"/>
    </row>
    <row r="477" spans="8:8" ht="15.75" hidden="1">
      <c r="F477" s="183"/>
      <c r="H477" s="185"/>
      <c r="I477" s="183"/>
      <c r="J477" s="183"/>
      <c r="K477" s="183"/>
      <c r="L477" s="183"/>
      <c r="N477" s="183"/>
      <c r="O477" s="183"/>
      <c r="P477" s="183"/>
      <c r="Q477" s="183"/>
      <c r="R477" s="183"/>
      <c r="S477" s="183"/>
      <c r="T477" s="183"/>
      <c r="U477" s="183"/>
      <c r="V477" s="183"/>
      <c r="W477" s="183"/>
      <c r="X477" s="183"/>
      <c r="Y477" s="183"/>
      <c r="Z477" s="183"/>
      <c r="AA477" s="183"/>
      <c r="AB477" s="183"/>
    </row>
    <row r="478" spans="8:8" ht="15.75" hidden="1">
      <c r="F478" s="183"/>
      <c r="H478" s="185"/>
      <c r="I478" s="183"/>
      <c r="J478" s="183"/>
      <c r="K478" s="183"/>
      <c r="L478" s="183"/>
      <c r="N478" s="183"/>
      <c r="O478" s="183"/>
      <c r="P478" s="183"/>
      <c r="Q478" s="183"/>
      <c r="R478" s="183"/>
      <c r="S478" s="183"/>
      <c r="T478" s="183"/>
      <c r="U478" s="183"/>
      <c r="V478" s="183"/>
      <c r="W478" s="183"/>
      <c r="X478" s="183"/>
      <c r="Y478" s="183"/>
      <c r="Z478" s="183"/>
      <c r="AA478" s="183"/>
      <c r="AB478" s="183"/>
    </row>
    <row r="479" spans="8:8" ht="15.75" hidden="1">
      <c r="F479" s="183"/>
      <c r="H479" s="185"/>
      <c r="I479" s="183"/>
      <c r="J479" s="183"/>
      <c r="K479" s="183"/>
      <c r="L479" s="183"/>
      <c r="N479" s="183"/>
      <c r="O479" s="183"/>
      <c r="P479" s="183"/>
      <c r="Q479" s="183"/>
      <c r="R479" s="183"/>
      <c r="S479" s="183"/>
      <c r="T479" s="183"/>
      <c r="U479" s="183"/>
      <c r="V479" s="183"/>
      <c r="W479" s="183"/>
      <c r="X479" s="183"/>
      <c r="Y479" s="183"/>
      <c r="Z479" s="183"/>
      <c r="AA479" s="183"/>
      <c r="AB479" s="183"/>
    </row>
    <row r="480" spans="8:8" ht="15.75" hidden="1">
      <c r="F480" s="183"/>
      <c r="H480" s="185"/>
      <c r="I480" s="183"/>
      <c r="J480" s="183"/>
      <c r="K480" s="183"/>
      <c r="L480" s="183"/>
      <c r="N480" s="183"/>
      <c r="O480" s="183"/>
      <c r="P480" s="183"/>
      <c r="Q480" s="183"/>
      <c r="R480" s="183"/>
      <c r="S480" s="183"/>
      <c r="T480" s="183"/>
      <c r="U480" s="183"/>
      <c r="V480" s="183"/>
      <c r="W480" s="183"/>
      <c r="X480" s="183"/>
      <c r="Y480" s="183"/>
      <c r="Z480" s="183"/>
      <c r="AA480" s="183"/>
      <c r="AB480" s="183"/>
    </row>
    <row r="481" spans="8:8" ht="15.75" hidden="1">
      <c r="F481" s="183"/>
      <c r="H481" s="185"/>
      <c r="I481" s="183"/>
      <c r="J481" s="183"/>
      <c r="K481" s="183"/>
      <c r="L481" s="183"/>
      <c r="N481" s="183"/>
      <c r="O481" s="183"/>
      <c r="P481" s="183"/>
      <c r="Q481" s="183"/>
      <c r="R481" s="183"/>
      <c r="S481" s="183"/>
      <c r="T481" s="183"/>
      <c r="U481" s="183"/>
      <c r="V481" s="183"/>
      <c r="W481" s="183"/>
      <c r="X481" s="183"/>
      <c r="Y481" s="183"/>
      <c r="Z481" s="183"/>
      <c r="AA481" s="183"/>
      <c r="AB481" s="183"/>
    </row>
    <row r="482" spans="8:8" ht="15.75" hidden="1">
      <c r="F482" s="183"/>
      <c r="H482" s="185"/>
      <c r="I482" s="183"/>
      <c r="J482" s="183"/>
      <c r="K482" s="183"/>
      <c r="L482" s="183"/>
      <c r="N482" s="183"/>
      <c r="O482" s="183"/>
      <c r="P482" s="183"/>
      <c r="Q482" s="183"/>
      <c r="R482" s="183"/>
      <c r="S482" s="183"/>
      <c r="T482" s="183"/>
      <c r="U482" s="183"/>
      <c r="V482" s="183"/>
      <c r="W482" s="183"/>
      <c r="X482" s="183"/>
      <c r="Y482" s="183"/>
      <c r="Z482" s="183"/>
      <c r="AA482" s="183"/>
      <c r="AB482" s="183"/>
    </row>
    <row r="483" spans="8:8" ht="15.75" hidden="1">
      <c r="F483" s="183"/>
      <c r="H483" s="185"/>
      <c r="I483" s="183"/>
      <c r="J483" s="183"/>
      <c r="K483" s="183"/>
      <c r="L483" s="183"/>
      <c r="N483" s="183"/>
      <c r="O483" s="183"/>
      <c r="P483" s="183"/>
      <c r="Q483" s="183"/>
      <c r="R483" s="183"/>
      <c r="S483" s="183"/>
      <c r="T483" s="183"/>
      <c r="U483" s="183"/>
      <c r="V483" s="183"/>
      <c r="W483" s="183"/>
      <c r="X483" s="183"/>
      <c r="Y483" s="183"/>
      <c r="Z483" s="183"/>
      <c r="AA483" s="183"/>
      <c r="AB483" s="183"/>
    </row>
    <row r="484" spans="8:8" ht="15.75" hidden="1">
      <c r="F484" s="183"/>
      <c r="H484" s="185"/>
      <c r="I484" s="183"/>
      <c r="J484" s="183"/>
      <c r="K484" s="183"/>
      <c r="L484" s="183"/>
      <c r="N484" s="183"/>
      <c r="O484" s="183"/>
      <c r="P484" s="183"/>
      <c r="Q484" s="183"/>
      <c r="R484" s="183"/>
      <c r="S484" s="183"/>
      <c r="T484" s="183"/>
      <c r="U484" s="183"/>
      <c r="V484" s="183"/>
      <c r="W484" s="183"/>
      <c r="X484" s="183"/>
      <c r="Y484" s="183"/>
      <c r="Z484" s="183"/>
      <c r="AA484" s="183"/>
      <c r="AB484" s="183"/>
    </row>
    <row r="485" spans="8:8" ht="15.75" hidden="1">
      <c r="F485" s="183"/>
      <c r="H485" s="185"/>
      <c r="I485" s="183"/>
      <c r="J485" s="183"/>
      <c r="K485" s="183"/>
      <c r="L485" s="183"/>
      <c r="N485" s="183"/>
      <c r="O485" s="183"/>
      <c r="P485" s="183"/>
      <c r="Q485" s="183"/>
      <c r="R485" s="183"/>
      <c r="S485" s="183"/>
      <c r="T485" s="183"/>
      <c r="U485" s="183"/>
      <c r="V485" s="183"/>
      <c r="W485" s="183"/>
      <c r="X485" s="183"/>
      <c r="Y485" s="183"/>
      <c r="Z485" s="183"/>
      <c r="AA485" s="183"/>
      <c r="AB485" s="183"/>
    </row>
    <row r="486" spans="8:8" ht="15.75" hidden="1">
      <c r="F486" s="183"/>
      <c r="H486" s="185"/>
      <c r="I486" s="183"/>
      <c r="J486" s="183"/>
      <c r="K486" s="183"/>
      <c r="L486" s="183"/>
      <c r="N486" s="183"/>
      <c r="O486" s="183"/>
      <c r="P486" s="183"/>
      <c r="Q486" s="183"/>
      <c r="R486" s="183"/>
      <c r="S486" s="183"/>
      <c r="T486" s="183"/>
      <c r="U486" s="183"/>
      <c r="V486" s="183"/>
      <c r="W486" s="183"/>
      <c r="X486" s="183"/>
      <c r="Y486" s="183"/>
      <c r="Z486" s="183"/>
      <c r="AA486" s="183"/>
      <c r="AB486" s="183"/>
    </row>
    <row r="487" spans="8:8" ht="15.75" hidden="1">
      <c r="F487" s="183"/>
      <c r="H487" s="185"/>
      <c r="I487" s="183"/>
      <c r="J487" s="183"/>
      <c r="K487" s="183"/>
      <c r="L487" s="183"/>
      <c r="N487" s="183"/>
      <c r="O487" s="183"/>
      <c r="P487" s="183"/>
      <c r="Q487" s="183"/>
      <c r="R487" s="183"/>
      <c r="S487" s="183"/>
      <c r="T487" s="183"/>
      <c r="U487" s="183"/>
      <c r="V487" s="183"/>
      <c r="W487" s="183"/>
      <c r="X487" s="183"/>
      <c r="Y487" s="183"/>
      <c r="Z487" s="183"/>
      <c r="AA487" s="183"/>
      <c r="AB487" s="183"/>
    </row>
    <row r="488" spans="8:8" ht="15.75" hidden="1">
      <c r="F488" s="183"/>
      <c r="H488" s="185"/>
      <c r="I488" s="183"/>
      <c r="J488" s="183"/>
      <c r="K488" s="183"/>
      <c r="L488" s="183"/>
      <c r="N488" s="183"/>
      <c r="O488" s="183"/>
      <c r="P488" s="183"/>
      <c r="Q488" s="183"/>
      <c r="R488" s="183"/>
      <c r="S488" s="183"/>
      <c r="T488" s="183"/>
      <c r="U488" s="183"/>
      <c r="V488" s="183"/>
      <c r="W488" s="183"/>
      <c r="X488" s="183"/>
      <c r="Y488" s="183"/>
      <c r="Z488" s="183"/>
      <c r="AA488" s="183"/>
      <c r="AB488" s="183"/>
    </row>
    <row r="489" spans="8:8" ht="15.75" hidden="1">
      <c r="F489" s="183"/>
      <c r="H489" s="185"/>
      <c r="I489" s="183"/>
      <c r="J489" s="183"/>
      <c r="K489" s="183"/>
      <c r="L489" s="183"/>
      <c r="N489" s="183"/>
      <c r="O489" s="183"/>
      <c r="P489" s="183"/>
      <c r="Q489" s="183"/>
      <c r="R489" s="183"/>
      <c r="S489" s="183"/>
      <c r="T489" s="183"/>
      <c r="U489" s="183"/>
      <c r="V489" s="183"/>
      <c r="W489" s="183"/>
      <c r="X489" s="183"/>
      <c r="Y489" s="183"/>
      <c r="Z489" s="183"/>
      <c r="AA489" s="183"/>
      <c r="AB489" s="183"/>
    </row>
    <row r="490" spans="8:8" ht="15.75" hidden="1">
      <c r="F490" s="183"/>
      <c r="H490" s="185"/>
      <c r="I490" s="183"/>
      <c r="J490" s="183"/>
      <c r="K490" s="183"/>
      <c r="L490" s="183"/>
      <c r="N490" s="183"/>
      <c r="O490" s="183"/>
      <c r="P490" s="183"/>
      <c r="Q490" s="183"/>
      <c r="R490" s="183"/>
      <c r="S490" s="183"/>
      <c r="T490" s="183"/>
      <c r="U490" s="183"/>
      <c r="V490" s="183"/>
      <c r="W490" s="183"/>
      <c r="X490" s="183"/>
      <c r="Y490" s="183"/>
      <c r="Z490" s="183"/>
      <c r="AA490" s="183"/>
      <c r="AB490" s="183"/>
    </row>
    <row r="491" spans="8:8" ht="15.75" hidden="1">
      <c r="F491" s="183"/>
      <c r="H491" s="185"/>
      <c r="I491" s="183"/>
      <c r="J491" s="183"/>
      <c r="K491" s="183"/>
      <c r="L491" s="183"/>
      <c r="N491" s="183"/>
      <c r="O491" s="183"/>
      <c r="P491" s="183"/>
      <c r="Q491" s="183"/>
      <c r="R491" s="183"/>
      <c r="S491" s="183"/>
      <c r="T491" s="183"/>
      <c r="U491" s="183"/>
      <c r="V491" s="183"/>
      <c r="W491" s="183"/>
      <c r="X491" s="183"/>
      <c r="Y491" s="183"/>
      <c r="Z491" s="183"/>
      <c r="AA491" s="183"/>
      <c r="AB491" s="183"/>
    </row>
    <row r="492" spans="8:8" ht="15.75" hidden="1">
      <c r="F492" s="183"/>
      <c r="H492" s="185"/>
      <c r="I492" s="183"/>
      <c r="J492" s="183"/>
      <c r="K492" s="183"/>
      <c r="L492" s="183"/>
      <c r="N492" s="183"/>
      <c r="O492" s="183"/>
      <c r="P492" s="183"/>
      <c r="Q492" s="183"/>
      <c r="R492" s="183"/>
      <c r="S492" s="183"/>
      <c r="T492" s="183"/>
      <c r="U492" s="183"/>
      <c r="V492" s="183"/>
      <c r="W492" s="183"/>
      <c r="X492" s="183"/>
      <c r="Y492" s="183"/>
      <c r="Z492" s="183"/>
      <c r="AA492" s="183"/>
      <c r="AB492" s="183"/>
    </row>
    <row r="493" spans="8:8" ht="15.75" hidden="1">
      <c r="F493" s="183"/>
      <c r="H493" s="185"/>
      <c r="I493" s="183"/>
      <c r="J493" s="183"/>
      <c r="K493" s="183"/>
      <c r="L493" s="183"/>
      <c r="N493" s="183"/>
      <c r="O493" s="183"/>
      <c r="P493" s="183"/>
      <c r="Q493" s="183"/>
      <c r="R493" s="183"/>
      <c r="S493" s="183"/>
      <c r="T493" s="183"/>
      <c r="U493" s="183"/>
      <c r="V493" s="183"/>
      <c r="W493" s="183"/>
      <c r="X493" s="183"/>
      <c r="Y493" s="183"/>
      <c r="Z493" s="183"/>
      <c r="AA493" s="183"/>
      <c r="AB493" s="183"/>
    </row>
    <row r="494" spans="8:8" ht="15.75" hidden="1">
      <c r="F494" s="183"/>
      <c r="H494" s="185"/>
      <c r="I494" s="183"/>
      <c r="J494" s="183"/>
      <c r="K494" s="183"/>
      <c r="L494" s="183"/>
      <c r="N494" s="183"/>
      <c r="O494" s="183"/>
      <c r="P494" s="183"/>
      <c r="Q494" s="183"/>
      <c r="R494" s="183"/>
      <c r="S494" s="183"/>
      <c r="T494" s="183"/>
      <c r="U494" s="183"/>
      <c r="V494" s="183"/>
      <c r="W494" s="183"/>
      <c r="X494" s="183"/>
      <c r="Y494" s="183"/>
      <c r="Z494" s="183"/>
      <c r="AA494" s="183"/>
      <c r="AB494" s="183"/>
    </row>
    <row r="495" spans="8:8" ht="15.75" hidden="1">
      <c r="F495" s="183"/>
      <c r="H495" s="185"/>
      <c r="I495" s="183"/>
      <c r="J495" s="183"/>
      <c r="K495" s="183"/>
      <c r="L495" s="183"/>
      <c r="N495" s="183"/>
      <c r="O495" s="183"/>
      <c r="P495" s="183"/>
      <c r="Q495" s="183"/>
      <c r="R495" s="183"/>
      <c r="S495" s="183"/>
      <c r="T495" s="183"/>
      <c r="U495" s="183"/>
      <c r="V495" s="183"/>
      <c r="W495" s="183"/>
      <c r="X495" s="183"/>
      <c r="Y495" s="183"/>
      <c r="Z495" s="183"/>
      <c r="AA495" s="183"/>
      <c r="AB495" s="183"/>
    </row>
    <row r="496" spans="8:8" ht="15.75" hidden="1">
      <c r="F496" s="183"/>
      <c r="H496" s="185"/>
      <c r="I496" s="183"/>
      <c r="J496" s="183"/>
      <c r="K496" s="183"/>
      <c r="L496" s="183"/>
      <c r="N496" s="183"/>
      <c r="O496" s="183"/>
      <c r="P496" s="183"/>
      <c r="Q496" s="183"/>
      <c r="R496" s="183"/>
      <c r="S496" s="183"/>
      <c r="T496" s="183"/>
      <c r="U496" s="183"/>
      <c r="V496" s="183"/>
      <c r="W496" s="183"/>
      <c r="X496" s="183"/>
      <c r="Y496" s="183"/>
      <c r="Z496" s="183"/>
      <c r="AA496" s="183"/>
      <c r="AB496" s="183"/>
    </row>
    <row r="497" spans="8:8" ht="15.75" hidden="1">
      <c r="F497" s="183"/>
      <c r="H497" s="185"/>
      <c r="I497" s="183"/>
      <c r="J497" s="183"/>
      <c r="K497" s="183"/>
      <c r="L497" s="183"/>
      <c r="N497" s="183"/>
      <c r="O497" s="183"/>
      <c r="P497" s="183"/>
      <c r="Q497" s="183"/>
      <c r="R497" s="183"/>
      <c r="S497" s="183"/>
      <c r="T497" s="183"/>
      <c r="U497" s="183"/>
      <c r="V497" s="183"/>
      <c r="W497" s="183"/>
      <c r="X497" s="183"/>
      <c r="Y497" s="183"/>
      <c r="Z497" s="183"/>
      <c r="AA497" s="183"/>
      <c r="AB497" s="183"/>
    </row>
    <row r="498" spans="8:8" ht="15.75" hidden="1">
      <c r="F498" s="183"/>
      <c r="H498" s="185"/>
      <c r="I498" s="183"/>
      <c r="J498" s="183"/>
      <c r="K498" s="183"/>
      <c r="L498" s="183"/>
      <c r="N498" s="183"/>
      <c r="O498" s="183"/>
      <c r="P498" s="183"/>
      <c r="Q498" s="183"/>
      <c r="R498" s="183"/>
      <c r="S498" s="183"/>
      <c r="T498" s="183"/>
      <c r="U498" s="183"/>
      <c r="V498" s="183"/>
      <c r="W498" s="183"/>
      <c r="X498" s="183"/>
      <c r="Y498" s="183"/>
      <c r="Z498" s="183"/>
      <c r="AA498" s="183"/>
      <c r="AB498" s="183"/>
    </row>
    <row r="499" spans="8:8" ht="15.75" hidden="1">
      <c r="F499" s="183"/>
      <c r="H499" s="185"/>
      <c r="I499" s="183"/>
      <c r="J499" s="183"/>
      <c r="K499" s="183"/>
      <c r="L499" s="183"/>
      <c r="N499" s="183"/>
      <c r="O499" s="183"/>
      <c r="P499" s="183"/>
      <c r="Q499" s="183"/>
      <c r="R499" s="183"/>
      <c r="S499" s="183"/>
      <c r="T499" s="183"/>
      <c r="U499" s="183"/>
      <c r="V499" s="183"/>
      <c r="W499" s="183"/>
      <c r="X499" s="183"/>
      <c r="Y499" s="183"/>
      <c r="Z499" s="183"/>
      <c r="AA499" s="183"/>
      <c r="AB499" s="183"/>
    </row>
    <row r="500" spans="8:8" ht="15.75" hidden="1">
      <c r="F500" s="183"/>
      <c r="H500" s="185"/>
      <c r="I500" s="183"/>
      <c r="J500" s="183"/>
      <c r="K500" s="183"/>
      <c r="L500" s="183"/>
      <c r="N500" s="183"/>
      <c r="O500" s="183"/>
      <c r="P500" s="183"/>
      <c r="Q500" s="183"/>
      <c r="R500" s="183"/>
      <c r="S500" s="183"/>
      <c r="T500" s="183"/>
      <c r="U500" s="183"/>
      <c r="V500" s="183"/>
      <c r="W500" s="183"/>
      <c r="X500" s="183"/>
      <c r="Y500" s="183"/>
      <c r="Z500" s="183"/>
      <c r="AA500" s="183"/>
      <c r="AB500" s="183"/>
    </row>
    <row r="501" spans="8:8" ht="15.75" hidden="1">
      <c r="F501" s="183"/>
      <c r="H501" s="185"/>
      <c r="I501" s="183"/>
      <c r="J501" s="183"/>
      <c r="K501" s="183"/>
      <c r="L501" s="183"/>
      <c r="N501" s="183"/>
      <c r="O501" s="183"/>
      <c r="P501" s="183"/>
      <c r="Q501" s="183"/>
      <c r="R501" s="183"/>
      <c r="S501" s="183"/>
      <c r="T501" s="183"/>
      <c r="U501" s="183"/>
      <c r="V501" s="183"/>
      <c r="W501" s="183"/>
      <c r="X501" s="183"/>
      <c r="Y501" s="183"/>
      <c r="Z501" s="183"/>
      <c r="AA501" s="183"/>
      <c r="AB501" s="183"/>
    </row>
    <row r="502" spans="8:8" ht="15.75" hidden="1">
      <c r="F502" s="183"/>
      <c r="H502" s="185"/>
      <c r="I502" s="183"/>
      <c r="J502" s="183"/>
      <c r="K502" s="183"/>
      <c r="L502" s="183"/>
      <c r="N502" s="183"/>
      <c r="O502" s="183"/>
      <c r="P502" s="183"/>
      <c r="Q502" s="183"/>
      <c r="R502" s="183"/>
      <c r="S502" s="183"/>
      <c r="T502" s="183"/>
      <c r="U502" s="183"/>
      <c r="V502" s="183"/>
      <c r="W502" s="183"/>
      <c r="X502" s="183"/>
      <c r="Y502" s="183"/>
      <c r="Z502" s="183"/>
      <c r="AA502" s="183"/>
      <c r="AB502" s="183"/>
    </row>
    <row r="503" spans="8:8" ht="15.75" hidden="1">
      <c r="F503" s="183"/>
      <c r="H503" s="185"/>
      <c r="I503" s="183"/>
      <c r="J503" s="183"/>
      <c r="K503" s="183"/>
      <c r="L503" s="183"/>
      <c r="N503" s="183"/>
      <c r="O503" s="183"/>
      <c r="P503" s="183"/>
      <c r="Q503" s="183"/>
      <c r="R503" s="183"/>
      <c r="S503" s="183"/>
      <c r="T503" s="183"/>
      <c r="U503" s="183"/>
      <c r="V503" s="183"/>
      <c r="W503" s="183"/>
      <c r="X503" s="183"/>
      <c r="Y503" s="183"/>
      <c r="Z503" s="183"/>
      <c r="AA503" s="183"/>
      <c r="AB503" s="183"/>
    </row>
    <row r="504" spans="8:8" ht="15.75" hidden="1">
      <c r="F504" s="183"/>
      <c r="H504" s="185"/>
      <c r="I504" s="183"/>
      <c r="J504" s="183"/>
      <c r="K504" s="183"/>
      <c r="L504" s="183"/>
      <c r="N504" s="183"/>
      <c r="O504" s="183"/>
      <c r="P504" s="183"/>
      <c r="Q504" s="183"/>
      <c r="R504" s="183"/>
      <c r="S504" s="183"/>
      <c r="T504" s="183"/>
      <c r="U504" s="183"/>
      <c r="V504" s="183"/>
      <c r="W504" s="183"/>
      <c r="X504" s="183"/>
      <c r="Y504" s="183"/>
      <c r="Z504" s="183"/>
      <c r="AA504" s="183"/>
      <c r="AB504" s="183"/>
    </row>
    <row r="505" spans="8:8" ht="15.75" hidden="1">
      <c r="F505" s="183"/>
      <c r="H505" s="185"/>
      <c r="I505" s="183"/>
      <c r="J505" s="183"/>
      <c r="K505" s="183"/>
      <c r="L505" s="183"/>
      <c r="N505" s="183"/>
      <c r="O505" s="183"/>
      <c r="P505" s="183"/>
      <c r="Q505" s="183"/>
      <c r="R505" s="183"/>
      <c r="S505" s="183"/>
      <c r="T505" s="183"/>
      <c r="U505" s="183"/>
      <c r="V505" s="183"/>
      <c r="W505" s="183"/>
      <c r="X505" s="183"/>
      <c r="Y505" s="183"/>
      <c r="Z505" s="183"/>
      <c r="AA505" s="183"/>
      <c r="AB505" s="183"/>
    </row>
    <row r="506" spans="8:8" ht="15.75" hidden="1">
      <c r="F506" s="183"/>
      <c r="H506" s="185"/>
      <c r="I506" s="183"/>
      <c r="J506" s="183"/>
      <c r="K506" s="183"/>
      <c r="L506" s="183"/>
      <c r="N506" s="183"/>
      <c r="O506" s="183"/>
      <c r="P506" s="183"/>
      <c r="Q506" s="183"/>
      <c r="R506" s="183"/>
      <c r="S506" s="183"/>
      <c r="T506" s="183"/>
      <c r="U506" s="183"/>
      <c r="V506" s="183"/>
      <c r="W506" s="183"/>
      <c r="X506" s="183"/>
      <c r="Y506" s="183"/>
      <c r="Z506" s="183"/>
      <c r="AA506" s="183"/>
      <c r="AB506" s="183"/>
    </row>
    <row r="507" spans="8:8" ht="15.75" hidden="1">
      <c r="F507" s="183"/>
      <c r="H507" s="185"/>
      <c r="I507" s="183"/>
      <c r="J507" s="183"/>
      <c r="K507" s="183"/>
      <c r="L507" s="183"/>
      <c r="N507" s="183"/>
      <c r="O507" s="183"/>
      <c r="P507" s="183"/>
      <c r="Q507" s="183"/>
      <c r="R507" s="183"/>
      <c r="S507" s="183"/>
      <c r="T507" s="183"/>
      <c r="U507" s="183"/>
      <c r="V507" s="183"/>
      <c r="W507" s="183"/>
      <c r="X507" s="183"/>
      <c r="Y507" s="183"/>
      <c r="Z507" s="183"/>
      <c r="AA507" s="183"/>
      <c r="AB507" s="183"/>
    </row>
    <row r="508" spans="8:8" ht="15.75" hidden="1">
      <c r="F508" s="183"/>
      <c r="H508" s="185"/>
      <c r="I508" s="183"/>
      <c r="J508" s="183"/>
      <c r="K508" s="183"/>
      <c r="L508" s="183"/>
      <c r="N508" s="183"/>
      <c r="O508" s="183"/>
      <c r="P508" s="183"/>
      <c r="Q508" s="183"/>
      <c r="R508" s="183"/>
      <c r="S508" s="183"/>
      <c r="T508" s="183"/>
      <c r="U508" s="183"/>
      <c r="V508" s="183"/>
      <c r="W508" s="183"/>
      <c r="X508" s="183"/>
      <c r="Y508" s="183"/>
      <c r="Z508" s="183"/>
      <c r="AA508" s="183"/>
      <c r="AB508" s="183"/>
    </row>
    <row r="509" spans="8:8" ht="15.75" hidden="1">
      <c r="F509" s="183"/>
      <c r="H509" s="185"/>
      <c r="I509" s="183"/>
      <c r="J509" s="183"/>
      <c r="K509" s="183"/>
      <c r="L509" s="183"/>
      <c r="N509" s="183"/>
      <c r="O509" s="183"/>
      <c r="P509" s="183"/>
      <c r="Q509" s="183"/>
      <c r="R509" s="183"/>
      <c r="S509" s="183"/>
      <c r="T509" s="183"/>
      <c r="U509" s="183"/>
      <c r="V509" s="183"/>
      <c r="W509" s="183"/>
      <c r="X509" s="183"/>
      <c r="Y509" s="183"/>
      <c r="Z509" s="183"/>
      <c r="AA509" s="183"/>
      <c r="AB509" s="183"/>
    </row>
    <row r="510" spans="8:8" ht="15.75" hidden="1">
      <c r="F510" s="183"/>
      <c r="H510" s="185"/>
      <c r="I510" s="183"/>
      <c r="J510" s="183"/>
      <c r="K510" s="183"/>
      <c r="L510" s="183"/>
      <c r="N510" s="183"/>
      <c r="O510" s="183"/>
      <c r="P510" s="183"/>
      <c r="Q510" s="183"/>
      <c r="R510" s="183"/>
      <c r="S510" s="183"/>
      <c r="T510" s="183"/>
      <c r="U510" s="183"/>
      <c r="V510" s="183"/>
      <c r="W510" s="183"/>
      <c r="X510" s="183"/>
      <c r="Y510" s="183"/>
      <c r="Z510" s="183"/>
      <c r="AA510" s="183"/>
      <c r="AB510" s="183"/>
    </row>
    <row r="511" spans="8:8" ht="15.75" hidden="1">
      <c r="F511" s="183"/>
      <c r="H511" s="185"/>
      <c r="I511" s="183"/>
      <c r="J511" s="183"/>
      <c r="K511" s="183"/>
      <c r="L511" s="183"/>
      <c r="N511" s="183"/>
      <c r="O511" s="183"/>
      <c r="P511" s="183"/>
      <c r="Q511" s="183"/>
      <c r="R511" s="183"/>
      <c r="S511" s="183"/>
      <c r="T511" s="183"/>
      <c r="U511" s="183"/>
      <c r="V511" s="183"/>
      <c r="W511" s="183"/>
      <c r="X511" s="183"/>
      <c r="Y511" s="183"/>
      <c r="Z511" s="183"/>
      <c r="AA511" s="183"/>
      <c r="AB511" s="183"/>
    </row>
    <row r="512" spans="8:8" ht="15.75" hidden="1">
      <c r="F512" s="183"/>
      <c r="H512" s="185"/>
      <c r="I512" s="183"/>
      <c r="J512" s="183"/>
      <c r="K512" s="183"/>
      <c r="L512" s="183"/>
      <c r="N512" s="183"/>
      <c r="O512" s="183"/>
      <c r="P512" s="183"/>
      <c r="Q512" s="183"/>
      <c r="R512" s="183"/>
      <c r="S512" s="183"/>
      <c r="T512" s="183"/>
      <c r="U512" s="183"/>
      <c r="V512" s="183"/>
      <c r="W512" s="183"/>
      <c r="X512" s="183"/>
      <c r="Y512" s="183"/>
      <c r="Z512" s="183"/>
      <c r="AA512" s="183"/>
      <c r="AB512" s="183"/>
    </row>
    <row r="513" spans="8:8" ht="15.75" hidden="1">
      <c r="F513" s="183"/>
      <c r="H513" s="185"/>
      <c r="I513" s="183"/>
      <c r="J513" s="183"/>
      <c r="K513" s="183"/>
      <c r="L513" s="183"/>
      <c r="N513" s="183"/>
      <c r="O513" s="183"/>
      <c r="P513" s="183"/>
      <c r="Q513" s="183"/>
      <c r="R513" s="183"/>
      <c r="S513" s="183"/>
      <c r="T513" s="183"/>
      <c r="U513" s="183"/>
      <c r="V513" s="183"/>
      <c r="W513" s="183"/>
      <c r="X513" s="183"/>
      <c r="Y513" s="183"/>
      <c r="Z513" s="183"/>
      <c r="AA513" s="183"/>
      <c r="AB513" s="183"/>
    </row>
    <row r="514" spans="8:8" ht="15.75" hidden="1">
      <c r="F514" s="183"/>
      <c r="H514" s="185"/>
      <c r="I514" s="183"/>
      <c r="J514" s="183"/>
      <c r="K514" s="183"/>
      <c r="L514" s="183"/>
      <c r="N514" s="183"/>
      <c r="O514" s="183"/>
      <c r="P514" s="183"/>
      <c r="Q514" s="183"/>
      <c r="R514" s="183"/>
      <c r="S514" s="183"/>
      <c r="T514" s="183"/>
      <c r="U514" s="183"/>
      <c r="V514" s="183"/>
      <c r="W514" s="183"/>
      <c r="X514" s="183"/>
      <c r="Y514" s="183"/>
      <c r="Z514" s="183"/>
      <c r="AA514" s="183"/>
      <c r="AB514" s="183"/>
    </row>
    <row r="515" spans="8:8" ht="15.75" hidden="1">
      <c r="F515" s="183"/>
      <c r="H515" s="185"/>
      <c r="I515" s="183"/>
      <c r="J515" s="183"/>
      <c r="K515" s="183"/>
      <c r="L515" s="183"/>
      <c r="N515" s="183"/>
      <c r="O515" s="183"/>
      <c r="P515" s="183"/>
      <c r="Q515" s="183"/>
      <c r="R515" s="183"/>
      <c r="S515" s="183"/>
      <c r="T515" s="183"/>
      <c r="U515" s="183"/>
      <c r="V515" s="183"/>
      <c r="W515" s="183"/>
      <c r="X515" s="183"/>
      <c r="Y515" s="183"/>
      <c r="Z515" s="183"/>
      <c r="AA515" s="183"/>
      <c r="AB515" s="183"/>
    </row>
    <row r="516" spans="8:8" ht="15.75" hidden="1">
      <c r="F516" s="183"/>
      <c r="H516" s="185"/>
      <c r="I516" s="183"/>
      <c r="J516" s="183"/>
      <c r="K516" s="183"/>
      <c r="L516" s="183"/>
      <c r="N516" s="183"/>
      <c r="O516" s="183"/>
      <c r="P516" s="183"/>
      <c r="Q516" s="183"/>
      <c r="R516" s="183"/>
      <c r="S516" s="183"/>
      <c r="T516" s="183"/>
      <c r="U516" s="183"/>
      <c r="V516" s="183"/>
      <c r="W516" s="183"/>
      <c r="X516" s="183"/>
      <c r="Y516" s="183"/>
      <c r="Z516" s="183"/>
      <c r="AA516" s="183"/>
      <c r="AB516" s="183"/>
    </row>
    <row r="517" spans="8:8" ht="15.75" hidden="1">
      <c r="F517" s="183"/>
      <c r="H517" s="185"/>
      <c r="I517" s="183"/>
      <c r="J517" s="183"/>
      <c r="K517" s="183"/>
      <c r="L517" s="183"/>
      <c r="N517" s="183"/>
      <c r="O517" s="183"/>
      <c r="P517" s="183"/>
      <c r="Q517" s="183"/>
      <c r="R517" s="183"/>
      <c r="S517" s="183"/>
      <c r="T517" s="183"/>
      <c r="U517" s="183"/>
      <c r="V517" s="183"/>
      <c r="W517" s="183"/>
      <c r="X517" s="183"/>
      <c r="Y517" s="183"/>
      <c r="Z517" s="183"/>
      <c r="AA517" s="183"/>
      <c r="AB517" s="183"/>
    </row>
    <row r="518" spans="8:8" ht="15.75" hidden="1">
      <c r="F518" s="183"/>
      <c r="H518" s="185"/>
      <c r="I518" s="183"/>
      <c r="J518" s="183"/>
      <c r="K518" s="183"/>
      <c r="L518" s="183"/>
      <c r="N518" s="183"/>
      <c r="O518" s="183"/>
      <c r="P518" s="183"/>
      <c r="Q518" s="183"/>
      <c r="R518" s="183"/>
      <c r="S518" s="183"/>
      <c r="T518" s="183"/>
      <c r="U518" s="183"/>
      <c r="V518" s="183"/>
      <c r="W518" s="183"/>
      <c r="X518" s="183"/>
      <c r="Y518" s="183"/>
      <c r="Z518" s="183"/>
      <c r="AA518" s="183"/>
      <c r="AB518" s="183"/>
    </row>
    <row r="519" spans="8:8" ht="15.75" hidden="1">
      <c r="F519" s="183"/>
      <c r="H519" s="185"/>
      <c r="I519" s="183"/>
      <c r="J519" s="183"/>
      <c r="K519" s="183"/>
      <c r="L519" s="183"/>
      <c r="N519" s="183"/>
      <c r="O519" s="183"/>
      <c r="P519" s="183"/>
      <c r="Q519" s="183"/>
      <c r="R519" s="183"/>
      <c r="S519" s="183"/>
      <c r="T519" s="183"/>
      <c r="U519" s="183"/>
      <c r="V519" s="183"/>
      <c r="W519" s="183"/>
      <c r="X519" s="183"/>
      <c r="Y519" s="183"/>
      <c r="Z519" s="183"/>
      <c r="AA519" s="183"/>
      <c r="AB519" s="183"/>
    </row>
    <row r="520" spans="8:8" ht="15.75" hidden="1">
      <c r="F520" s="183"/>
      <c r="H520" s="185"/>
      <c r="I520" s="183"/>
      <c r="J520" s="183"/>
      <c r="K520" s="183"/>
      <c r="L520" s="183"/>
      <c r="N520" s="183"/>
      <c r="O520" s="183"/>
      <c r="P520" s="183"/>
      <c r="Q520" s="183"/>
      <c r="R520" s="183"/>
      <c r="S520" s="183"/>
      <c r="T520" s="183"/>
      <c r="U520" s="183"/>
      <c r="V520" s="183"/>
      <c r="W520" s="183"/>
      <c r="X520" s="183"/>
      <c r="Y520" s="183"/>
      <c r="Z520" s="183"/>
      <c r="AA520" s="183"/>
      <c r="AB520" s="183"/>
    </row>
    <row r="521" spans="8:8" ht="15.75" hidden="1">
      <c r="F521" s="183"/>
      <c r="H521" s="185"/>
      <c r="I521" s="183"/>
      <c r="J521" s="183"/>
      <c r="K521" s="183"/>
      <c r="L521" s="183"/>
      <c r="N521" s="183"/>
      <c r="O521" s="183"/>
      <c r="P521" s="183"/>
      <c r="Q521" s="183"/>
      <c r="R521" s="183"/>
      <c r="S521" s="183"/>
      <c r="T521" s="183"/>
      <c r="U521" s="183"/>
      <c r="V521" s="183"/>
      <c r="W521" s="183"/>
      <c r="X521" s="183"/>
      <c r="Y521" s="183"/>
      <c r="Z521" s="183"/>
      <c r="AA521" s="183"/>
      <c r="AB521" s="183"/>
    </row>
    <row r="522" spans="8:8" ht="15.75" hidden="1">
      <c r="F522" s="183"/>
      <c r="H522" s="185"/>
      <c r="I522" s="183"/>
      <c r="J522" s="183"/>
      <c r="K522" s="183"/>
      <c r="L522" s="183"/>
      <c r="N522" s="183"/>
      <c r="O522" s="183"/>
      <c r="P522" s="183"/>
      <c r="Q522" s="183"/>
      <c r="R522" s="183"/>
      <c r="S522" s="183"/>
      <c r="T522" s="183"/>
      <c r="U522" s="183"/>
      <c r="V522" s="183"/>
      <c r="W522" s="183"/>
      <c r="X522" s="183"/>
      <c r="Y522" s="183"/>
      <c r="Z522" s="183"/>
      <c r="AA522" s="183"/>
      <c r="AB522" s="183"/>
    </row>
    <row r="523" spans="8:8" ht="15.75" hidden="1">
      <c r="F523" s="183"/>
      <c r="H523" s="185"/>
      <c r="I523" s="183"/>
      <c r="J523" s="183"/>
      <c r="K523" s="183"/>
      <c r="L523" s="183"/>
      <c r="N523" s="183"/>
      <c r="O523" s="183"/>
      <c r="P523" s="183"/>
      <c r="Q523" s="183"/>
      <c r="R523" s="183"/>
      <c r="S523" s="183"/>
      <c r="T523" s="183"/>
      <c r="U523" s="183"/>
      <c r="V523" s="183"/>
      <c r="W523" s="183"/>
      <c r="X523" s="183"/>
      <c r="Y523" s="183"/>
      <c r="Z523" s="183"/>
      <c r="AA523" s="183"/>
      <c r="AB523" s="183"/>
    </row>
    <row r="524" spans="8:8" ht="15.75" hidden="1">
      <c r="F524" s="183"/>
      <c r="H524" s="185"/>
      <c r="I524" s="183"/>
      <c r="J524" s="183"/>
      <c r="K524" s="183"/>
      <c r="L524" s="183"/>
      <c r="N524" s="183"/>
      <c r="O524" s="183"/>
      <c r="P524" s="183"/>
      <c r="Q524" s="183"/>
      <c r="R524" s="183"/>
      <c r="S524" s="183"/>
      <c r="T524" s="183"/>
      <c r="U524" s="183"/>
      <c r="V524" s="183"/>
      <c r="W524" s="183"/>
      <c r="X524" s="183"/>
      <c r="Y524" s="183"/>
      <c r="Z524" s="183"/>
      <c r="AA524" s="183"/>
      <c r="AB524" s="183"/>
    </row>
    <row r="525" spans="8:8" ht="15.75" hidden="1">
      <c r="F525" s="183"/>
      <c r="H525" s="185"/>
      <c r="I525" s="183"/>
      <c r="J525" s="183"/>
      <c r="K525" s="183"/>
      <c r="L525" s="183"/>
      <c r="N525" s="183"/>
      <c r="O525" s="183"/>
      <c r="P525" s="183"/>
      <c r="Q525" s="183"/>
      <c r="R525" s="183"/>
      <c r="S525" s="183"/>
      <c r="T525" s="183"/>
      <c r="U525" s="183"/>
      <c r="V525" s="183"/>
      <c r="W525" s="183"/>
      <c r="X525" s="183"/>
      <c r="Y525" s="183"/>
      <c r="Z525" s="183"/>
      <c r="AA525" s="183"/>
      <c r="AB525" s="183"/>
    </row>
    <row r="526" spans="8:8" ht="15.75" hidden="1">
      <c r="F526" s="183"/>
      <c r="H526" s="185"/>
      <c r="I526" s="183"/>
      <c r="J526" s="183"/>
      <c r="K526" s="183"/>
      <c r="L526" s="183"/>
      <c r="N526" s="183"/>
      <c r="O526" s="183"/>
      <c r="P526" s="183"/>
      <c r="Q526" s="183"/>
      <c r="R526" s="183"/>
      <c r="S526" s="183"/>
      <c r="T526" s="183"/>
      <c r="U526" s="183"/>
      <c r="V526" s="183"/>
      <c r="W526" s="183"/>
      <c r="X526" s="183"/>
      <c r="Y526" s="183"/>
      <c r="Z526" s="183"/>
      <c r="AA526" s="183"/>
      <c r="AB526" s="183"/>
    </row>
    <row r="527" spans="8:8" ht="15.75" hidden="1">
      <c r="F527" s="183"/>
      <c r="H527" s="185"/>
      <c r="I527" s="183"/>
      <c r="J527" s="183"/>
      <c r="K527" s="183"/>
      <c r="L527" s="183"/>
      <c r="N527" s="183"/>
      <c r="O527" s="183"/>
      <c r="P527" s="183"/>
      <c r="Q527" s="183"/>
      <c r="R527" s="183"/>
      <c r="S527" s="183"/>
      <c r="T527" s="183"/>
      <c r="U527" s="183"/>
      <c r="V527" s="183"/>
      <c r="W527" s="183"/>
      <c r="X527" s="183"/>
      <c r="Y527" s="183"/>
      <c r="Z527" s="183"/>
      <c r="AA527" s="183"/>
      <c r="AB527" s="183"/>
    </row>
    <row r="528" spans="8:8" ht="15.75" hidden="1">
      <c r="F528" s="183"/>
      <c r="H528" s="185"/>
      <c r="I528" s="183"/>
      <c r="J528" s="183"/>
      <c r="K528" s="183"/>
      <c r="L528" s="183"/>
      <c r="N528" s="183"/>
      <c r="O528" s="183"/>
      <c r="P528" s="183"/>
      <c r="Q528" s="183"/>
      <c r="R528" s="183"/>
      <c r="S528" s="183"/>
      <c r="T528" s="183"/>
      <c r="U528" s="183"/>
      <c r="V528" s="183"/>
      <c r="W528" s="183"/>
      <c r="X528" s="183"/>
      <c r="Y528" s="183"/>
      <c r="Z528" s="183"/>
      <c r="AA528" s="183"/>
      <c r="AB528" s="183"/>
    </row>
    <row r="529" spans="8:8" ht="15.75" hidden="1">
      <c r="F529" s="183"/>
      <c r="H529" s="185"/>
      <c r="I529" s="183"/>
      <c r="J529" s="183"/>
      <c r="K529" s="183"/>
      <c r="L529" s="183"/>
      <c r="N529" s="183"/>
      <c r="O529" s="183"/>
      <c r="P529" s="183"/>
      <c r="Q529" s="183"/>
      <c r="R529" s="183"/>
      <c r="S529" s="183"/>
      <c r="T529" s="183"/>
      <c r="U529" s="183"/>
      <c r="V529" s="183"/>
      <c r="W529" s="183"/>
      <c r="X529" s="183"/>
      <c r="Y529" s="183"/>
      <c r="Z529" s="183"/>
      <c r="AA529" s="183"/>
      <c r="AB529" s="183"/>
    </row>
    <row r="530" spans="8:8" ht="15.75" hidden="1">
      <c r="F530" s="183"/>
      <c r="H530" s="185"/>
      <c r="I530" s="183"/>
      <c r="J530" s="183"/>
      <c r="K530" s="183"/>
      <c r="L530" s="183"/>
      <c r="N530" s="183"/>
      <c r="O530" s="183"/>
      <c r="P530" s="183"/>
      <c r="Q530" s="183"/>
      <c r="R530" s="183"/>
      <c r="S530" s="183"/>
      <c r="T530" s="183"/>
      <c r="U530" s="183"/>
      <c r="V530" s="183"/>
      <c r="W530" s="183"/>
      <c r="X530" s="183"/>
      <c r="Y530" s="183"/>
      <c r="Z530" s="183"/>
      <c r="AA530" s="183"/>
      <c r="AB530" s="183"/>
    </row>
    <row r="531" spans="8:8" ht="15.75" hidden="1">
      <c r="F531" s="183"/>
      <c r="H531" s="185"/>
      <c r="I531" s="183"/>
      <c r="J531" s="183"/>
      <c r="K531" s="183"/>
      <c r="L531" s="183"/>
      <c r="N531" s="183"/>
      <c r="O531" s="183"/>
      <c r="P531" s="183"/>
      <c r="Q531" s="183"/>
      <c r="R531" s="183"/>
      <c r="S531" s="183"/>
      <c r="T531" s="183"/>
      <c r="U531" s="183"/>
      <c r="V531" s="183"/>
      <c r="W531" s="183"/>
      <c r="X531" s="183"/>
      <c r="Y531" s="183"/>
      <c r="Z531" s="183"/>
      <c r="AA531" s="183"/>
      <c r="AB531" s="183"/>
    </row>
    <row r="532" spans="8:8" ht="15.75" hidden="1">
      <c r="F532" s="183"/>
      <c r="H532" s="185"/>
      <c r="I532" s="183"/>
      <c r="J532" s="183"/>
      <c r="K532" s="183"/>
      <c r="L532" s="183"/>
      <c r="N532" s="183"/>
      <c r="O532" s="183"/>
      <c r="P532" s="183"/>
      <c r="Q532" s="183"/>
      <c r="R532" s="183"/>
      <c r="S532" s="183"/>
      <c r="T532" s="183"/>
      <c r="U532" s="183"/>
      <c r="V532" s="183"/>
      <c r="W532" s="183"/>
      <c r="X532" s="183"/>
      <c r="Y532" s="183"/>
      <c r="Z532" s="183"/>
      <c r="AA532" s="183"/>
      <c r="AB532" s="183"/>
    </row>
    <row r="533" spans="8:8" ht="15.75" hidden="1">
      <c r="F533" s="183"/>
      <c r="H533" s="185"/>
      <c r="I533" s="183"/>
      <c r="J533" s="183"/>
      <c r="K533" s="183"/>
      <c r="L533" s="183"/>
      <c r="N533" s="183"/>
      <c r="O533" s="183"/>
      <c r="P533" s="183"/>
      <c r="Q533" s="183"/>
      <c r="R533" s="183"/>
      <c r="S533" s="183"/>
      <c r="T533" s="183"/>
      <c r="U533" s="183"/>
      <c r="V533" s="183"/>
      <c r="W533" s="183"/>
      <c r="X533" s="183"/>
      <c r="Y533" s="183"/>
      <c r="Z533" s="183"/>
      <c r="AA533" s="183"/>
      <c r="AB533" s="183"/>
    </row>
    <row r="534" spans="8:8" ht="15.75" hidden="1">
      <c r="F534" s="183"/>
      <c r="H534" s="185"/>
      <c r="I534" s="183"/>
      <c r="J534" s="183"/>
      <c r="K534" s="183"/>
      <c r="L534" s="183"/>
      <c r="N534" s="183"/>
      <c r="O534" s="183"/>
      <c r="P534" s="183"/>
      <c r="Q534" s="183"/>
      <c r="R534" s="183"/>
      <c r="S534" s="183"/>
      <c r="T534" s="183"/>
      <c r="U534" s="183"/>
      <c r="V534" s="183"/>
      <c r="W534" s="183"/>
      <c r="X534" s="183"/>
      <c r="Y534" s="183"/>
      <c r="Z534" s="183"/>
      <c r="AA534" s="183"/>
      <c r="AB534" s="183"/>
    </row>
    <row r="535" spans="8:8" ht="15.75" hidden="1">
      <c r="F535" s="183"/>
      <c r="H535" s="185"/>
      <c r="I535" s="183"/>
      <c r="J535" s="183"/>
      <c r="K535" s="183"/>
      <c r="L535" s="183"/>
      <c r="N535" s="183"/>
      <c r="O535" s="183"/>
      <c r="P535" s="183"/>
      <c r="Q535" s="183"/>
      <c r="R535" s="183"/>
      <c r="S535" s="183"/>
      <c r="T535" s="183"/>
      <c r="U535" s="183"/>
      <c r="V535" s="183"/>
      <c r="W535" s="183"/>
      <c r="X535" s="183"/>
      <c r="Y535" s="183"/>
      <c r="Z535" s="183"/>
      <c r="AA535" s="183"/>
      <c r="AB535" s="183"/>
    </row>
    <row r="536" spans="8:8" ht="15.75" hidden="1">
      <c r="F536" s="183"/>
      <c r="H536" s="185"/>
      <c r="I536" s="183"/>
      <c r="J536" s="183"/>
      <c r="K536" s="183"/>
      <c r="L536" s="183"/>
      <c r="N536" s="183"/>
      <c r="O536" s="183"/>
      <c r="P536" s="183"/>
      <c r="Q536" s="183"/>
      <c r="R536" s="183"/>
      <c r="S536" s="183"/>
      <c r="T536" s="183"/>
      <c r="U536" s="183"/>
      <c r="V536" s="183"/>
      <c r="W536" s="183"/>
      <c r="X536" s="183"/>
      <c r="Y536" s="183"/>
      <c r="Z536" s="183"/>
      <c r="AA536" s="183"/>
      <c r="AB536" s="183"/>
    </row>
    <row r="537" spans="8:8" ht="15.75" hidden="1">
      <c r="F537" s="183"/>
      <c r="H537" s="185"/>
      <c r="I537" s="183"/>
      <c r="J537" s="183"/>
      <c r="K537" s="183"/>
      <c r="L537" s="183"/>
      <c r="N537" s="183"/>
      <c r="O537" s="183"/>
      <c r="P537" s="183"/>
      <c r="Q537" s="183"/>
      <c r="R537" s="183"/>
      <c r="S537" s="183"/>
      <c r="T537" s="183"/>
      <c r="U537" s="183"/>
      <c r="V537" s="183"/>
      <c r="W537" s="183"/>
      <c r="X537" s="183"/>
      <c r="Y537" s="183"/>
      <c r="Z537" s="183"/>
      <c r="AA537" s="183"/>
      <c r="AB537" s="183"/>
    </row>
    <row r="538" spans="8:8" ht="15.75" hidden="1">
      <c r="F538" s="183"/>
      <c r="H538" s="185"/>
      <c r="I538" s="183"/>
      <c r="J538" s="183"/>
      <c r="K538" s="183"/>
      <c r="L538" s="183"/>
      <c r="N538" s="183"/>
      <c r="O538" s="183"/>
      <c r="P538" s="183"/>
      <c r="Q538" s="183"/>
      <c r="R538" s="183"/>
      <c r="S538" s="183"/>
      <c r="T538" s="183"/>
      <c r="U538" s="183"/>
      <c r="V538" s="183"/>
      <c r="W538" s="183"/>
      <c r="X538" s="183"/>
      <c r="Y538" s="183"/>
      <c r="Z538" s="183"/>
      <c r="AA538" s="183"/>
      <c r="AB538" s="183"/>
    </row>
    <row r="539" spans="8:8" ht="15.75" hidden="1">
      <c r="F539" s="183"/>
      <c r="H539" s="185"/>
      <c r="I539" s="183"/>
      <c r="J539" s="183"/>
      <c r="K539" s="183"/>
      <c r="L539" s="183"/>
      <c r="N539" s="183"/>
      <c r="O539" s="183"/>
      <c r="P539" s="183"/>
      <c r="Q539" s="183"/>
      <c r="R539" s="183"/>
      <c r="S539" s="183"/>
      <c r="T539" s="183"/>
      <c r="U539" s="183"/>
      <c r="V539" s="183"/>
      <c r="W539" s="183"/>
      <c r="X539" s="183"/>
      <c r="Y539" s="183"/>
      <c r="Z539" s="183"/>
      <c r="AA539" s="183"/>
      <c r="AB539" s="183"/>
    </row>
    <row r="540" spans="8:8" ht="15.75" hidden="1">
      <c r="F540" s="183"/>
      <c r="H540" s="185"/>
      <c r="I540" s="183"/>
      <c r="J540" s="183"/>
      <c r="K540" s="183"/>
      <c r="L540" s="183"/>
      <c r="N540" s="183"/>
      <c r="O540" s="183"/>
      <c r="P540" s="183"/>
      <c r="Q540" s="183"/>
      <c r="R540" s="183"/>
      <c r="S540" s="183"/>
      <c r="T540" s="183"/>
      <c r="U540" s="183"/>
      <c r="V540" s="183"/>
      <c r="W540" s="183"/>
      <c r="X540" s="183"/>
      <c r="Y540" s="183"/>
      <c r="Z540" s="183"/>
      <c r="AA540" s="183"/>
      <c r="AB540" s="183"/>
    </row>
    <row r="541" spans="8:8" ht="15.75" hidden="1">
      <c r="F541" s="183"/>
      <c r="H541" s="185"/>
      <c r="I541" s="183"/>
      <c r="J541" s="183"/>
      <c r="K541" s="183"/>
      <c r="L541" s="183"/>
      <c r="N541" s="183"/>
      <c r="O541" s="183"/>
      <c r="P541" s="183"/>
      <c r="Q541" s="183"/>
      <c r="R541" s="183"/>
      <c r="S541" s="183"/>
      <c r="T541" s="183"/>
      <c r="U541" s="183"/>
      <c r="V541" s="183"/>
      <c r="W541" s="183"/>
      <c r="X541" s="183"/>
      <c r="Y541" s="183"/>
      <c r="Z541" s="183"/>
      <c r="AA541" s="183"/>
      <c r="AB541" s="183"/>
    </row>
    <row r="542" spans="8:8" ht="15.75" hidden="1">
      <c r="F542" s="183"/>
      <c r="H542" s="185"/>
      <c r="I542" s="183"/>
      <c r="J542" s="183"/>
      <c r="K542" s="183"/>
      <c r="L542" s="183"/>
      <c r="N542" s="183"/>
      <c r="O542" s="183"/>
      <c r="P542" s="183"/>
      <c r="Q542" s="183"/>
      <c r="R542" s="183"/>
      <c r="S542" s="183"/>
      <c r="T542" s="183"/>
      <c r="U542" s="183"/>
      <c r="V542" s="183"/>
      <c r="W542" s="183"/>
      <c r="X542" s="183"/>
      <c r="Y542" s="183"/>
      <c r="Z542" s="183"/>
      <c r="AA542" s="183"/>
      <c r="AB542" s="183"/>
    </row>
    <row r="543" spans="8:8" ht="15.75" hidden="1">
      <c r="F543" s="183"/>
      <c r="H543" s="185"/>
      <c r="I543" s="183"/>
      <c r="J543" s="183"/>
      <c r="K543" s="183"/>
      <c r="L543" s="183"/>
      <c r="N543" s="183"/>
      <c r="O543" s="183"/>
      <c r="P543" s="183"/>
      <c r="Q543" s="183"/>
      <c r="R543" s="183"/>
      <c r="S543" s="183"/>
      <c r="T543" s="183"/>
      <c r="U543" s="183"/>
      <c r="V543" s="183"/>
      <c r="W543" s="183"/>
      <c r="X543" s="183"/>
      <c r="Y543" s="183"/>
      <c r="Z543" s="183"/>
      <c r="AA543" s="183"/>
      <c r="AB543" s="183"/>
    </row>
    <row r="544" spans="8:8" ht="15.75" hidden="1">
      <c r="F544" s="183"/>
      <c r="H544" s="185"/>
      <c r="I544" s="183"/>
      <c r="J544" s="183"/>
      <c r="K544" s="183"/>
      <c r="L544" s="183"/>
      <c r="N544" s="183"/>
      <c r="O544" s="183"/>
      <c r="P544" s="183"/>
      <c r="Q544" s="183"/>
      <c r="R544" s="183"/>
      <c r="S544" s="183"/>
      <c r="T544" s="183"/>
      <c r="U544" s="183"/>
      <c r="V544" s="183"/>
      <c r="W544" s="183"/>
      <c r="X544" s="183"/>
      <c r="Y544" s="183"/>
      <c r="Z544" s="183"/>
      <c r="AA544" s="183"/>
      <c r="AB544" s="183"/>
    </row>
    <row r="545" spans="8:8" ht="15.75" hidden="1">
      <c r="F545" s="183"/>
      <c r="H545" s="185"/>
      <c r="I545" s="183"/>
      <c r="J545" s="183"/>
      <c r="K545" s="183"/>
      <c r="L545" s="183"/>
      <c r="N545" s="183"/>
      <c r="O545" s="183"/>
      <c r="P545" s="183"/>
      <c r="Q545" s="183"/>
      <c r="R545" s="183"/>
      <c r="S545" s="183"/>
      <c r="T545" s="183"/>
      <c r="U545" s="183"/>
      <c r="V545" s="183"/>
      <c r="W545" s="183"/>
      <c r="X545" s="183"/>
      <c r="Y545" s="183"/>
      <c r="Z545" s="183"/>
      <c r="AA545" s="183"/>
      <c r="AB545" s="183"/>
    </row>
    <row r="546" spans="8:8" ht="15.75" hidden="1">
      <c r="F546" s="183"/>
      <c r="H546" s="185"/>
      <c r="I546" s="183"/>
      <c r="J546" s="183"/>
      <c r="K546" s="183"/>
      <c r="L546" s="183"/>
      <c r="N546" s="183"/>
      <c r="O546" s="183"/>
      <c r="P546" s="183"/>
      <c r="Q546" s="183"/>
      <c r="R546" s="183"/>
      <c r="S546" s="183"/>
      <c r="T546" s="183"/>
      <c r="U546" s="183"/>
      <c r="V546" s="183"/>
      <c r="W546" s="183"/>
      <c r="X546" s="183"/>
      <c r="Y546" s="183"/>
      <c r="Z546" s="183"/>
      <c r="AA546" s="183"/>
      <c r="AB546" s="183"/>
    </row>
    <row r="547" spans="8:8" ht="15.75" hidden="1">
      <c r="F547" s="183"/>
      <c r="H547" s="185"/>
      <c r="I547" s="183"/>
      <c r="J547" s="183"/>
      <c r="K547" s="183"/>
      <c r="L547" s="183"/>
      <c r="N547" s="183"/>
      <c r="O547" s="183"/>
      <c r="P547" s="183"/>
      <c r="Q547" s="183"/>
      <c r="R547" s="183"/>
      <c r="S547" s="183"/>
      <c r="T547" s="183"/>
      <c r="U547" s="183"/>
      <c r="V547" s="183"/>
      <c r="W547" s="183"/>
      <c r="X547" s="183"/>
      <c r="Y547" s="183"/>
      <c r="Z547" s="183"/>
      <c r="AA547" s="183"/>
      <c r="AB547" s="183"/>
    </row>
    <row r="548" spans="8:8" ht="15.75" hidden="1">
      <c r="F548" s="183"/>
      <c r="H548" s="185"/>
      <c r="I548" s="183"/>
      <c r="J548" s="183"/>
      <c r="K548" s="183"/>
      <c r="L548" s="183"/>
      <c r="N548" s="183"/>
      <c r="O548" s="183"/>
      <c r="P548" s="183"/>
      <c r="Q548" s="183"/>
      <c r="R548" s="183"/>
      <c r="S548" s="183"/>
      <c r="T548" s="183"/>
      <c r="U548" s="183"/>
      <c r="V548" s="183"/>
      <c r="W548" s="183"/>
      <c r="X548" s="183"/>
      <c r="Y548" s="183"/>
      <c r="Z548" s="183"/>
      <c r="AA548" s="183"/>
      <c r="AB548" s="183"/>
    </row>
    <row r="549" spans="8:8" ht="15.75" hidden="1">
      <c r="F549" s="183"/>
      <c r="H549" s="185"/>
      <c r="I549" s="183"/>
      <c r="J549" s="183"/>
      <c r="K549" s="183"/>
      <c r="L549" s="183"/>
      <c r="N549" s="183"/>
      <c r="O549" s="183"/>
      <c r="P549" s="183"/>
      <c r="Q549" s="183"/>
      <c r="R549" s="183"/>
      <c r="S549" s="183"/>
      <c r="T549" s="183"/>
      <c r="U549" s="183"/>
      <c r="V549" s="183"/>
      <c r="W549" s="183"/>
      <c r="X549" s="183"/>
      <c r="Y549" s="183"/>
      <c r="Z549" s="183"/>
      <c r="AA549" s="183"/>
      <c r="AB549" s="183"/>
    </row>
    <row r="550" spans="8:8" ht="15.75" hidden="1">
      <c r="F550" s="183"/>
      <c r="H550" s="185"/>
      <c r="I550" s="183"/>
      <c r="J550" s="183"/>
      <c r="K550" s="183"/>
      <c r="L550" s="183"/>
      <c r="N550" s="183"/>
      <c r="O550" s="183"/>
      <c r="P550" s="183"/>
      <c r="Q550" s="183"/>
      <c r="R550" s="183"/>
      <c r="S550" s="183"/>
      <c r="T550" s="183"/>
      <c r="U550" s="183"/>
      <c r="V550" s="183"/>
      <c r="W550" s="183"/>
      <c r="X550" s="183"/>
      <c r="Y550" s="183"/>
      <c r="Z550" s="183"/>
      <c r="AA550" s="183"/>
      <c r="AB550" s="183"/>
    </row>
    <row r="551" spans="8:8" ht="15.75" hidden="1">
      <c r="F551" s="183"/>
      <c r="H551" s="185"/>
      <c r="I551" s="183"/>
      <c r="J551" s="183"/>
      <c r="K551" s="183"/>
      <c r="L551" s="183"/>
      <c r="N551" s="183"/>
      <c r="O551" s="183"/>
      <c r="P551" s="183"/>
      <c r="Q551" s="183"/>
      <c r="R551" s="183"/>
      <c r="S551" s="183"/>
      <c r="T551" s="183"/>
      <c r="U551" s="183"/>
      <c r="V551" s="183"/>
      <c r="W551" s="183"/>
      <c r="X551" s="183"/>
      <c r="Y551" s="183"/>
      <c r="Z551" s="183"/>
      <c r="AA551" s="183"/>
      <c r="AB551" s="183"/>
    </row>
    <row r="552" spans="8:8" ht="15.75" hidden="1">
      <c r="F552" s="183"/>
      <c r="H552" s="185"/>
      <c r="I552" s="183"/>
      <c r="J552" s="183"/>
      <c r="K552" s="183"/>
      <c r="L552" s="183"/>
      <c r="N552" s="183"/>
      <c r="O552" s="183"/>
      <c r="P552" s="183"/>
      <c r="Q552" s="183"/>
      <c r="R552" s="183"/>
      <c r="S552" s="183"/>
      <c r="T552" s="183"/>
      <c r="U552" s="183"/>
      <c r="V552" s="183"/>
      <c r="W552" s="183"/>
      <c r="X552" s="183"/>
      <c r="Y552" s="183"/>
      <c r="Z552" s="183"/>
      <c r="AA552" s="183"/>
      <c r="AB552" s="183"/>
    </row>
    <row r="553" spans="8:8" ht="15.75" hidden="1">
      <c r="F553" s="183"/>
      <c r="H553" s="185"/>
      <c r="I553" s="183"/>
      <c r="J553" s="183"/>
      <c r="K553" s="183"/>
      <c r="L553" s="183"/>
      <c r="N553" s="183"/>
      <c r="O553" s="183"/>
      <c r="P553" s="183"/>
      <c r="Q553" s="183"/>
      <c r="R553" s="183"/>
      <c r="S553" s="183"/>
      <c r="T553" s="183"/>
      <c r="U553" s="183"/>
      <c r="V553" s="183"/>
      <c r="W553" s="183"/>
      <c r="X553" s="183"/>
      <c r="Y553" s="183"/>
      <c r="Z553" s="183"/>
      <c r="AA553" s="183"/>
      <c r="AB553" s="183"/>
    </row>
    <row r="554" spans="8:8" ht="15.75" hidden="1">
      <c r="F554" s="183"/>
      <c r="H554" s="185"/>
      <c r="I554" s="183"/>
      <c r="J554" s="183"/>
      <c r="K554" s="183"/>
      <c r="L554" s="183"/>
      <c r="N554" s="183"/>
      <c r="O554" s="183"/>
      <c r="P554" s="183"/>
      <c r="Q554" s="183"/>
      <c r="R554" s="183"/>
      <c r="S554" s="183"/>
      <c r="T554" s="183"/>
      <c r="U554" s="183"/>
      <c r="V554" s="183"/>
      <c r="W554" s="183"/>
      <c r="X554" s="183"/>
      <c r="Y554" s="183"/>
      <c r="Z554" s="183"/>
      <c r="AA554" s="183"/>
      <c r="AB554" s="183"/>
    </row>
    <row r="555" spans="8:8" ht="15.75" hidden="1">
      <c r="F555" s="183"/>
      <c r="H555" s="185"/>
      <c r="I555" s="183"/>
      <c r="J555" s="183"/>
      <c r="K555" s="183"/>
      <c r="L555" s="183"/>
      <c r="N555" s="183"/>
      <c r="O555" s="183"/>
      <c r="P555" s="183"/>
      <c r="Q555" s="183"/>
      <c r="R555" s="183"/>
      <c r="S555" s="183"/>
      <c r="T555" s="183"/>
      <c r="U555" s="183"/>
      <c r="V555" s="183"/>
      <c r="W555" s="183"/>
      <c r="X555" s="183"/>
      <c r="Y555" s="183"/>
      <c r="Z555" s="183"/>
      <c r="AA555" s="183"/>
      <c r="AB555" s="183"/>
    </row>
    <row r="556" spans="8:8" ht="15.75" hidden="1">
      <c r="F556" s="183"/>
      <c r="H556" s="185"/>
      <c r="I556" s="183"/>
      <c r="J556" s="183"/>
      <c r="K556" s="183"/>
      <c r="L556" s="183"/>
      <c r="N556" s="183"/>
      <c r="O556" s="183"/>
      <c r="P556" s="183"/>
      <c r="Q556" s="183"/>
      <c r="R556" s="183"/>
      <c r="S556" s="183"/>
      <c r="T556" s="183"/>
      <c r="U556" s="183"/>
      <c r="V556" s="183"/>
      <c r="W556" s="183"/>
      <c r="X556" s="183"/>
      <c r="Y556" s="183"/>
      <c r="Z556" s="183"/>
      <c r="AA556" s="183"/>
      <c r="AB556" s="183"/>
    </row>
    <row r="557" spans="8:8" ht="15.75" hidden="1">
      <c r="F557" s="183"/>
      <c r="H557" s="185"/>
      <c r="I557" s="183"/>
      <c r="J557" s="183"/>
      <c r="K557" s="183"/>
      <c r="L557" s="183"/>
      <c r="N557" s="183"/>
      <c r="O557" s="183"/>
      <c r="P557" s="183"/>
      <c r="Q557" s="183"/>
      <c r="R557" s="183"/>
      <c r="S557" s="183"/>
      <c r="T557" s="183"/>
      <c r="U557" s="183"/>
      <c r="V557" s="183"/>
      <c r="W557" s="183"/>
      <c r="X557" s="183"/>
      <c r="Y557" s="183"/>
      <c r="Z557" s="183"/>
      <c r="AA557" s="183"/>
      <c r="AB557" s="183"/>
    </row>
    <row r="558" spans="8:8" ht="15.75" hidden="1">
      <c r="F558" s="183"/>
      <c r="H558" s="185"/>
      <c r="I558" s="183"/>
      <c r="J558" s="183"/>
      <c r="K558" s="183"/>
      <c r="L558" s="183"/>
      <c r="N558" s="183"/>
      <c r="O558" s="183"/>
      <c r="P558" s="183"/>
      <c r="Q558" s="183"/>
      <c r="R558" s="183"/>
      <c r="S558" s="183"/>
      <c r="T558" s="183"/>
      <c r="U558" s="183"/>
      <c r="V558" s="183"/>
      <c r="W558" s="183"/>
      <c r="X558" s="183"/>
      <c r="Y558" s="183"/>
      <c r="Z558" s="183"/>
      <c r="AA558" s="183"/>
      <c r="AB558" s="183"/>
    </row>
    <row r="559" spans="8:8" ht="15.75" hidden="1">
      <c r="F559" s="183"/>
      <c r="H559" s="185"/>
      <c r="I559" s="183"/>
      <c r="J559" s="183"/>
      <c r="K559" s="183"/>
      <c r="L559" s="183"/>
      <c r="N559" s="183"/>
      <c r="O559" s="183"/>
      <c r="P559" s="183"/>
      <c r="Q559" s="183"/>
      <c r="R559" s="183"/>
      <c r="S559" s="183"/>
      <c r="T559" s="183"/>
      <c r="U559" s="183"/>
      <c r="V559" s="183"/>
      <c r="W559" s="183"/>
      <c r="X559" s="183"/>
      <c r="Y559" s="183"/>
      <c r="Z559" s="183"/>
      <c r="AA559" s="183"/>
      <c r="AB559" s="183"/>
    </row>
    <row r="560" spans="8:8" ht="15.75" hidden="1">
      <c r="F560" s="183"/>
      <c r="H560" s="185"/>
      <c r="I560" s="183"/>
      <c r="J560" s="183"/>
      <c r="K560" s="183"/>
      <c r="L560" s="183"/>
      <c r="N560" s="183"/>
      <c r="O560" s="183"/>
      <c r="P560" s="183"/>
      <c r="Q560" s="183"/>
      <c r="R560" s="183"/>
      <c r="S560" s="183"/>
      <c r="T560" s="183"/>
      <c r="U560" s="183"/>
      <c r="V560" s="183"/>
      <c r="W560" s="183"/>
      <c r="X560" s="183"/>
      <c r="Y560" s="183"/>
      <c r="Z560" s="183"/>
      <c r="AA560" s="183"/>
      <c r="AB560" s="183"/>
    </row>
    <row r="561" spans="8:8" ht="15.75" hidden="1">
      <c r="F561" s="183"/>
      <c r="H561" s="185"/>
      <c r="I561" s="183"/>
      <c r="J561" s="183"/>
      <c r="K561" s="183"/>
      <c r="L561" s="183"/>
      <c r="N561" s="183"/>
      <c r="O561" s="183"/>
      <c r="P561" s="183"/>
      <c r="Q561" s="183"/>
      <c r="R561" s="183"/>
      <c r="S561" s="183"/>
      <c r="T561" s="183"/>
      <c r="U561" s="183"/>
      <c r="V561" s="183"/>
      <c r="W561" s="183"/>
      <c r="X561" s="183"/>
      <c r="Y561" s="183"/>
      <c r="Z561" s="183"/>
      <c r="AA561" s="183"/>
      <c r="AB561" s="183"/>
    </row>
    <row r="562" spans="8:8" ht="15.75" hidden="1">
      <c r="F562" s="183"/>
      <c r="H562" s="185"/>
      <c r="I562" s="183"/>
      <c r="J562" s="183"/>
      <c r="K562" s="183"/>
      <c r="L562" s="183"/>
      <c r="N562" s="183"/>
      <c r="O562" s="183"/>
      <c r="P562" s="183"/>
      <c r="Q562" s="183"/>
      <c r="R562" s="183"/>
      <c r="S562" s="183"/>
      <c r="T562" s="183"/>
      <c r="U562" s="183"/>
      <c r="V562" s="183"/>
      <c r="W562" s="183"/>
      <c r="X562" s="183"/>
      <c r="Y562" s="183"/>
      <c r="Z562" s="183"/>
      <c r="AA562" s="183"/>
      <c r="AB562" s="183"/>
    </row>
    <row r="563" spans="8:8" ht="15.75" hidden="1">
      <c r="F563" s="183"/>
      <c r="H563" s="185"/>
      <c r="I563" s="183"/>
      <c r="J563" s="183"/>
      <c r="K563" s="183"/>
      <c r="L563" s="183"/>
      <c r="N563" s="183"/>
      <c r="O563" s="183"/>
      <c r="P563" s="183"/>
      <c r="Q563" s="183"/>
      <c r="R563" s="183"/>
      <c r="S563" s="183"/>
      <c r="T563" s="183"/>
      <c r="U563" s="183"/>
      <c r="V563" s="183"/>
      <c r="W563" s="183"/>
      <c r="X563" s="183"/>
      <c r="Y563" s="183"/>
      <c r="Z563" s="183"/>
      <c r="AA563" s="183"/>
      <c r="AB563" s="183"/>
    </row>
    <row r="564" spans="8:8" ht="15.75" hidden="1">
      <c r="F564" s="183"/>
      <c r="H564" s="185"/>
      <c r="I564" s="183"/>
      <c r="J564" s="183"/>
      <c r="K564" s="183"/>
      <c r="L564" s="183"/>
      <c r="N564" s="183"/>
      <c r="O564" s="183"/>
      <c r="P564" s="183"/>
      <c r="Q564" s="183"/>
      <c r="R564" s="183"/>
      <c r="S564" s="183"/>
      <c r="T564" s="183"/>
      <c r="U564" s="183"/>
      <c r="V564" s="183"/>
      <c r="W564" s="183"/>
      <c r="X564" s="183"/>
      <c r="Y564" s="183"/>
      <c r="Z564" s="183"/>
      <c r="AA564" s="183"/>
      <c r="AB564" s="183"/>
    </row>
    <row r="565" spans="8:8" ht="15.75" hidden="1">
      <c r="F565" s="183"/>
      <c r="H565" s="185"/>
      <c r="I565" s="183"/>
      <c r="J565" s="183"/>
      <c r="K565" s="183"/>
      <c r="L565" s="183"/>
      <c r="N565" s="183"/>
      <c r="O565" s="183"/>
      <c r="P565" s="183"/>
      <c r="Q565" s="183"/>
      <c r="R565" s="183"/>
      <c r="S565" s="183"/>
      <c r="T565" s="183"/>
      <c r="U565" s="183"/>
      <c r="V565" s="183"/>
      <c r="W565" s="183"/>
      <c r="X565" s="183"/>
      <c r="Y565" s="183"/>
      <c r="Z565" s="183"/>
      <c r="AA565" s="183"/>
      <c r="AB565" s="183"/>
    </row>
    <row r="566" spans="8:8" ht="15.75" hidden="1">
      <c r="F566" s="183"/>
      <c r="H566" s="185"/>
      <c r="I566" s="183"/>
      <c r="J566" s="183"/>
      <c r="K566" s="183"/>
      <c r="L566" s="183"/>
      <c r="N566" s="183"/>
      <c r="O566" s="183"/>
      <c r="P566" s="183"/>
      <c r="Q566" s="183"/>
      <c r="R566" s="183"/>
      <c r="S566" s="183"/>
      <c r="T566" s="183"/>
      <c r="U566" s="183"/>
      <c r="V566" s="183"/>
      <c r="W566" s="183"/>
      <c r="X566" s="183"/>
      <c r="Y566" s="183"/>
      <c r="Z566" s="183"/>
      <c r="AA566" s="183"/>
      <c r="AB566" s="183"/>
    </row>
    <row r="567" spans="8:8" ht="15.75" hidden="1">
      <c r="F567" s="183"/>
      <c r="H567" s="185"/>
      <c r="I567" s="183"/>
      <c r="J567" s="183"/>
      <c r="K567" s="183"/>
      <c r="L567" s="183"/>
      <c r="N567" s="183"/>
      <c r="O567" s="183"/>
      <c r="P567" s="183"/>
      <c r="Q567" s="183"/>
      <c r="R567" s="183"/>
      <c r="S567" s="183"/>
      <c r="T567" s="183"/>
      <c r="U567" s="183"/>
      <c r="V567" s="183"/>
      <c r="W567" s="183"/>
      <c r="X567" s="183"/>
      <c r="Y567" s="183"/>
      <c r="Z567" s="183"/>
      <c r="AA567" s="183"/>
      <c r="AB567" s="183"/>
    </row>
    <row r="568" spans="8:8" ht="15.75" hidden="1">
      <c r="F568" s="183"/>
      <c r="H568" s="185"/>
      <c r="I568" s="183"/>
      <c r="J568" s="183"/>
      <c r="K568" s="183"/>
      <c r="L568" s="183"/>
      <c r="N568" s="183"/>
      <c r="O568" s="183"/>
      <c r="P568" s="183"/>
      <c r="Q568" s="183"/>
      <c r="R568" s="183"/>
      <c r="S568" s="183"/>
      <c r="T568" s="183"/>
      <c r="U568" s="183"/>
      <c r="V568" s="183"/>
      <c r="W568" s="183"/>
      <c r="X568" s="183"/>
      <c r="Y568" s="183"/>
      <c r="Z568" s="183"/>
      <c r="AA568" s="183"/>
      <c r="AB568" s="183"/>
    </row>
    <row r="569" spans="8:8" ht="15.75" hidden="1">
      <c r="F569" s="183"/>
      <c r="H569" s="185"/>
      <c r="I569" s="183"/>
      <c r="J569" s="183"/>
      <c r="K569" s="183"/>
      <c r="L569" s="183"/>
      <c r="N569" s="183"/>
      <c r="O569" s="183"/>
      <c r="P569" s="183"/>
      <c r="Q569" s="183"/>
      <c r="R569" s="183"/>
      <c r="S569" s="183"/>
      <c r="T569" s="183"/>
      <c r="U569" s="183"/>
      <c r="V569" s="183"/>
      <c r="W569" s="183"/>
      <c r="X569" s="183"/>
      <c r="Y569" s="183"/>
      <c r="Z569" s="183"/>
      <c r="AA569" s="183"/>
      <c r="AB569" s="183"/>
    </row>
    <row r="570" spans="8:8" ht="15.75" hidden="1">
      <c r="F570" s="183"/>
      <c r="H570" s="185"/>
      <c r="I570" s="183"/>
      <c r="J570" s="183"/>
      <c r="K570" s="183"/>
      <c r="L570" s="183"/>
      <c r="N570" s="183"/>
      <c r="O570" s="183"/>
      <c r="P570" s="183"/>
      <c r="Q570" s="183"/>
      <c r="R570" s="183"/>
      <c r="S570" s="183"/>
      <c r="T570" s="183"/>
      <c r="U570" s="183"/>
      <c r="V570" s="183"/>
      <c r="W570" s="183"/>
      <c r="X570" s="183"/>
      <c r="Y570" s="183"/>
      <c r="Z570" s="183"/>
      <c r="AA570" s="183"/>
      <c r="AB570" s="183"/>
    </row>
    <row r="571" spans="8:8" ht="15.75" hidden="1">
      <c r="F571" s="183"/>
      <c r="H571" s="185"/>
      <c r="I571" s="183"/>
      <c r="J571" s="183"/>
      <c r="K571" s="183"/>
      <c r="L571" s="183"/>
      <c r="N571" s="183"/>
      <c r="O571" s="183"/>
      <c r="P571" s="183"/>
      <c r="Q571" s="183"/>
      <c r="R571" s="183"/>
      <c r="S571" s="183"/>
      <c r="T571" s="183"/>
      <c r="U571" s="183"/>
      <c r="V571" s="183"/>
      <c r="W571" s="183"/>
      <c r="X571" s="183"/>
      <c r="Y571" s="183"/>
      <c r="Z571" s="183"/>
      <c r="AA571" s="183"/>
      <c r="AB571" s="183"/>
    </row>
    <row r="572" spans="8:8" ht="15.75" hidden="1">
      <c r="F572" s="183"/>
      <c r="H572" s="185"/>
      <c r="I572" s="183"/>
      <c r="J572" s="183"/>
      <c r="K572" s="183"/>
      <c r="L572" s="183"/>
      <c r="N572" s="183"/>
      <c r="O572" s="183"/>
      <c r="P572" s="183"/>
      <c r="Q572" s="183"/>
      <c r="R572" s="183"/>
      <c r="S572" s="183"/>
      <c r="T572" s="183"/>
      <c r="U572" s="183"/>
      <c r="V572" s="183"/>
      <c r="W572" s="183"/>
      <c r="X572" s="183"/>
      <c r="Y572" s="183"/>
      <c r="Z572" s="183"/>
      <c r="AA572" s="183"/>
      <c r="AB572" s="183"/>
    </row>
    <row r="573" spans="8:8" ht="15.75" hidden="1">
      <c r="F573" s="183"/>
      <c r="H573" s="185"/>
      <c r="I573" s="183"/>
      <c r="J573" s="183"/>
      <c r="K573" s="183"/>
      <c r="L573" s="183"/>
      <c r="N573" s="183"/>
      <c r="O573" s="183"/>
      <c r="P573" s="183"/>
      <c r="Q573" s="183"/>
      <c r="R573" s="183"/>
      <c r="S573" s="183"/>
      <c r="T573" s="183"/>
      <c r="U573" s="183"/>
      <c r="V573" s="183"/>
      <c r="W573" s="183"/>
      <c r="X573" s="183"/>
      <c r="Y573" s="183"/>
      <c r="Z573" s="183"/>
      <c r="AA573" s="183"/>
      <c r="AB573" s="183"/>
    </row>
    <row r="574" spans="8:8" ht="15.75" hidden="1">
      <c r="F574" s="183"/>
      <c r="H574" s="185"/>
      <c r="I574" s="183"/>
      <c r="J574" s="183"/>
      <c r="K574" s="183"/>
      <c r="L574" s="183"/>
      <c r="N574" s="183"/>
      <c r="O574" s="183"/>
      <c r="P574" s="183"/>
      <c r="Q574" s="183"/>
      <c r="R574" s="183"/>
      <c r="S574" s="183"/>
      <c r="T574" s="183"/>
      <c r="U574" s="183"/>
      <c r="V574" s="183"/>
      <c r="W574" s="183"/>
      <c r="X574" s="183"/>
      <c r="Y574" s="183"/>
      <c r="Z574" s="183"/>
      <c r="AA574" s="183"/>
      <c r="AB574" s="183"/>
    </row>
    <row r="575" spans="8:8" ht="15.75" hidden="1">
      <c r="F575" s="183"/>
      <c r="H575" s="185"/>
      <c r="I575" s="183"/>
      <c r="J575" s="183"/>
      <c r="K575" s="183"/>
      <c r="L575" s="183"/>
      <c r="N575" s="183"/>
      <c r="O575" s="183"/>
      <c r="P575" s="183"/>
      <c r="Q575" s="183"/>
      <c r="R575" s="183"/>
      <c r="S575" s="183"/>
      <c r="T575" s="183"/>
      <c r="U575" s="183"/>
      <c r="V575" s="183"/>
      <c r="W575" s="183"/>
      <c r="X575" s="183"/>
      <c r="Y575" s="183"/>
      <c r="Z575" s="183"/>
      <c r="AA575" s="183"/>
      <c r="AB575" s="183"/>
    </row>
    <row r="576" spans="8:8" ht="15.75" hidden="1">
      <c r="F576" s="183"/>
      <c r="H576" s="185"/>
      <c r="I576" s="183"/>
      <c r="J576" s="183"/>
      <c r="K576" s="183"/>
      <c r="L576" s="183"/>
      <c r="N576" s="183"/>
      <c r="O576" s="183"/>
      <c r="P576" s="183"/>
      <c r="Q576" s="183"/>
      <c r="R576" s="183"/>
      <c r="S576" s="183"/>
      <c r="T576" s="183"/>
      <c r="U576" s="183"/>
      <c r="V576" s="183"/>
      <c r="W576" s="183"/>
      <c r="X576" s="183"/>
      <c r="Y576" s="183"/>
      <c r="Z576" s="183"/>
      <c r="AA576" s="183"/>
      <c r="AB576" s="183"/>
    </row>
    <row r="577" spans="8:8" ht="15.75" hidden="1">
      <c r="F577" s="183"/>
      <c r="H577" s="185"/>
      <c r="I577" s="183"/>
      <c r="J577" s="183"/>
      <c r="K577" s="183"/>
      <c r="L577" s="183"/>
      <c r="N577" s="183"/>
      <c r="O577" s="183"/>
      <c r="P577" s="183"/>
      <c r="Q577" s="183"/>
      <c r="R577" s="183"/>
      <c r="S577" s="183"/>
      <c r="T577" s="183"/>
      <c r="U577" s="183"/>
      <c r="V577" s="183"/>
      <c r="W577" s="183"/>
      <c r="X577" s="183"/>
      <c r="Y577" s="183"/>
      <c r="Z577" s="183"/>
      <c r="AA577" s="183"/>
      <c r="AB577" s="183"/>
    </row>
    <row r="578" spans="8:8" ht="15.75" hidden="1">
      <c r="F578" s="183"/>
      <c r="H578" s="185"/>
      <c r="I578" s="183"/>
      <c r="J578" s="183"/>
      <c r="K578" s="183"/>
      <c r="L578" s="183"/>
      <c r="N578" s="183"/>
      <c r="O578" s="183"/>
      <c r="P578" s="183"/>
      <c r="Q578" s="183"/>
      <c r="R578" s="183"/>
      <c r="S578" s="183"/>
      <c r="T578" s="183"/>
      <c r="U578" s="183"/>
      <c r="V578" s="183"/>
      <c r="W578" s="183"/>
      <c r="X578" s="183"/>
      <c r="Y578" s="183"/>
      <c r="Z578" s="183"/>
      <c r="AA578" s="183"/>
      <c r="AB578" s="183"/>
    </row>
    <row r="579" spans="8:8" ht="15.75" hidden="1">
      <c r="F579" s="183"/>
      <c r="H579" s="185"/>
      <c r="I579" s="183"/>
      <c r="J579" s="183"/>
      <c r="K579" s="183"/>
      <c r="L579" s="183"/>
      <c r="N579" s="183"/>
      <c r="O579" s="183"/>
      <c r="P579" s="183"/>
      <c r="Q579" s="183"/>
      <c r="R579" s="183"/>
      <c r="S579" s="183"/>
      <c r="T579" s="183"/>
      <c r="U579" s="183"/>
      <c r="V579" s="183"/>
      <c r="W579" s="183"/>
      <c r="X579" s="183"/>
      <c r="Y579" s="183"/>
      <c r="Z579" s="183"/>
      <c r="AA579" s="183"/>
      <c r="AB579" s="183"/>
    </row>
    <row r="580" spans="8:8" ht="15.75" hidden="1">
      <c r="F580" s="183"/>
      <c r="H580" s="185"/>
      <c r="I580" s="183"/>
      <c r="J580" s="183"/>
      <c r="K580" s="183"/>
      <c r="L580" s="183"/>
      <c r="N580" s="183"/>
      <c r="O580" s="183"/>
      <c r="P580" s="183"/>
      <c r="Q580" s="183"/>
      <c r="R580" s="183"/>
      <c r="S580" s="183"/>
      <c r="T580" s="183"/>
      <c r="U580" s="183"/>
      <c r="V580" s="183"/>
      <c r="W580" s="183"/>
      <c r="X580" s="183"/>
      <c r="Y580" s="183"/>
      <c r="Z580" s="183"/>
      <c r="AA580" s="183"/>
      <c r="AB580" s="183"/>
    </row>
    <row r="581" spans="8:8" ht="15.75" hidden="1">
      <c r="F581" s="183"/>
      <c r="H581" s="185"/>
      <c r="I581" s="183"/>
      <c r="J581" s="183"/>
      <c r="K581" s="183"/>
      <c r="L581" s="183"/>
      <c r="N581" s="183"/>
      <c r="O581" s="183"/>
      <c r="P581" s="183"/>
      <c r="Q581" s="183"/>
      <c r="R581" s="183"/>
      <c r="S581" s="183"/>
      <c r="T581" s="183"/>
      <c r="U581" s="183"/>
      <c r="V581" s="183"/>
      <c r="W581" s="183"/>
      <c r="X581" s="183"/>
      <c r="Y581" s="183"/>
      <c r="Z581" s="183"/>
      <c r="AA581" s="183"/>
      <c r="AB581" s="183"/>
    </row>
    <row r="582" spans="8:8" ht="15.75" hidden="1">
      <c r="F582" s="183"/>
      <c r="H582" s="185"/>
      <c r="I582" s="183"/>
      <c r="J582" s="183"/>
      <c r="K582" s="183"/>
      <c r="L582" s="183"/>
      <c r="N582" s="183"/>
      <c r="O582" s="183"/>
      <c r="P582" s="183"/>
      <c r="Q582" s="183"/>
      <c r="R582" s="183"/>
      <c r="S582" s="183"/>
      <c r="T582" s="183"/>
      <c r="U582" s="183"/>
      <c r="V582" s="183"/>
      <c r="W582" s="183"/>
      <c r="X582" s="183"/>
      <c r="Y582" s="183"/>
      <c r="Z582" s="183"/>
      <c r="AA582" s="183"/>
      <c r="AB582" s="183"/>
    </row>
    <row r="583" spans="8:8" ht="15.75" hidden="1">
      <c r="F583" s="183"/>
      <c r="H583" s="185"/>
      <c r="I583" s="183"/>
      <c r="J583" s="183"/>
      <c r="K583" s="183"/>
      <c r="L583" s="183"/>
      <c r="N583" s="183"/>
      <c r="O583" s="183"/>
      <c r="P583" s="183"/>
      <c r="Q583" s="183"/>
      <c r="R583" s="183"/>
      <c r="S583" s="183"/>
      <c r="T583" s="183"/>
      <c r="U583" s="183"/>
      <c r="V583" s="183"/>
      <c r="W583" s="183"/>
      <c r="X583" s="183"/>
      <c r="Y583" s="183"/>
      <c r="Z583" s="183"/>
      <c r="AA583" s="183"/>
      <c r="AB583" s="183"/>
    </row>
    <row r="584" spans="8:8" ht="15.75" hidden="1">
      <c r="F584" s="183"/>
      <c r="H584" s="185"/>
      <c r="I584" s="183"/>
      <c r="J584" s="183"/>
      <c r="K584" s="183"/>
      <c r="L584" s="183"/>
      <c r="N584" s="183"/>
      <c r="O584" s="183"/>
      <c r="P584" s="183"/>
      <c r="Q584" s="183"/>
      <c r="R584" s="183"/>
      <c r="S584" s="183"/>
      <c r="T584" s="183"/>
      <c r="U584" s="183"/>
      <c r="V584" s="183"/>
      <c r="W584" s="183"/>
      <c r="X584" s="183"/>
      <c r="Y584" s="183"/>
      <c r="Z584" s="183"/>
      <c r="AA584" s="183"/>
      <c r="AB584" s="183"/>
    </row>
    <row r="585" spans="8:8" ht="15.75" hidden="1">
      <c r="F585" s="183"/>
      <c r="H585" s="185"/>
      <c r="I585" s="183"/>
      <c r="J585" s="183"/>
      <c r="K585" s="183"/>
      <c r="L585" s="183"/>
      <c r="N585" s="183"/>
      <c r="O585" s="183"/>
      <c r="P585" s="183"/>
      <c r="Q585" s="183"/>
      <c r="R585" s="183"/>
      <c r="S585" s="183"/>
      <c r="T585" s="183"/>
      <c r="U585" s="183"/>
      <c r="V585" s="183"/>
      <c r="W585" s="183"/>
      <c r="X585" s="183"/>
      <c r="Y585" s="183"/>
      <c r="Z585" s="183"/>
      <c r="AA585" s="183"/>
      <c r="AB585" s="183"/>
    </row>
    <row r="586" spans="8:8" ht="23.25" hidden="1" customHeight="1">
      <c r="F586" s="183"/>
      <c r="H586" s="185"/>
      <c r="I586" s="183"/>
      <c r="J586" s="183"/>
      <c r="K586" s="183"/>
      <c r="L586" s="183"/>
      <c r="N586" s="183"/>
      <c r="O586" s="183"/>
      <c r="P586" s="183"/>
      <c r="Q586" s="183"/>
      <c r="R586" s="183"/>
      <c r="S586" s="183"/>
      <c r="T586" s="183"/>
      <c r="U586" s="183"/>
      <c r="V586" s="183"/>
      <c r="W586" s="183"/>
      <c r="X586" s="183"/>
      <c r="Y586" s="183"/>
      <c r="Z586" s="183"/>
      <c r="AA586" s="183"/>
      <c r="AB586" s="183"/>
    </row>
  </sheetData>
  <sheetProtection password="cda0" sheet="1" objects="1" scenarios="1"/>
  <mergeCells count="24">
    <mergeCell ref="A26:D26"/>
    <mergeCell ref="A2:F2"/>
    <mergeCell ref="F12:F14"/>
    <mergeCell ref="A23:D23"/>
    <mergeCell ref="A21:B21"/>
    <mergeCell ref="A35:B35"/>
    <mergeCell ref="A1:F1"/>
    <mergeCell ref="E21:F25"/>
    <mergeCell ref="F16:F18"/>
    <mergeCell ref="A24:B24"/>
    <mergeCell ref="F19:F20"/>
    <mergeCell ref="A44:F44"/>
    <mergeCell ref="A22:B22"/>
    <mergeCell ref="B38:F38"/>
    <mergeCell ref="A25:B25"/>
    <mergeCell ref="A36:B36"/>
    <mergeCell ref="A28:B28"/>
    <mergeCell ref="A27:B27"/>
    <mergeCell ref="A34:B34"/>
    <mergeCell ref="A30:B30"/>
    <mergeCell ref="A32:B32"/>
    <mergeCell ref="A31:B31"/>
    <mergeCell ref="A29:B29"/>
    <mergeCell ref="A33:B33"/>
  </mergeCells>
  <conditionalFormatting sqref="A21:D22">
    <cfRule type="expression" priority="4" stopIfTrue="1" dxfId="3">
      <formula>$A$21="Income Tax Payable (Old Tax Regime)"</formula>
    </cfRule>
    <cfRule type="expression" priority="3" stopIfTrue="1" dxfId="4">
      <formula>$A$21="Income Tax Refundable (Old Tax Regime)"</formula>
    </cfRule>
  </conditionalFormatting>
  <dataValidations count="12">
    <dataValidation allowBlank="1" type="whole" operator="between" errorStyle="stop" showInputMessage="1" showErrorMessage="1" errorTitle="ARTICLE 80DDB" sqref="E13">
      <formula1>0</formula1>
      <formula2>I13</formula2>
    </dataValidation>
    <dataValidation allowBlank="1" type="whole" operator="between" errorStyle="stop" showInputMessage="1" showErrorMessage="1" errorTitle="ARTICLE 80D" sqref="E11">
      <formula1>0</formula1>
      <formula2>50000</formula2>
    </dataValidation>
    <dataValidation allowBlank="1" type="list" errorStyle="stop" showInputMessage="1" showErrorMessage="1" sqref="E3">
      <formula1>"0,75000,50000"</formula1>
    </dataValidation>
    <dataValidation allowBlank="1" type="whole" operator="lessThanOrEqual" errorStyle="stop" showInputMessage="1" showErrorMessage="1" sqref="E16">
      <formula1>125000</formula1>
    </dataValidation>
    <dataValidation allowBlank="1" type="whole" operator="between" errorStyle="stop" showInputMessage="1" showErrorMessage="1" errorTitle="ARTICLE 80DD" sqref="E12">
      <formula1>0</formula1>
      <formula2>125000</formula2>
    </dataValidation>
    <dataValidation allowBlank="1" type="whole" operator="between" errorStyle="stop" showInputMessage="1" showErrorMessage="1" sqref="E20">
      <formula1>0</formula1>
      <formula2>14400</formula2>
    </dataValidation>
    <dataValidation allowBlank="1" type="whole" operator="lessThanOrEqual" errorStyle="stop" showInputMessage="1" showErrorMessage="1" error="Maximum 2 lakh allowed " sqref="B9">
      <formula1>200000</formula1>
    </dataValidation>
    <dataValidation allowBlank="1" type="whole" operator="lessThanOrEqual" errorStyle="stop" showInputMessage="1" showErrorMessage="1" error="max 5000 allowed" sqref="B4">
      <formula1>5000</formula1>
    </dataValidation>
    <dataValidation allowBlank="1" type="whole" operator="greaterThanOrEqual" errorStyle="stop" showInputMessage="1" showErrorMessage="1" sqref="B7">
      <formula1>0</formula1>
    </dataValidation>
    <dataValidation allowBlank="1" type="whole" operator="lessThanOrEqual" errorStyle="stop" showInputMessage="1" showErrorMessage="1" errorTitle="Sorry...!!! Not Allow" error="HRA Rebate Permissible up to Actual HRA Recieved" sqref="C19:C20">
      <formula1>G44</formula1>
    </dataValidation>
    <dataValidation allowBlank="1" type="whole" operator="lessThanOrEqual" errorStyle="stop" showInputMessage="1" showErrorMessage="1" errorTitle="Sorry...!!! Not Allow" error="HRA Rebate Permissible up to Actual HRA Recieved" sqref="C3:C6">
      <formula1>G20</formula1>
    </dataValidation>
    <dataValidation allowBlank="1" type="whole" operator="lessThanOrEqual" errorStyle="stop" showInputMessage="1" showErrorMessage="1" errorTitle="Sorry...!!! Not Allow" error="HRA Rebate Permissible up to Actual HRA Recieved" sqref="C7:C18">
      <formula1>G26</formula1>
    </dataValidation>
  </dataValidations>
  <printOptions horizontalCentered="1"/>
  <pageMargins left="0.16" right="0.16" top="0.3" bottom="0.196850393700787" header="0.0" footer="0.0"/>
  <pageSetup paperSize="9" scale="84" orientation="landscape" blackAndWhite="1"/>
  <headerFooter alignWithMargins="0"/>
  <drawing r:id="rId1"/>
</worksheet>
</file>

<file path=xl/worksheets/sheet5.xml><?xml version="1.0" encoding="utf-8"?>
<worksheet xmlns:r="http://schemas.openxmlformats.org/officeDocument/2006/relationships" xmlns="http://schemas.openxmlformats.org/spreadsheetml/2006/main">
  <dimension ref="A1:P24"/>
  <sheetViews>
    <sheetView workbookViewId="0" topLeftCell="C1" showGridLines="0" showRowColHeaders="0">
      <selection activeCell="D21" sqref="D21:E21"/>
    </sheetView>
  </sheetViews>
  <sheetFormatPr defaultRowHeight="12.75" defaultColWidth="0" zeroHeight="1"/>
  <cols>
    <col min="1" max="1" customWidth="1" width="3.2851562" style="306"/>
    <col min="2" max="2" customWidth="1" width="24.140625" style="306"/>
    <col min="3" max="3" customWidth="1" width="9.425781" style="306"/>
    <col min="4" max="4" customWidth="1" width="13.140625" style="306"/>
    <col min="5" max="5" customWidth="1" width="13.425781" style="306"/>
    <col min="6" max="6" customWidth="1" width="2.8554688" style="306"/>
    <col min="7" max="7" customWidth="1" width="71.0" style="306"/>
    <col min="8" max="8" customWidth="1" width="29.570312" style="306"/>
    <col min="9" max="9" customWidth="1" width="3.140625" style="306"/>
    <col min="10" max="12" hidden="1" customWidth="1" width="9.140625" style="306"/>
    <col min="13" max="13" hidden="1" customWidth="1" width="0.0" style="306"/>
    <col min="14" max="14" customWidth="1" width="9.140625" style="306"/>
    <col min="15" max="16384" hidden="1" customWidth="0" width="9.140625" style="306"/>
  </cols>
  <sheetData>
    <row r="1" spans="8:8" ht="13.5">
      <c r="A1" s="307"/>
      <c r="B1" s="307"/>
      <c r="C1" s="307"/>
      <c r="D1" s="307"/>
      <c r="E1" s="307"/>
      <c r="F1" s="307"/>
      <c r="G1" s="307"/>
      <c r="H1" s="307"/>
      <c r="I1" s="307"/>
    </row>
    <row r="2" spans="8:8" ht="27.0">
      <c r="A2" s="307"/>
      <c r="B2" s="308" t="s">
        <v>487</v>
      </c>
      <c r="C2" s="308"/>
      <c r="D2" s="308"/>
      <c r="E2" s="308"/>
      <c r="F2" s="308"/>
      <c r="G2" s="308"/>
      <c r="H2" s="308"/>
      <c r="I2" s="309"/>
    </row>
    <row r="3" spans="8:8" ht="31.5" customHeight="1">
      <c r="A3" s="307"/>
      <c r="B3" s="310" t="s">
        <v>488</v>
      </c>
      <c r="C3" s="310"/>
      <c r="D3" s="310"/>
      <c r="E3" s="310"/>
      <c r="F3" s="310"/>
      <c r="G3" s="310"/>
      <c r="H3" s="310"/>
      <c r="I3" s="311"/>
    </row>
    <row r="4" spans="8:8" ht="34.5" customHeight="1">
      <c r="A4" s="307"/>
      <c r="B4" s="312" t="s">
        <v>463</v>
      </c>
      <c r="C4" s="313" t="s">
        <v>491</v>
      </c>
      <c r="D4" s="314" t="s">
        <v>489</v>
      </c>
      <c r="E4" s="315" t="s">
        <v>83</v>
      </c>
      <c r="F4" s="316"/>
      <c r="G4" s="317" t="s">
        <v>493</v>
      </c>
      <c r="H4" s="317"/>
      <c r="I4" s="318"/>
    </row>
    <row r="5" spans="8:8" ht="24.0" customHeight="1">
      <c r="A5" s="307"/>
      <c r="B5" s="319" t="s">
        <v>464</v>
      </c>
      <c r="C5" s="320" t="s">
        <v>144</v>
      </c>
      <c r="D5" s="321">
        <f>IF(C5="YES",'GA-55'!D8+'GA-55'!E8,0)</f>
        <v>109800.0</v>
      </c>
      <c r="E5" s="321">
        <f>IF(D5="","",IF(C5="YES",'GA-55'!F8,"0"))</f>
        <v>6588.0</v>
      </c>
      <c r="F5" s="316"/>
      <c r="G5" s="317"/>
      <c r="H5" s="317"/>
      <c r="I5" s="318"/>
    </row>
    <row r="6" spans="8:8" ht="24.0" customHeight="1">
      <c r="A6" s="307"/>
      <c r="B6" s="319" t="s">
        <v>465</v>
      </c>
      <c r="C6" s="320" t="s">
        <v>144</v>
      </c>
      <c r="D6" s="321">
        <f>IF(C6="YES",'GA-55'!D9+'GA-55'!E9,0)</f>
        <v>109800.0</v>
      </c>
      <c r="E6" s="321">
        <f>IF(D6="","",IF(C6="YES",'GA-55'!F9,"0"))</f>
        <v>6588.0</v>
      </c>
      <c r="F6" s="316"/>
      <c r="G6" s="322" t="s">
        <v>492</v>
      </c>
      <c r="H6" s="322"/>
      <c r="I6" s="323"/>
    </row>
    <row r="7" spans="8:8" ht="24.0" customHeight="1">
      <c r="A7" s="307"/>
      <c r="B7" s="319" t="s">
        <v>466</v>
      </c>
      <c r="C7" s="320" t="s">
        <v>144</v>
      </c>
      <c r="D7" s="321">
        <f>IF(C7="YES",'GA-55'!D10+'GA-55'!E10,0)</f>
        <v>109800.0</v>
      </c>
      <c r="E7" s="321">
        <f>IF(D7="","",IF(C7="YES",'GA-55'!F10,"0"))</f>
        <v>6588.0</v>
      </c>
      <c r="F7" s="316"/>
      <c r="G7" s="322"/>
      <c r="H7" s="322"/>
      <c r="I7" s="323"/>
    </row>
    <row r="8" spans="8:8" ht="24.0" customHeight="1">
      <c r="A8" s="307"/>
      <c r="B8" s="319" t="s">
        <v>467</v>
      </c>
      <c r="C8" s="320" t="s">
        <v>144</v>
      </c>
      <c r="D8" s="321">
        <f>IF(C8="YES",'GA-55'!D11+'GA-55'!E11,0)</f>
        <v>109800.0</v>
      </c>
      <c r="E8" s="321">
        <f>IF(D8="","",IF(C8="YES",'GA-55'!F11,"0"))</f>
        <v>6588.0</v>
      </c>
      <c r="F8" s="316"/>
      <c r="G8" s="322"/>
      <c r="H8" s="322"/>
      <c r="I8" s="324"/>
    </row>
    <row r="9" spans="8:8" ht="24.0" customHeight="1">
      <c r="A9" s="307"/>
      <c r="B9" s="319" t="s">
        <v>468</v>
      </c>
      <c r="C9" s="320" t="s">
        <v>144</v>
      </c>
      <c r="D9" s="321">
        <f>IF(C9="YES",'GA-55'!D12+'GA-55'!E12,0)</f>
        <v>113100.0</v>
      </c>
      <c r="E9" s="321">
        <f>IF(D9="","",IF(C9="YES",'GA-55'!F12,"0"))</f>
        <v>6786.0</v>
      </c>
      <c r="F9" s="316"/>
      <c r="G9" s="325" t="s">
        <v>482</v>
      </c>
      <c r="H9" s="326">
        <v>18852.0</v>
      </c>
      <c r="I9" s="327"/>
      <c r="M9" s="328"/>
    </row>
    <row r="10" spans="8:8" ht="24.0" customHeight="1">
      <c r="A10" s="307"/>
      <c r="B10" s="319" t="s">
        <v>469</v>
      </c>
      <c r="C10" s="320" t="s">
        <v>144</v>
      </c>
      <c r="D10" s="321">
        <f>IF(C10="YES",'GA-55'!D13+'GA-55'!E13,0)</f>
        <v>113100.0</v>
      </c>
      <c r="E10" s="321">
        <f>IF(D10="","",IF(C10="YES",'GA-55'!F13,"0"))</f>
        <v>6786.0</v>
      </c>
      <c r="F10" s="316"/>
      <c r="G10" s="325" t="s">
        <v>483</v>
      </c>
      <c r="H10" s="329">
        <f>IF((H9*C17)&gt;D19*10%,MIN(ROUND(H9*C17-(D19)*10%,0),H19,H12),0)</f>
        <v>83656.0</v>
      </c>
      <c r="I10" s="327"/>
    </row>
    <row r="11" spans="8:8" ht="24.0" customHeight="1">
      <c r="A11" s="307"/>
      <c r="B11" s="319" t="s">
        <v>470</v>
      </c>
      <c r="C11" s="320" t="s">
        <v>144</v>
      </c>
      <c r="D11" s="321">
        <f>IF(C11="YES",'GA-55'!D14+'GA-55'!E14,0)</f>
        <v>113100.0</v>
      </c>
      <c r="E11" s="321">
        <f>IF(D11="","",IF(C11="YES",'GA-55'!F14,"0"))</f>
        <v>6786.0</v>
      </c>
      <c r="F11" s="316"/>
      <c r="G11" s="330" t="s">
        <v>611</v>
      </c>
      <c r="H11" s="330"/>
      <c r="I11" s="327"/>
    </row>
    <row r="12" spans="8:8" ht="24.0" customHeight="1">
      <c r="A12" s="307"/>
      <c r="B12" s="319" t="s">
        <v>471</v>
      </c>
      <c r="C12" s="320" t="s">
        <v>144</v>
      </c>
      <c r="D12" s="321">
        <f>IF(C12="YES",'GA-55'!D15+'GA-55'!E15,0)</f>
        <v>113100.0</v>
      </c>
      <c r="E12" s="321">
        <f>IF(D12="","",IF(C12="YES",'GA-55'!F15,"0"))</f>
        <v>6786.0</v>
      </c>
      <c r="F12" s="316"/>
      <c r="G12" s="325" t="s">
        <v>484</v>
      </c>
      <c r="H12" s="331">
        <f>E19</f>
        <v>83656.0</v>
      </c>
      <c r="I12" s="327"/>
    </row>
    <row r="13" spans="8:8" ht="24.0" customHeight="1">
      <c r="A13" s="307"/>
      <c r="B13" s="319" t="s">
        <v>472</v>
      </c>
      <c r="C13" s="320" t="s">
        <v>144</v>
      </c>
      <c r="D13" s="321">
        <f>IF(C13="YES",'GA-55'!D16+'GA-55'!E16,0)</f>
        <v>115362.0</v>
      </c>
      <c r="E13" s="321">
        <f>IF(D13="","",IF(C13="YES",'GA-55'!F16,"0"))</f>
        <v>7540.0</v>
      </c>
      <c r="F13" s="316"/>
      <c r="G13" s="330" t="s">
        <v>611</v>
      </c>
      <c r="H13" s="330"/>
      <c r="I13" s="327"/>
    </row>
    <row r="14" spans="8:8" ht="24.0" customHeight="1">
      <c r="A14" s="307"/>
      <c r="B14" s="319" t="s">
        <v>473</v>
      </c>
      <c r="C14" s="320" t="s">
        <v>144</v>
      </c>
      <c r="D14" s="321">
        <f>IF(C14="YES",'GA-55'!D17+'GA-55'!E17,0)</f>
        <v>115362.0</v>
      </c>
      <c r="E14" s="321">
        <f>IF(D14="","",IF(C14="YES",'GA-55'!F17,"0"))</f>
        <v>7540.0</v>
      </c>
      <c r="F14" s="316"/>
      <c r="G14" s="325" t="s">
        <v>494</v>
      </c>
      <c r="H14" s="332">
        <f>ROUND(((10%*D19)+E19),0)</f>
        <v>226219.0</v>
      </c>
      <c r="I14" s="327"/>
      <c r="M14" s="333" t="s">
        <v>481</v>
      </c>
    </row>
    <row r="15" spans="8:8" ht="24.0" customHeight="1">
      <c r="A15" s="307"/>
      <c r="B15" s="319" t="s">
        <v>474</v>
      </c>
      <c r="C15" s="320" t="s">
        <v>144</v>
      </c>
      <c r="D15" s="321">
        <f>IF(C15="YES",'GA-55'!D18+'GA-55'!E18,0)</f>
        <v>115362.0</v>
      </c>
      <c r="E15" s="321">
        <f>IF(D15="","",IF(C15="YES",'GA-55'!F18,"0"))</f>
        <v>7540.0</v>
      </c>
      <c r="F15" s="316"/>
      <c r="G15" s="330" t="s">
        <v>612</v>
      </c>
      <c r="H15" s="330"/>
      <c r="I15" s="334"/>
      <c r="M15" s="333" t="s">
        <v>476</v>
      </c>
    </row>
    <row r="16" spans="8:8" ht="24.0" customHeight="1">
      <c r="A16" s="307"/>
      <c r="B16" s="319" t="s">
        <v>475</v>
      </c>
      <c r="C16" s="320" t="s">
        <v>144</v>
      </c>
      <c r="D16" s="321">
        <f>IF(C16="YES",'GA-55'!D19+'GA-55'!E19,0)</f>
        <v>115362.0</v>
      </c>
      <c r="E16" s="321">
        <f>IF(D16="","",IF(C16="YES",'GA-55'!F19,"0"))</f>
        <v>7540.0</v>
      </c>
      <c r="F16" s="316"/>
      <c r="G16" s="325" t="s">
        <v>485</v>
      </c>
      <c r="H16" s="335">
        <f>ROUND(H14/C17,0)</f>
        <v>18852.0</v>
      </c>
      <c r="I16" s="334"/>
      <c r="M16" s="333" t="s">
        <v>477</v>
      </c>
    </row>
    <row r="17" spans="8:8" ht="24.0" customHeight="1">
      <c r="A17" s="307"/>
      <c r="B17" s="319" t="s">
        <v>34</v>
      </c>
      <c r="C17" s="336">
        <f>COUNTIF(C5:C16,"YES")</f>
        <v>12.0</v>
      </c>
      <c r="D17" s="337">
        <f>SUM(D5:D16)</f>
        <v>1353048.0</v>
      </c>
      <c r="E17" s="337">
        <f>SUM(E5:E16)</f>
        <v>83656.0</v>
      </c>
      <c r="F17" s="316"/>
      <c r="G17" s="330" t="s">
        <v>613</v>
      </c>
      <c r="H17" s="330"/>
      <c r="I17" s="327"/>
      <c r="M17" s="333" t="s">
        <v>478</v>
      </c>
    </row>
    <row r="18" spans="8:8" ht="54.0" customHeight="1">
      <c r="A18" s="307"/>
      <c r="B18" s="338" t="s">
        <v>490</v>
      </c>
      <c r="C18" s="338"/>
      <c r="D18" s="337">
        <f>'GA-55'!D28+'GA-55'!E28-D17</f>
        <v>72585.0</v>
      </c>
      <c r="E18" s="337">
        <f>'GA-55'!F28-'HRA CALCULATOR'!E17</f>
        <v>0.0</v>
      </c>
      <c r="F18" s="316"/>
      <c r="G18" s="339" t="s">
        <v>486</v>
      </c>
      <c r="H18" s="340" t="s">
        <v>480</v>
      </c>
      <c r="I18" s="341"/>
      <c r="M18" s="333" t="s">
        <v>479</v>
      </c>
    </row>
    <row r="19" spans="8:8" ht="26.25" customHeight="1">
      <c r="A19" s="307"/>
      <c r="B19" s="342" t="s">
        <v>34</v>
      </c>
      <c r="C19" s="342"/>
      <c r="D19" s="337">
        <f>D17+D18</f>
        <v>1425633.0</v>
      </c>
      <c r="E19" s="343">
        <f>E17+E18</f>
        <v>83656.0</v>
      </c>
      <c r="F19" s="316"/>
      <c r="G19" s="339" t="str">
        <f>IF(H18="","",IF(H18=M14,"उपर YELLOW कलर के सेल से शहर चयन करे",IF(H18=M19,"40 % वेतन + महंगाई भत्ता ","50 % वेतन + महंगाई भत्ता ")))</f>
        <v>40 % वेतन + महंगाई भत्ता </v>
      </c>
      <c r="H19" s="344">
        <f>IF(H18="","",IF(H18=M14,"(--------)",IF(H18="OTHER CITIES",ROUND(40%*D19,0),ROUND(50%*D19,0))))</f>
        <v>570253.0</v>
      </c>
      <c r="I19" s="327"/>
      <c r="M19" s="333" t="s">
        <v>480</v>
      </c>
    </row>
    <row r="20" spans="8:8" ht="23.25" customHeight="1">
      <c r="A20" s="307"/>
      <c r="B20" s="319"/>
      <c r="C20" s="319"/>
      <c r="D20" s="337"/>
      <c r="E20" s="343"/>
      <c r="F20" s="316"/>
      <c r="G20" s="345" t="s">
        <v>501</v>
      </c>
      <c r="H20" s="346"/>
      <c r="I20" s="327"/>
      <c r="M20" s="333"/>
    </row>
    <row r="21" spans="8:8" ht="26.25" customHeight="1">
      <c r="A21" s="307"/>
      <c r="B21" s="319"/>
      <c r="C21" s="319"/>
      <c r="D21" s="347" t="s">
        <v>495</v>
      </c>
      <c r="E21" s="348"/>
      <c r="F21" s="316"/>
      <c r="G21" s="340" t="s">
        <v>497</v>
      </c>
      <c r="H21" s="349" t="s">
        <v>496</v>
      </c>
      <c r="I21" s="327"/>
      <c r="M21" s="333"/>
    </row>
    <row r="22" spans="8:8" ht="26.25" customHeight="1">
      <c r="A22" s="307"/>
      <c r="B22" s="319"/>
      <c r="C22" s="319"/>
      <c r="D22" s="347" t="s">
        <v>499</v>
      </c>
      <c r="E22" s="348"/>
      <c r="F22" s="316"/>
      <c r="G22" s="340" t="s">
        <v>500</v>
      </c>
      <c r="H22" s="340" t="s">
        <v>498</v>
      </c>
      <c r="I22" s="327"/>
      <c r="M22" s="333"/>
    </row>
    <row r="23" spans="8:8" ht="15.75" customHeight="1">
      <c r="A23" s="307"/>
      <c r="B23" s="350"/>
      <c r="C23" s="350"/>
      <c r="D23" s="350"/>
      <c r="E23" s="350"/>
      <c r="F23" s="316"/>
      <c r="G23" s="350"/>
      <c r="H23" s="350"/>
      <c r="I23" s="324"/>
    </row>
    <row r="24" spans="8:8" ht="13.5"/>
  </sheetData>
  <sheetProtection password="cda0" sheet="1" objects="1" scenarios="1"/>
  <mergeCells count="14">
    <mergeCell ref="B2:H2"/>
    <mergeCell ref="G17:H17"/>
    <mergeCell ref="D21:E21"/>
    <mergeCell ref="B3:H3"/>
    <mergeCell ref="G4:H5"/>
    <mergeCell ref="B18:C18"/>
    <mergeCell ref="D22:E22"/>
    <mergeCell ref="G11:H11"/>
    <mergeCell ref="G15:H15"/>
    <mergeCell ref="G13:H13"/>
    <mergeCell ref="G20:H20"/>
    <mergeCell ref="B19:C19"/>
    <mergeCell ref="G6:H8"/>
    <mergeCell ref="F4:F23"/>
  </mergeCells>
  <dataValidations count="4">
    <dataValidation allowBlank="1" type="custom" errorStyle="stop" showInputMessage="1" showErrorMessage="1" errorTitle="write in Digit" error="Please Input Data only in Number" sqref="H9">
      <formula1>ISNUMBER(H9)=TRUE</formula1>
    </dataValidation>
    <dataValidation allowBlank="1" type="list" errorStyle="stop" showInputMessage="1" showErrorMessage="1" sqref="H18">
      <formula1>$M$14:$M$19</formula1>
    </dataValidation>
    <dataValidation allowBlank="1" type="any" operator="lessThanOrEqual" errorStyle="stop" showInputMessage="1" showErrorMessage="1" errorTitle="Sorry...!!! Not Allow" error="HRA Rebate Permissible up to Actual HRA Recieved" sqref="H10"/>
    <dataValidation allowBlank="1" type="list" errorStyle="stop" showInputMessage="1" showErrorMessage="1" sqref="C5:C16">
      <formula1>"YES,NO"</formula1>
    </dataValidation>
  </dataValidations>
  <pageMargins left="0.7" right="0.7" top="0.75" bottom="0.75" header="0.3" footer="0.3"/>
  <drawing r:id="rId1"/>
  <legacyDrawing r:id="rId2"/>
</worksheet>
</file>

<file path=xl/worksheets/sheet6.xml><?xml version="1.0" encoding="utf-8"?>
<worksheet xmlns:r="http://schemas.openxmlformats.org/officeDocument/2006/relationships" xmlns="http://schemas.openxmlformats.org/spreadsheetml/2006/main">
  <dimension ref="A1:BF114"/>
  <sheetViews>
    <sheetView workbookViewId="0" topLeftCell="B1" showGridLines="0" showRowColHeaders="0">
      <pane ySplit="1" topLeftCell="A2" state="frozen" activePane="bottomLeft"/>
      <selection pane="bottomLeft" activeCell="K5" sqref="K5"/>
    </sheetView>
  </sheetViews>
  <sheetFormatPr defaultRowHeight="12.75" defaultColWidth="0" zeroHeight="1"/>
  <cols>
    <col min="1" max="2" customWidth="1" width="3.2851562" style="306"/>
    <col min="3" max="10" customWidth="1" width="10.855469" style="306"/>
    <col min="11" max="11" customWidth="1" width="20.140625" style="306"/>
    <col min="12" max="12" customWidth="1" width="0.42578125" style="306"/>
    <col min="13" max="13" customWidth="1" width="0.5703125" style="306"/>
    <col min="14" max="14" customWidth="1" width="4.0" style="306"/>
    <col min="15" max="22" customWidth="1" width="11.0" style="306"/>
    <col min="23" max="23" customWidth="1" width="19.140625" style="306"/>
    <col min="24" max="24" customWidth="1" width="1.2851562" style="306"/>
    <col min="25" max="25" customWidth="1" width="2.140625" style="306"/>
    <col min="26" max="28" customWidth="1" width="9.140625" style="306"/>
    <col min="29" max="29" customWidth="1" width="16.285156" style="306"/>
    <col min="30" max="30" customWidth="1" width="9.140625" style="306"/>
    <col min="31" max="31" customWidth="1" width="11.0" style="306"/>
    <col min="32" max="35" customWidth="1" width="9.140625" style="306"/>
    <col min="36" max="36" customWidth="1" width="14.855469" style="306"/>
    <col min="37" max="37" customWidth="1" width="9.140625" style="306"/>
    <col min="38" max="48" hidden="1" customWidth="1" width="9.140625" style="306"/>
    <col min="49" max="56" hidden="1" customWidth="1" width="0.0" style="306"/>
    <col min="57" max="16384" hidden="1" customWidth="0" width="9.140625" style="306"/>
  </cols>
  <sheetData>
    <row r="1" spans="8:8" ht="27.0" customHeight="1">
      <c r="A1" s="351"/>
      <c r="B1" s="352" t="s">
        <v>505</v>
      </c>
      <c r="C1" s="353"/>
      <c r="D1" s="353"/>
      <c r="E1" s="353"/>
      <c r="F1" s="353"/>
      <c r="G1" s="353"/>
      <c r="H1" s="353"/>
      <c r="I1" s="353"/>
      <c r="J1" s="353"/>
      <c r="K1" s="353"/>
      <c r="L1" s="351"/>
      <c r="M1" s="351"/>
      <c r="N1" s="352" t="str">
        <f>B1</f>
        <v>   निर्माणकर्ता :-भागीरथ मल अध्यापक L-1 GSSS डसाणा खुर्द मौलासर (डीडवाना-कुचामन)</v>
      </c>
      <c r="O1" s="353"/>
      <c r="P1" s="353"/>
      <c r="Q1" s="353"/>
      <c r="R1" s="353"/>
      <c r="S1" s="353"/>
      <c r="T1" s="353"/>
      <c r="U1" s="353"/>
      <c r="V1" s="353"/>
      <c r="W1" s="353"/>
      <c r="X1" s="354"/>
      <c r="Y1" s="352" t="str">
        <f>N1</f>
        <v>   निर्माणकर्ता :-भागीरथ मल अध्यापक L-1 GSSS डसाणा खुर्द मौलासर (डीडवाना-कुचामन)</v>
      </c>
      <c r="Z1" s="353"/>
      <c r="AA1" s="353"/>
      <c r="AB1" s="353"/>
      <c r="AC1" s="353"/>
      <c r="AD1" s="353"/>
      <c r="AE1" s="353"/>
      <c r="AF1" s="353"/>
      <c r="AG1" s="353"/>
      <c r="AH1" s="353"/>
    </row>
    <row r="2" spans="8:8" ht="20.25" customHeight="1">
      <c r="A2" s="355"/>
      <c r="B2" s="356" t="s">
        <v>444</v>
      </c>
      <c r="C2" s="357"/>
      <c r="D2" s="357"/>
      <c r="E2" s="357"/>
      <c r="F2" s="357"/>
      <c r="G2" s="357"/>
      <c r="H2" s="357"/>
      <c r="I2" s="357"/>
      <c r="J2" s="357"/>
      <c r="K2" s="358"/>
      <c r="L2" s="359"/>
      <c r="M2" s="360"/>
      <c r="N2" s="361"/>
      <c r="O2" s="357" t="s">
        <v>444</v>
      </c>
      <c r="P2" s="357"/>
      <c r="Q2" s="357"/>
      <c r="R2" s="357"/>
      <c r="S2" s="357"/>
      <c r="T2" s="357"/>
      <c r="U2" s="357"/>
      <c r="V2" s="357"/>
      <c r="W2" s="358"/>
      <c r="X2" s="355"/>
      <c r="Y2" s="362"/>
      <c r="Z2" s="362"/>
      <c r="AA2" s="362"/>
      <c r="AB2" s="362"/>
      <c r="AC2" s="362"/>
      <c r="AD2" s="362"/>
      <c r="AE2" s="362"/>
      <c r="AF2" s="362"/>
      <c r="AG2" s="362"/>
      <c r="AH2" s="362"/>
      <c r="AI2" s="362"/>
      <c r="AJ2" s="362"/>
      <c r="AK2" s="362"/>
      <c r="AL2" s="362"/>
      <c r="AM2" s="362"/>
      <c r="AN2" s="362"/>
      <c r="AO2" s="362"/>
      <c r="AP2" s="362"/>
      <c r="AQ2" s="362"/>
      <c r="AR2" s="362"/>
      <c r="AS2" s="362"/>
      <c r="AT2" s="362"/>
      <c r="AU2" s="362"/>
      <c r="AV2" s="362"/>
    </row>
    <row r="3" spans="8:8" ht="14.25" customHeight="1">
      <c r="A3" s="355"/>
      <c r="B3" s="363" t="s">
        <v>445</v>
      </c>
      <c r="C3" s="364"/>
      <c r="D3" s="364"/>
      <c r="E3" s="364"/>
      <c r="F3" s="364"/>
      <c r="G3" s="364"/>
      <c r="H3" s="364"/>
      <c r="I3" s="364"/>
      <c r="J3" s="364"/>
      <c r="K3" s="365"/>
      <c r="L3" s="359"/>
      <c r="M3" s="360"/>
      <c r="N3" s="363" t="s">
        <v>445</v>
      </c>
      <c r="O3" s="364"/>
      <c r="P3" s="364"/>
      <c r="Q3" s="364"/>
      <c r="R3" s="364"/>
      <c r="S3" s="364"/>
      <c r="T3" s="364"/>
      <c r="U3" s="364"/>
      <c r="V3" s="364"/>
      <c r="W3" s="365"/>
      <c r="X3" s="355"/>
      <c r="Y3" s="362"/>
      <c r="Z3" s="362"/>
      <c r="AA3" s="362"/>
      <c r="AB3" s="362"/>
      <c r="AC3" s="362"/>
      <c r="AD3" s="362"/>
      <c r="AE3" s="362"/>
      <c r="AF3" s="362"/>
      <c r="AG3" s="362"/>
      <c r="AH3" s="362"/>
      <c r="AI3" s="362"/>
      <c r="AJ3" s="362"/>
      <c r="AK3" s="362"/>
      <c r="AL3" s="362"/>
      <c r="AM3" s="362"/>
      <c r="AN3" s="362"/>
      <c r="AO3" s="362"/>
      <c r="AP3" s="362"/>
      <c r="AQ3" s="362"/>
      <c r="AR3" s="362"/>
      <c r="AS3" s="362"/>
      <c r="AT3" s="362"/>
      <c r="AU3" s="362"/>
      <c r="AV3" s="362"/>
    </row>
    <row r="4" spans="8:8" ht="1.5" customHeight="1">
      <c r="A4" s="355"/>
      <c r="B4" s="366"/>
      <c r="C4" s="367"/>
      <c r="D4" s="367"/>
      <c r="E4" s="367"/>
      <c r="F4" s="367"/>
      <c r="G4" s="367"/>
      <c r="H4" s="367"/>
      <c r="I4" s="367"/>
      <c r="J4" s="367"/>
      <c r="K4" s="368"/>
      <c r="L4" s="359"/>
      <c r="M4" s="360"/>
      <c r="N4" s="366"/>
      <c r="O4" s="367"/>
      <c r="P4" s="367"/>
      <c r="Q4" s="367"/>
      <c r="R4" s="367"/>
      <c r="S4" s="367"/>
      <c r="T4" s="367"/>
      <c r="U4" s="367"/>
      <c r="V4" s="367"/>
      <c r="W4" s="368"/>
      <c r="X4" s="355"/>
      <c r="Y4" s="362"/>
      <c r="Z4" s="362"/>
      <c r="AA4" s="362"/>
      <c r="AB4" s="362"/>
      <c r="AC4" s="362"/>
      <c r="AD4" s="362"/>
      <c r="AE4" s="362"/>
      <c r="AF4" s="362"/>
      <c r="AG4" s="362"/>
      <c r="AH4" s="362"/>
      <c r="AI4" s="362"/>
      <c r="AJ4" s="362"/>
      <c r="AK4" s="362"/>
      <c r="AL4" s="362"/>
      <c r="AM4" s="362"/>
      <c r="AN4" s="362"/>
      <c r="AO4" s="362"/>
      <c r="AP4" s="362"/>
      <c r="AQ4" s="362"/>
      <c r="AR4" s="362"/>
      <c r="AS4" s="362"/>
      <c r="AT4" s="362"/>
      <c r="AU4" s="362"/>
      <c r="AV4" s="362"/>
    </row>
    <row r="5" spans="8:8" ht="21.75" customHeight="1">
      <c r="A5" s="355"/>
      <c r="B5" s="369"/>
      <c r="C5" s="370"/>
      <c r="D5" s="370"/>
      <c r="E5" s="370"/>
      <c r="F5" s="370"/>
      <c r="G5" s="370"/>
      <c r="H5" s="370"/>
      <c r="I5" s="371" t="s">
        <v>446</v>
      </c>
      <c r="J5" s="371"/>
      <c r="K5" s="372"/>
      <c r="L5" s="359"/>
      <c r="M5" s="360"/>
      <c r="N5" s="369"/>
      <c r="O5" s="370"/>
      <c r="P5" s="370"/>
      <c r="Q5" s="370"/>
      <c r="R5" s="370"/>
      <c r="S5" s="370"/>
      <c r="T5" s="370"/>
      <c r="U5" s="371" t="s">
        <v>446</v>
      </c>
      <c r="V5" s="371"/>
      <c r="W5" s="372"/>
      <c r="X5" s="355"/>
      <c r="Y5" s="362"/>
      <c r="Z5" s="362"/>
      <c r="AA5" s="362"/>
      <c r="AB5" s="362"/>
      <c r="AC5" s="362"/>
      <c r="AD5" s="362"/>
      <c r="AE5" s="362"/>
      <c r="AF5" s="362"/>
      <c r="AG5" s="362"/>
      <c r="AH5" s="362"/>
      <c r="AI5" s="362"/>
      <c r="AJ5" s="362"/>
      <c r="AK5" s="362"/>
      <c r="AL5" s="362"/>
      <c r="AM5" s="362"/>
      <c r="AN5" s="362"/>
      <c r="AO5" s="362"/>
      <c r="AP5" s="362"/>
      <c r="AQ5" s="362"/>
      <c r="AR5" s="362"/>
      <c r="AS5" s="362"/>
      <c r="AT5" s="362"/>
      <c r="AU5" s="362"/>
      <c r="AV5" s="362"/>
    </row>
    <row r="6" spans="8:8" ht="21.75" customHeight="1">
      <c r="A6" s="355"/>
      <c r="B6" s="373" t="s">
        <v>447</v>
      </c>
      <c r="C6" s="374"/>
      <c r="D6" s="375" t="str">
        <f>'HRA CALCULATOR'!$G$21</f>
        <v>AEWAAA</v>
      </c>
      <c r="E6" s="375"/>
      <c r="F6" s="375"/>
      <c r="G6" s="375"/>
      <c r="H6" s="375"/>
      <c r="I6" s="375"/>
      <c r="J6" s="375"/>
      <c r="K6" s="376"/>
      <c r="L6" s="359"/>
      <c r="M6" s="360"/>
      <c r="N6" s="377"/>
      <c r="O6" s="378" t="s">
        <v>447</v>
      </c>
      <c r="P6" s="379" t="str">
        <f>'HRA CALCULATOR'!$G$21</f>
        <v>AEWAAA</v>
      </c>
      <c r="Q6" s="379"/>
      <c r="R6" s="379"/>
      <c r="S6" s="379"/>
      <c r="T6" s="379"/>
      <c r="U6" s="379"/>
      <c r="V6" s="379"/>
      <c r="W6" s="380"/>
      <c r="X6" s="355"/>
      <c r="Y6" s="362"/>
      <c r="Z6" s="362"/>
      <c r="AA6" s="362"/>
      <c r="AB6" s="362"/>
      <c r="AC6" s="362"/>
      <c r="AD6" s="362"/>
      <c r="AE6" s="362"/>
      <c r="AF6" s="362"/>
      <c r="AG6" s="362"/>
      <c r="AH6" s="362"/>
      <c r="AI6" s="362"/>
      <c r="AJ6" s="362"/>
      <c r="AK6" s="362"/>
      <c r="AL6" s="362"/>
      <c r="AM6" s="362"/>
      <c r="AN6" s="362"/>
      <c r="AO6" s="362"/>
      <c r="AP6" s="362"/>
      <c r="AQ6" s="362"/>
      <c r="AR6" s="362"/>
      <c r="AS6" s="362"/>
      <c r="AT6" s="362"/>
      <c r="AU6" s="362"/>
      <c r="AV6" s="362"/>
    </row>
    <row r="7" spans="8:8" ht="21.75" customHeight="1">
      <c r="A7" s="355"/>
      <c r="B7" s="381" t="s">
        <v>448</v>
      </c>
      <c r="C7" s="382"/>
      <c r="D7" s="382"/>
      <c r="E7" s="382"/>
      <c r="F7" s="382"/>
      <c r="G7" s="383" t="str">
        <f>'MASTER DATA SHEET'!$C$4</f>
        <v>BHAGIRATH MAL</v>
      </c>
      <c r="H7" s="383"/>
      <c r="I7" s="383"/>
      <c r="J7" s="383"/>
      <c r="K7" s="384" t="str">
        <f>'MASTER DATA SHEET'!$E$4</f>
        <v>TEACHER L-1</v>
      </c>
      <c r="L7" s="359"/>
      <c r="M7" s="360"/>
      <c r="N7" s="377"/>
      <c r="O7" s="382" t="s">
        <v>448</v>
      </c>
      <c r="P7" s="382"/>
      <c r="Q7" s="382"/>
      <c r="R7" s="382"/>
      <c r="S7" s="385" t="str">
        <f>'MASTER DATA SHEET'!$C$4</f>
        <v>BHAGIRATH MAL</v>
      </c>
      <c r="T7" s="385"/>
      <c r="U7" s="385"/>
      <c r="V7" s="385"/>
      <c r="W7" s="386" t="str">
        <f>'MASTER DATA SHEET'!$E$4</f>
        <v>TEACHER L-1</v>
      </c>
      <c r="X7" s="355"/>
      <c r="Y7" s="362"/>
      <c r="Z7" s="362"/>
      <c r="AA7" s="362"/>
      <c r="AB7" s="362"/>
      <c r="AC7" s="362"/>
      <c r="AD7" s="362"/>
      <c r="AE7" s="362"/>
      <c r="AF7" s="362"/>
      <c r="AG7" s="362"/>
      <c r="AH7" s="362"/>
      <c r="AI7" s="362"/>
      <c r="AJ7" s="362"/>
      <c r="AK7" s="362"/>
      <c r="AL7" s="362"/>
      <c r="AM7" s="362"/>
      <c r="AN7" s="362"/>
      <c r="AO7" s="362"/>
      <c r="AP7" s="362"/>
      <c r="AQ7" s="362"/>
      <c r="AR7" s="362"/>
      <c r="AS7" s="362"/>
      <c r="AT7" s="362"/>
      <c r="AU7" s="362"/>
      <c r="AV7" s="362"/>
    </row>
    <row r="8" spans="8:8" ht="21.75" customHeight="1">
      <c r="A8" s="355"/>
      <c r="B8" s="373" t="s">
        <v>449</v>
      </c>
      <c r="C8" s="374"/>
      <c r="D8" s="387" t="str">
        <f>'MASTER DATA SHEET'!C3</f>
        <v> PRINCIPAL,GOVT. SEN. SEC. SCHOOL DASANA KHURD (DEEDWANA-KUCHAMAN)</v>
      </c>
      <c r="E8" s="387"/>
      <c r="F8" s="387"/>
      <c r="G8" s="387"/>
      <c r="H8" s="387"/>
      <c r="I8" s="387"/>
      <c r="J8" s="387"/>
      <c r="K8" s="388"/>
      <c r="L8" s="359"/>
      <c r="M8" s="360"/>
      <c r="N8" s="377"/>
      <c r="O8" s="378" t="s">
        <v>449</v>
      </c>
      <c r="P8" s="379" t="str">
        <f>'MASTER DATA SHEET'!C3</f>
        <v> PRINCIPAL,GOVT. SEN. SEC. SCHOOL DASANA KHURD (DEEDWANA-KUCHAMAN)</v>
      </c>
      <c r="Q8" s="379"/>
      <c r="R8" s="379"/>
      <c r="S8" s="379"/>
      <c r="T8" s="379"/>
      <c r="U8" s="379"/>
      <c r="V8" s="379"/>
      <c r="W8" s="380"/>
      <c r="X8" s="355"/>
      <c r="Y8" s="362"/>
      <c r="Z8" s="362"/>
      <c r="AA8" s="362"/>
      <c r="AB8" s="362"/>
      <c r="AC8" s="362"/>
      <c r="AD8" s="362"/>
      <c r="AE8" s="362"/>
      <c r="AF8" s="362"/>
      <c r="AG8" s="362"/>
      <c r="AH8" s="362"/>
      <c r="AI8" s="362"/>
      <c r="AJ8" s="362"/>
      <c r="AK8" s="362"/>
      <c r="AL8" s="362"/>
      <c r="AM8" s="362"/>
      <c r="AN8" s="362"/>
      <c r="AO8" s="362"/>
      <c r="AP8" s="362"/>
      <c r="AQ8" s="362"/>
      <c r="AR8" s="362"/>
      <c r="AS8" s="362"/>
      <c r="AT8" s="362"/>
      <c r="AU8" s="362"/>
      <c r="AV8" s="362"/>
    </row>
    <row r="9" spans="8:8" ht="21.75" customHeight="1">
      <c r="A9" s="355"/>
      <c r="B9" s="373" t="s">
        <v>450</v>
      </c>
      <c r="C9" s="374"/>
      <c r="D9" s="374"/>
      <c r="E9" s="374"/>
      <c r="F9" s="389"/>
      <c r="G9" s="390">
        <f>'HRA CALCULATOR'!$H$16*3</f>
        <v>56556.0</v>
      </c>
      <c r="H9" s="391"/>
      <c r="I9" s="391"/>
      <c r="J9" s="391"/>
      <c r="K9" s="392"/>
      <c r="L9" s="359"/>
      <c r="M9" s="360"/>
      <c r="N9" s="377"/>
      <c r="O9" s="393" t="s">
        <v>450</v>
      </c>
      <c r="P9" s="393"/>
      <c r="Q9" s="393"/>
      <c r="R9" s="393"/>
      <c r="S9" s="394">
        <f>'HRA CALCULATOR'!$H$16*3</f>
        <v>56556.0</v>
      </c>
      <c r="T9" s="394"/>
      <c r="U9" s="394"/>
      <c r="V9" s="394"/>
      <c r="W9" s="395"/>
      <c r="X9" s="355"/>
      <c r="Y9" s="362"/>
      <c r="Z9" s="362"/>
      <c r="AA9" s="362"/>
      <c r="AB9" s="362"/>
      <c r="AC9" s="362"/>
      <c r="AD9" s="362"/>
      <c r="AE9" s="362"/>
      <c r="AF9" s="362"/>
      <c r="AG9" s="362"/>
      <c r="AH9" s="362"/>
      <c r="AI9" s="362"/>
      <c r="AJ9" s="362"/>
      <c r="AK9" s="362"/>
      <c r="AL9" s="362"/>
      <c r="AM9" s="362"/>
      <c r="AN9" s="362"/>
      <c r="AO9" s="362"/>
      <c r="AP9" s="362"/>
      <c r="AQ9" s="362"/>
      <c r="AR9" s="362"/>
      <c r="AS9" s="362"/>
      <c r="AT9" s="362"/>
      <c r="AU9" s="362"/>
      <c r="AV9" s="362"/>
    </row>
    <row r="10" spans="8:8" ht="21.75" customHeight="1">
      <c r="A10" s="355"/>
      <c r="B10" s="373" t="s">
        <v>451</v>
      </c>
      <c r="C10" s="374"/>
      <c r="D10" s="374"/>
      <c r="E10" s="374"/>
      <c r="F10" s="389"/>
      <c r="G10" s="390">
        <f>'HRA CALCULATOR'!$H$16</f>
        <v>18852.0</v>
      </c>
      <c r="H10" s="391"/>
      <c r="I10" s="391"/>
      <c r="J10" s="391"/>
      <c r="K10" s="392"/>
      <c r="L10" s="359"/>
      <c r="M10" s="360"/>
      <c r="N10" s="377"/>
      <c r="O10" s="393" t="s">
        <v>451</v>
      </c>
      <c r="P10" s="393"/>
      <c r="Q10" s="393"/>
      <c r="R10" s="393"/>
      <c r="S10" s="394">
        <f>'HRA CALCULATOR'!$H$16</f>
        <v>18852.0</v>
      </c>
      <c r="T10" s="394"/>
      <c r="U10" s="394"/>
      <c r="V10" s="394"/>
      <c r="W10" s="395"/>
      <c r="X10" s="355"/>
      <c r="Y10" s="362"/>
      <c r="Z10" s="362"/>
      <c r="AA10" s="362"/>
      <c r="AB10" s="362"/>
      <c r="AC10" s="362"/>
      <c r="AD10" s="362"/>
      <c r="AE10" s="362"/>
      <c r="AF10" s="362"/>
      <c r="AG10" s="362"/>
      <c r="AH10" s="362"/>
      <c r="AI10" s="362"/>
      <c r="AJ10" s="362"/>
      <c r="AK10" s="362"/>
      <c r="AL10" s="362"/>
      <c r="AM10" s="362"/>
      <c r="AN10" s="362"/>
      <c r="AO10" s="362"/>
      <c r="AP10" s="362"/>
      <c r="AQ10" s="362"/>
      <c r="AR10" s="362"/>
      <c r="AS10" s="362"/>
      <c r="AT10" s="362"/>
      <c r="AU10" s="362"/>
      <c r="AV10" s="362"/>
    </row>
    <row r="11" spans="8:8" ht="21.75" customHeight="1">
      <c r="A11" s="355"/>
      <c r="B11" s="396" t="s">
        <v>452</v>
      </c>
      <c r="C11" s="397"/>
      <c r="D11" s="397"/>
      <c r="E11" s="398" t="s">
        <v>453</v>
      </c>
      <c r="F11" s="398"/>
      <c r="G11" s="398"/>
      <c r="H11" s="398"/>
      <c r="I11" s="398"/>
      <c r="J11" s="398"/>
      <c r="K11" s="399"/>
      <c r="L11" s="359"/>
      <c r="M11" s="360"/>
      <c r="N11" s="377"/>
      <c r="O11" s="397" t="s">
        <v>452</v>
      </c>
      <c r="P11" s="397"/>
      <c r="Q11" s="398" t="s">
        <v>502</v>
      </c>
      <c r="R11" s="398"/>
      <c r="S11" s="398"/>
      <c r="T11" s="398"/>
      <c r="U11" s="398"/>
      <c r="V11" s="398"/>
      <c r="W11" s="399"/>
      <c r="X11" s="355"/>
      <c r="Y11" s="362"/>
      <c r="Z11" s="362"/>
      <c r="AA11" s="362"/>
      <c r="AB11" s="362"/>
      <c r="AC11" s="362"/>
      <c r="AD11" s="362"/>
      <c r="AE11" s="362"/>
      <c r="AF11" s="362"/>
      <c r="AG11" s="362"/>
      <c r="AH11" s="362"/>
      <c r="AI11" s="362"/>
      <c r="AJ11" s="362"/>
      <c r="AK11" s="362"/>
      <c r="AL11" s="362"/>
      <c r="AM11" s="362"/>
      <c r="AN11" s="362"/>
      <c r="AO11" s="362"/>
      <c r="AP11" s="362"/>
      <c r="AQ11" s="362"/>
      <c r="AR11" s="362"/>
      <c r="AS11" s="362"/>
      <c r="AT11" s="362"/>
      <c r="AU11" s="362"/>
      <c r="AV11" s="362"/>
    </row>
    <row r="12" spans="8:8" ht="21.75" customHeight="1">
      <c r="A12" s="355"/>
      <c r="B12" s="400"/>
      <c r="C12" s="401"/>
      <c r="D12" s="401"/>
      <c r="E12" s="401"/>
      <c r="F12" s="401"/>
      <c r="G12" s="401"/>
      <c r="H12" s="401"/>
      <c r="I12" s="401"/>
      <c r="J12" s="401"/>
      <c r="K12" s="402"/>
      <c r="L12" s="359"/>
      <c r="M12" s="360"/>
      <c r="N12" s="377"/>
      <c r="O12" s="401"/>
      <c r="P12" s="401"/>
      <c r="Q12" s="401"/>
      <c r="R12" s="401"/>
      <c r="S12" s="401"/>
      <c r="T12" s="401"/>
      <c r="U12" s="401"/>
      <c r="V12" s="401"/>
      <c r="W12" s="402"/>
      <c r="X12" s="355"/>
      <c r="Y12" s="362"/>
      <c r="Z12" s="362"/>
      <c r="AA12" s="362"/>
      <c r="AB12" s="362"/>
      <c r="AC12" s="362"/>
      <c r="AD12" s="362"/>
      <c r="AE12" s="362"/>
      <c r="AF12" s="362"/>
      <c r="AG12" s="362"/>
      <c r="AH12" s="362"/>
      <c r="AI12" s="362"/>
      <c r="AJ12" s="362"/>
      <c r="AK12" s="362"/>
      <c r="AL12" s="362"/>
      <c r="AM12" s="362"/>
      <c r="AN12" s="362"/>
      <c r="AO12" s="362"/>
      <c r="AP12" s="362"/>
      <c r="AQ12" s="362"/>
      <c r="AR12" s="362"/>
      <c r="AS12" s="362"/>
      <c r="AT12" s="362"/>
      <c r="AU12" s="362"/>
      <c r="AV12" s="362"/>
    </row>
    <row r="13" spans="8:8" ht="21.75" customHeight="1">
      <c r="A13" s="355"/>
      <c r="B13" s="400"/>
      <c r="C13" s="403" t="s">
        <v>454</v>
      </c>
      <c r="D13" s="404">
        <f>$G$9</f>
        <v>56556.0</v>
      </c>
      <c r="E13" s="405"/>
      <c r="F13" s="406"/>
      <c r="G13" s="401"/>
      <c r="H13" s="401"/>
      <c r="I13" s="401"/>
      <c r="J13" s="401"/>
      <c r="K13" s="402"/>
      <c r="L13" s="359"/>
      <c r="M13" s="360"/>
      <c r="N13" s="377"/>
      <c r="O13" s="403" t="s">
        <v>454</v>
      </c>
      <c r="P13" s="407">
        <f>$G$9</f>
        <v>56556.0</v>
      </c>
      <c r="Q13" s="408"/>
      <c r="R13" s="406"/>
      <c r="S13" s="401"/>
      <c r="T13" s="401"/>
      <c r="U13" s="401"/>
      <c r="V13" s="401"/>
      <c r="W13" s="402"/>
      <c r="X13" s="355"/>
      <c r="Y13" s="362"/>
      <c r="Z13" s="362"/>
      <c r="AA13" s="362"/>
      <c r="AB13" s="362"/>
      <c r="AC13" s="362"/>
      <c r="AD13" s="362"/>
      <c r="AE13" s="362"/>
      <c r="AF13" s="362"/>
      <c r="AG13" s="362"/>
      <c r="AH13" s="362"/>
      <c r="AI13" s="362"/>
      <c r="AJ13" s="362"/>
      <c r="AK13" s="362"/>
      <c r="AL13" s="362"/>
      <c r="AM13" s="362"/>
      <c r="AN13" s="362"/>
      <c r="AO13" s="362"/>
      <c r="AP13" s="362"/>
      <c r="AQ13" s="362"/>
      <c r="AR13" s="362"/>
      <c r="AS13" s="362"/>
      <c r="AT13" s="362"/>
      <c r="AU13" s="362"/>
      <c r="AV13" s="362"/>
    </row>
    <row r="14" spans="8:8" ht="21.75" customHeight="1">
      <c r="A14" s="355"/>
      <c r="B14" s="400"/>
      <c r="C14" s="409"/>
      <c r="D14" s="409"/>
      <c r="E14" s="409"/>
      <c r="F14" s="409"/>
      <c r="G14" s="409"/>
      <c r="H14" s="409"/>
      <c r="I14" s="409"/>
      <c r="J14" s="409"/>
      <c r="K14" s="410"/>
      <c r="L14" s="359"/>
      <c r="M14" s="360"/>
      <c r="N14" s="377"/>
      <c r="O14" s="409"/>
      <c r="P14" s="409"/>
      <c r="Q14" s="409"/>
      <c r="R14" s="409"/>
      <c r="S14" s="409"/>
      <c r="T14" s="409"/>
      <c r="U14" s="409"/>
      <c r="V14" s="409"/>
      <c r="W14" s="410"/>
      <c r="X14" s="355"/>
      <c r="Y14" s="362"/>
      <c r="Z14" s="362"/>
      <c r="AA14" s="362"/>
      <c r="AB14" s="362"/>
      <c r="AC14" s="362"/>
      <c r="AD14" s="362"/>
      <c r="AE14" s="362"/>
      <c r="AF14" s="362"/>
      <c r="AG14" s="362"/>
      <c r="AH14" s="362"/>
      <c r="AI14" s="362"/>
      <c r="AJ14" s="362"/>
      <c r="AK14" s="362"/>
      <c r="AL14" s="362"/>
      <c r="AM14" s="362"/>
      <c r="AN14" s="362"/>
      <c r="AO14" s="362"/>
      <c r="AP14" s="362"/>
      <c r="AQ14" s="362"/>
      <c r="AR14" s="362"/>
      <c r="AS14" s="362"/>
      <c r="AT14" s="362"/>
      <c r="AU14" s="362"/>
      <c r="AV14" s="362"/>
    </row>
    <row r="15" spans="8:8" ht="21.75" customHeight="1">
      <c r="A15" s="355"/>
      <c r="B15" s="400"/>
      <c r="C15" s="403" t="s">
        <v>455</v>
      </c>
      <c r="D15" s="411">
        <f>K5</f>
        <v>0.0</v>
      </c>
      <c r="E15" s="412"/>
      <c r="F15" s="413"/>
      <c r="G15" s="414"/>
      <c r="H15" s="414"/>
      <c r="I15" s="414"/>
      <c r="J15" s="414"/>
      <c r="K15" s="415"/>
      <c r="L15" s="359"/>
      <c r="M15" s="360"/>
      <c r="N15" s="377"/>
      <c r="O15" s="403" t="s">
        <v>455</v>
      </c>
      <c r="P15" s="416">
        <f>W5</f>
        <v>0.0</v>
      </c>
      <c r="Q15" s="416"/>
      <c r="R15" s="413"/>
      <c r="S15" s="414"/>
      <c r="T15" s="414"/>
      <c r="U15" s="414"/>
      <c r="V15" s="414"/>
      <c r="W15" s="415"/>
      <c r="X15" s="355"/>
      <c r="Y15" s="362"/>
      <c r="Z15" s="362"/>
      <c r="AA15" s="362"/>
      <c r="AB15" s="362"/>
      <c r="AC15" s="362"/>
      <c r="AD15" s="362"/>
      <c r="AE15" s="362"/>
      <c r="AF15" s="362"/>
      <c r="AG15" s="362"/>
      <c r="AH15" s="362"/>
      <c r="AI15" s="362"/>
      <c r="AJ15" s="362"/>
      <c r="AK15" s="362"/>
      <c r="AL15" s="362"/>
      <c r="AM15" s="362"/>
      <c r="AN15" s="362"/>
      <c r="AO15" s="362"/>
      <c r="AP15" s="362"/>
      <c r="AQ15" s="362"/>
      <c r="AR15" s="362"/>
      <c r="AS15" s="362"/>
      <c r="AT15" s="362"/>
      <c r="AU15" s="362"/>
      <c r="AV15" s="362"/>
    </row>
    <row r="16" spans="8:8" ht="21.75" customHeight="1">
      <c r="A16" s="355"/>
      <c r="B16" s="400"/>
      <c r="C16" s="409"/>
      <c r="D16" s="409"/>
      <c r="E16" s="409"/>
      <c r="F16" s="409"/>
      <c r="G16" s="409"/>
      <c r="H16" s="409"/>
      <c r="I16" s="409"/>
      <c r="J16" s="409"/>
      <c r="K16" s="410"/>
      <c r="L16" s="359"/>
      <c r="M16" s="360"/>
      <c r="N16" s="377"/>
      <c r="O16" s="409"/>
      <c r="P16" s="409"/>
      <c r="Q16" s="409"/>
      <c r="R16" s="409"/>
      <c r="S16" s="409"/>
      <c r="T16" s="409"/>
      <c r="U16" s="409"/>
      <c r="V16" s="409"/>
      <c r="W16" s="410"/>
      <c r="X16" s="355"/>
      <c r="Y16" s="362"/>
      <c r="Z16" s="362"/>
      <c r="AA16" s="362"/>
      <c r="AB16" s="362"/>
      <c r="AC16" s="362"/>
      <c r="AD16" s="362"/>
      <c r="AE16" s="362"/>
      <c r="AF16" s="362"/>
      <c r="AG16" s="362"/>
      <c r="AH16" s="362"/>
      <c r="AI16" s="362"/>
      <c r="AJ16" s="362"/>
      <c r="AK16" s="362"/>
      <c r="AL16" s="362"/>
      <c r="AM16" s="362"/>
      <c r="AN16" s="362"/>
      <c r="AO16" s="362"/>
      <c r="AP16" s="362"/>
      <c r="AQ16" s="362"/>
      <c r="AR16" s="362"/>
      <c r="AS16" s="362"/>
      <c r="AT16" s="362"/>
      <c r="AU16" s="362"/>
      <c r="AV16" s="362"/>
    </row>
    <row r="17" spans="8:8" ht="21.75" customHeight="1">
      <c r="A17" s="355"/>
      <c r="B17" s="400"/>
      <c r="C17" s="409"/>
      <c r="D17" s="409"/>
      <c r="E17" s="409"/>
      <c r="F17" s="409"/>
      <c r="G17" s="417" t="s">
        <v>456</v>
      </c>
      <c r="H17" s="418"/>
      <c r="I17" s="418"/>
      <c r="J17" s="418"/>
      <c r="K17" s="419"/>
      <c r="L17" s="359"/>
      <c r="M17" s="360"/>
      <c r="N17" s="377"/>
      <c r="O17" s="409"/>
      <c r="P17" s="409"/>
      <c r="Q17" s="409"/>
      <c r="R17" s="409"/>
      <c r="S17" s="420" t="s">
        <v>456</v>
      </c>
      <c r="T17" s="421"/>
      <c r="U17" s="421"/>
      <c r="V17" s="421"/>
      <c r="W17" s="422"/>
      <c r="X17" s="355"/>
      <c r="Y17" s="362"/>
      <c r="Z17" s="362"/>
      <c r="AA17" s="362"/>
      <c r="AB17" s="362"/>
      <c r="AC17" s="362"/>
      <c r="AD17" s="362"/>
      <c r="AE17" s="362"/>
      <c r="AF17" s="362"/>
      <c r="AG17" s="362"/>
      <c r="AH17" s="362"/>
      <c r="AI17" s="362"/>
      <c r="AJ17" s="362"/>
      <c r="AK17" s="362"/>
      <c r="AL17" s="362"/>
      <c r="AM17" s="362"/>
      <c r="AN17" s="362"/>
      <c r="AO17" s="362"/>
      <c r="AP17" s="362"/>
      <c r="AQ17" s="362"/>
      <c r="AR17" s="362"/>
      <c r="AS17" s="362"/>
      <c r="AT17" s="362"/>
      <c r="AU17" s="362"/>
      <c r="AV17" s="362"/>
    </row>
    <row r="18" spans="8:8" ht="21.75" customHeight="1">
      <c r="A18" s="355"/>
      <c r="B18" s="400"/>
      <c r="C18" s="409"/>
      <c r="D18" s="409"/>
      <c r="E18" s="409"/>
      <c r="F18" s="409"/>
      <c r="G18" s="423" t="s">
        <v>457</v>
      </c>
      <c r="H18" s="424"/>
      <c r="I18" s="424"/>
      <c r="J18" s="424"/>
      <c r="K18" s="425"/>
      <c r="L18" s="359"/>
      <c r="M18" s="360"/>
      <c r="N18" s="377"/>
      <c r="O18" s="409"/>
      <c r="P18" s="409"/>
      <c r="Q18" s="409"/>
      <c r="R18" s="409"/>
      <c r="S18" s="423" t="s">
        <v>457</v>
      </c>
      <c r="T18" s="424"/>
      <c r="U18" s="424"/>
      <c r="V18" s="424"/>
      <c r="W18" s="425"/>
      <c r="X18" s="355"/>
      <c r="Y18" s="362"/>
      <c r="Z18" s="362"/>
      <c r="AA18" s="362"/>
      <c r="AB18" s="362"/>
      <c r="AC18" s="362"/>
      <c r="AD18" s="362"/>
      <c r="AE18" s="362"/>
      <c r="AF18" s="362"/>
      <c r="AG18" s="362"/>
      <c r="AH18" s="362"/>
      <c r="AI18" s="362"/>
      <c r="AJ18" s="362"/>
      <c r="AK18" s="362"/>
      <c r="AL18" s="362"/>
      <c r="AM18" s="362"/>
      <c r="AN18" s="362"/>
      <c r="AO18" s="362"/>
      <c r="AP18" s="362"/>
      <c r="AQ18" s="362"/>
      <c r="AR18" s="362"/>
      <c r="AS18" s="362"/>
      <c r="AT18" s="362"/>
      <c r="AU18" s="362"/>
      <c r="AV18" s="362"/>
    </row>
    <row r="19" spans="8:8" ht="21.75" customHeight="1">
      <c r="A19" s="355"/>
      <c r="B19" s="400"/>
      <c r="C19" s="409"/>
      <c r="D19" s="409"/>
      <c r="E19" s="409"/>
      <c r="F19" s="409"/>
      <c r="G19" s="426" t="s">
        <v>458</v>
      </c>
      <c r="H19" s="427"/>
      <c r="I19" s="428" t="str">
        <f>$D$6</f>
        <v>AEWAAA</v>
      </c>
      <c r="J19" s="429"/>
      <c r="K19" s="430"/>
      <c r="L19" s="359"/>
      <c r="M19" s="360"/>
      <c r="N19" s="377"/>
      <c r="O19" s="409"/>
      <c r="P19" s="409"/>
      <c r="Q19" s="409"/>
      <c r="R19" s="409"/>
      <c r="S19" s="431" t="s">
        <v>458</v>
      </c>
      <c r="T19" s="432"/>
      <c r="U19" s="433" t="str">
        <f>$D$6</f>
        <v>AEWAAA</v>
      </c>
      <c r="V19" s="433"/>
      <c r="W19" s="434"/>
      <c r="X19" s="355"/>
      <c r="Y19" s="362"/>
      <c r="Z19" s="362"/>
      <c r="AA19" s="362"/>
      <c r="AB19" s="362"/>
      <c r="AC19" s="362"/>
      <c r="AD19" s="362"/>
      <c r="AE19" s="362"/>
      <c r="AF19" s="362"/>
      <c r="AG19" s="362"/>
      <c r="AH19" s="362"/>
      <c r="AI19" s="362"/>
      <c r="AJ19" s="362"/>
      <c r="AK19" s="362"/>
      <c r="AL19" s="362"/>
      <c r="AM19" s="362"/>
      <c r="AN19" s="362"/>
      <c r="AO19" s="362"/>
      <c r="AP19" s="362"/>
      <c r="AQ19" s="362"/>
      <c r="AR19" s="362"/>
      <c r="AS19" s="362"/>
      <c r="AT19" s="362"/>
      <c r="AU19" s="362"/>
      <c r="AV19" s="362"/>
    </row>
    <row r="20" spans="8:8" ht="21.75" customHeight="1">
      <c r="A20" s="355"/>
      <c r="B20" s="400"/>
      <c r="C20" s="409"/>
      <c r="D20" s="409"/>
      <c r="E20" s="409"/>
      <c r="F20" s="409"/>
      <c r="G20" s="435" t="s">
        <v>459</v>
      </c>
      <c r="H20" s="436"/>
      <c r="I20" s="436"/>
      <c r="J20" s="436"/>
      <c r="K20" s="437"/>
      <c r="L20" s="359"/>
      <c r="M20" s="360"/>
      <c r="N20" s="377"/>
      <c r="O20" s="409"/>
      <c r="P20" s="409"/>
      <c r="Q20" s="409"/>
      <c r="R20" s="409"/>
      <c r="S20" s="438" t="s">
        <v>459</v>
      </c>
      <c r="T20" s="439"/>
      <c r="U20" s="439"/>
      <c r="V20" s="439"/>
      <c r="W20" s="440"/>
      <c r="X20" s="355"/>
      <c r="Y20" s="362"/>
      <c r="Z20" s="362"/>
      <c r="AA20" s="362"/>
      <c r="AB20" s="362"/>
      <c r="AC20" s="362"/>
      <c r="AD20" s="362"/>
      <c r="AE20" s="362"/>
      <c r="AF20" s="362"/>
      <c r="AG20" s="362"/>
      <c r="AH20" s="362"/>
      <c r="AI20" s="362"/>
      <c r="AJ20" s="362"/>
      <c r="AK20" s="362"/>
      <c r="AL20" s="362"/>
      <c r="AM20" s="362"/>
      <c r="AN20" s="362"/>
      <c r="AO20" s="362"/>
      <c r="AP20" s="362"/>
      <c r="AQ20" s="362"/>
      <c r="AR20" s="362"/>
      <c r="AS20" s="362"/>
      <c r="AT20" s="362"/>
      <c r="AU20" s="362"/>
      <c r="AV20" s="362"/>
    </row>
    <row r="21" spans="8:8" ht="21.75" customHeight="1">
      <c r="A21" s="355"/>
      <c r="B21" s="400"/>
      <c r="C21" s="409"/>
      <c r="D21" s="409"/>
      <c r="E21" s="409"/>
      <c r="F21" s="409"/>
      <c r="G21" s="441" t="str">
        <f>'HRA CALCULATOR'!$G$22</f>
        <v>VPO XYX,TEH ERT,DIST, TYU RAJ (PIN 123456)</v>
      </c>
      <c r="H21" s="442"/>
      <c r="I21" s="442"/>
      <c r="J21" s="442"/>
      <c r="K21" s="443"/>
      <c r="L21" s="359"/>
      <c r="M21" s="360"/>
      <c r="N21" s="377"/>
      <c r="O21" s="409"/>
      <c r="P21" s="409"/>
      <c r="Q21" s="409"/>
      <c r="R21" s="409"/>
      <c r="S21" s="444" t="str">
        <f>'HRA CALCULATOR'!$G$22</f>
        <v>VPO XYX,TEH ERT,DIST, TYU RAJ (PIN 123456)</v>
      </c>
      <c r="T21" s="445"/>
      <c r="U21" s="445"/>
      <c r="V21" s="445"/>
      <c r="W21" s="446"/>
      <c r="X21" s="355"/>
      <c r="Y21" s="362"/>
      <c r="Z21" s="362"/>
      <c r="AA21" s="362"/>
      <c r="AB21" s="362"/>
      <c r="AC21" s="362"/>
      <c r="AD21" s="362"/>
      <c r="AE21" s="362"/>
      <c r="AF21" s="362"/>
      <c r="AG21" s="362"/>
      <c r="AH21" s="362"/>
      <c r="AI21" s="362"/>
      <c r="AJ21" s="362"/>
      <c r="AK21" s="362"/>
      <c r="AL21" s="362"/>
      <c r="AM21" s="362"/>
      <c r="AN21" s="362"/>
      <c r="AO21" s="362"/>
      <c r="AP21" s="362"/>
      <c r="AQ21" s="362"/>
      <c r="AR21" s="362"/>
      <c r="AS21" s="362"/>
      <c r="AT21" s="362"/>
      <c r="AU21" s="362"/>
      <c r="AV21" s="362"/>
    </row>
    <row r="22" spans="8:8" ht="21.75" customHeight="1">
      <c r="A22" s="355"/>
      <c r="B22" s="400"/>
      <c r="C22" s="409"/>
      <c r="D22" s="409"/>
      <c r="E22" s="409"/>
      <c r="F22" s="409"/>
      <c r="G22" s="447"/>
      <c r="H22" s="448"/>
      <c r="I22" s="448"/>
      <c r="J22" s="448"/>
      <c r="K22" s="449"/>
      <c r="L22" s="359"/>
      <c r="M22" s="360"/>
      <c r="N22" s="377"/>
      <c r="O22" s="409"/>
      <c r="P22" s="409"/>
      <c r="Q22" s="409"/>
      <c r="R22" s="409"/>
      <c r="S22" s="444"/>
      <c r="T22" s="445"/>
      <c r="U22" s="445"/>
      <c r="V22" s="445"/>
      <c r="W22" s="446"/>
      <c r="X22" s="355"/>
      <c r="Y22" s="362"/>
      <c r="Z22" s="362"/>
      <c r="AA22" s="362"/>
      <c r="AB22" s="362"/>
      <c r="AC22" s="362"/>
      <c r="AD22" s="362"/>
      <c r="AE22" s="362"/>
      <c r="AF22" s="362"/>
      <c r="AG22" s="362"/>
      <c r="AH22" s="362"/>
      <c r="AI22" s="362"/>
      <c r="AJ22" s="362"/>
      <c r="AK22" s="362"/>
      <c r="AL22" s="362"/>
      <c r="AM22" s="362"/>
      <c r="AN22" s="362"/>
      <c r="AO22" s="362"/>
      <c r="AP22" s="362"/>
      <c r="AQ22" s="362"/>
      <c r="AR22" s="362"/>
      <c r="AS22" s="362"/>
      <c r="AT22" s="362"/>
      <c r="AU22" s="362"/>
      <c r="AV22" s="362"/>
    </row>
    <row r="23" spans="8:8" ht="21.75" customHeight="1">
      <c r="A23" s="355"/>
      <c r="B23" s="400"/>
      <c r="C23" s="409"/>
      <c r="D23" s="409"/>
      <c r="E23" s="409"/>
      <c r="F23" s="409"/>
      <c r="G23" s="450" t="s">
        <v>460</v>
      </c>
      <c r="H23" s="451"/>
      <c r="I23" s="452"/>
      <c r="J23" s="453" t="str">
        <f>'HRA CALCULATOR'!$H$22</f>
        <v>ABCDE1234G</v>
      </c>
      <c r="K23" s="454"/>
      <c r="L23" s="359"/>
      <c r="M23" s="360"/>
      <c r="N23" s="377"/>
      <c r="O23" s="409"/>
      <c r="P23" s="409"/>
      <c r="Q23" s="409"/>
      <c r="R23" s="409"/>
      <c r="S23" s="450" t="s">
        <v>460</v>
      </c>
      <c r="T23" s="451"/>
      <c r="U23" s="452"/>
      <c r="V23" s="455" t="str">
        <f>'HRA CALCULATOR'!$H$22</f>
        <v>ABCDE1234G</v>
      </c>
      <c r="W23" s="456"/>
      <c r="X23" s="355"/>
      <c r="Y23" s="362"/>
      <c r="Z23" s="362"/>
      <c r="AA23" s="362"/>
      <c r="AB23" s="362"/>
      <c r="AC23" s="362"/>
      <c r="AD23" s="362"/>
      <c r="AE23" s="362"/>
      <c r="AF23" s="362"/>
      <c r="AG23" s="362"/>
      <c r="AH23" s="362"/>
      <c r="AI23" s="362"/>
      <c r="AJ23" s="362"/>
      <c r="AK23" s="362"/>
      <c r="AL23" s="362"/>
      <c r="AM23" s="362"/>
      <c r="AN23" s="362"/>
      <c r="AO23" s="362"/>
      <c r="AP23" s="362"/>
      <c r="AQ23" s="362"/>
      <c r="AR23" s="362"/>
      <c r="AS23" s="362"/>
      <c r="AT23" s="362"/>
      <c r="AU23" s="362"/>
      <c r="AV23" s="362"/>
    </row>
    <row r="24" spans="8:8" ht="18.75" customHeight="1">
      <c r="A24" s="355"/>
      <c r="B24" s="457"/>
      <c r="C24" s="458"/>
      <c r="D24" s="458"/>
      <c r="E24" s="458"/>
      <c r="F24" s="458"/>
      <c r="G24" s="459"/>
      <c r="H24" s="459"/>
      <c r="I24" s="459"/>
      <c r="J24" s="459"/>
      <c r="K24" s="460"/>
      <c r="L24" s="359"/>
      <c r="M24" s="360"/>
      <c r="N24" s="461"/>
      <c r="O24" s="458"/>
      <c r="P24" s="458"/>
      <c r="Q24" s="458"/>
      <c r="R24" s="458"/>
      <c r="S24" s="458"/>
      <c r="T24" s="458"/>
      <c r="U24" s="458"/>
      <c r="V24" s="458"/>
      <c r="W24" s="462"/>
      <c r="X24" s="355"/>
      <c r="Y24" s="362"/>
      <c r="Z24" s="362"/>
      <c r="AA24" s="362"/>
      <c r="AB24" s="362"/>
      <c r="AC24" s="362"/>
      <c r="AD24" s="362"/>
      <c r="AE24" s="362"/>
      <c r="AF24" s="362"/>
      <c r="AG24" s="362"/>
      <c r="AH24" s="362"/>
      <c r="AI24" s="362"/>
      <c r="AJ24" s="362"/>
      <c r="AK24" s="362"/>
      <c r="AL24" s="362"/>
      <c r="AM24" s="362"/>
      <c r="AN24" s="362"/>
      <c r="AO24" s="362"/>
      <c r="AP24" s="362"/>
      <c r="AQ24" s="362"/>
      <c r="AR24" s="362"/>
      <c r="AS24" s="362"/>
      <c r="AT24" s="362"/>
      <c r="AU24" s="362"/>
      <c r="AV24" s="362"/>
    </row>
    <row r="25" spans="8:8" ht="26.25" customHeight="1">
      <c r="A25" s="355"/>
      <c r="B25" s="459"/>
      <c r="C25" s="459"/>
      <c r="D25" s="459"/>
      <c r="E25" s="459"/>
      <c r="F25" s="459"/>
      <c r="G25" s="459"/>
      <c r="H25" s="459"/>
      <c r="I25" s="459"/>
      <c r="J25" s="459"/>
      <c r="K25" s="459"/>
      <c r="L25" s="359"/>
      <c r="M25" s="360"/>
      <c r="N25" s="459"/>
      <c r="O25" s="459"/>
      <c r="P25" s="459"/>
      <c r="Q25" s="459"/>
      <c r="R25" s="459"/>
      <c r="S25" s="459"/>
      <c r="T25" s="459"/>
      <c r="U25" s="459"/>
      <c r="V25" s="459"/>
      <c r="W25" s="459"/>
      <c r="X25" s="355"/>
      <c r="Y25" s="362"/>
      <c r="Z25" s="362"/>
      <c r="AA25" s="362"/>
      <c r="AB25" s="362"/>
      <c r="AC25" s="362"/>
      <c r="AD25" s="362"/>
      <c r="AE25" s="362"/>
      <c r="AF25" s="362"/>
      <c r="AG25" s="362"/>
      <c r="AH25" s="362"/>
      <c r="AI25" s="362"/>
      <c r="AJ25" s="362"/>
      <c r="AK25" s="362"/>
      <c r="AL25" s="362"/>
      <c r="AM25" s="362"/>
      <c r="AN25" s="362"/>
      <c r="AO25" s="362"/>
      <c r="AP25" s="362"/>
      <c r="AQ25" s="362"/>
      <c r="AR25" s="362"/>
      <c r="AS25" s="362"/>
      <c r="AT25" s="362"/>
      <c r="AU25" s="362"/>
      <c r="AV25" s="362"/>
    </row>
    <row r="26" spans="8:8" ht="18.0" customHeight="1">
      <c r="A26" s="355"/>
      <c r="B26" s="361"/>
      <c r="C26" s="357" t="s">
        <v>444</v>
      </c>
      <c r="D26" s="357"/>
      <c r="E26" s="357"/>
      <c r="F26" s="357"/>
      <c r="G26" s="357"/>
      <c r="H26" s="357"/>
      <c r="I26" s="357"/>
      <c r="J26" s="357"/>
      <c r="K26" s="358"/>
      <c r="L26" s="359"/>
      <c r="M26" s="360"/>
      <c r="N26" s="361"/>
      <c r="O26" s="357" t="s">
        <v>444</v>
      </c>
      <c r="P26" s="357"/>
      <c r="Q26" s="357"/>
      <c r="R26" s="357"/>
      <c r="S26" s="357"/>
      <c r="T26" s="357"/>
      <c r="U26" s="357"/>
      <c r="V26" s="357"/>
      <c r="W26" s="358"/>
      <c r="X26" s="355"/>
      <c r="Y26" s="362"/>
      <c r="Z26" s="362"/>
      <c r="AA26" s="362"/>
      <c r="AB26" s="362"/>
      <c r="AC26" s="362"/>
      <c r="AD26" s="362"/>
      <c r="AE26" s="362"/>
      <c r="AF26" s="362"/>
      <c r="AG26" s="362"/>
      <c r="AH26" s="362"/>
      <c r="AI26" s="362"/>
      <c r="AJ26" s="362"/>
      <c r="AK26" s="362"/>
      <c r="AL26" s="362"/>
      <c r="AM26" s="362"/>
      <c r="AN26" s="362"/>
      <c r="AO26" s="362"/>
      <c r="AP26" s="362"/>
      <c r="AQ26" s="362"/>
      <c r="AR26" s="362"/>
      <c r="AS26" s="362"/>
      <c r="AT26" s="362"/>
      <c r="AU26" s="362"/>
      <c r="AV26" s="362"/>
    </row>
    <row r="27" spans="8:8" ht="15.75" customHeight="1">
      <c r="A27" s="355"/>
      <c r="B27" s="377" t="s">
        <v>445</v>
      </c>
      <c r="C27" s="401"/>
      <c r="D27" s="401"/>
      <c r="E27" s="401"/>
      <c r="F27" s="401"/>
      <c r="G27" s="401"/>
      <c r="H27" s="401"/>
      <c r="I27" s="401"/>
      <c r="J27" s="401"/>
      <c r="K27" s="402"/>
      <c r="L27" s="359"/>
      <c r="M27" s="360"/>
      <c r="N27" s="363" t="s">
        <v>445</v>
      </c>
      <c r="O27" s="364"/>
      <c r="P27" s="364"/>
      <c r="Q27" s="364"/>
      <c r="R27" s="364"/>
      <c r="S27" s="364"/>
      <c r="T27" s="364"/>
      <c r="U27" s="364"/>
      <c r="V27" s="364"/>
      <c r="W27" s="365"/>
      <c r="X27" s="355"/>
      <c r="Y27" s="362"/>
      <c r="Z27" s="362"/>
      <c r="AA27" s="362"/>
      <c r="AB27" s="362"/>
      <c r="AC27" s="362"/>
      <c r="AD27" s="362"/>
      <c r="AE27" s="362"/>
      <c r="AF27" s="362"/>
      <c r="AG27" s="362"/>
      <c r="AH27" s="362"/>
      <c r="AI27" s="362"/>
      <c r="AJ27" s="362"/>
      <c r="AK27" s="362"/>
      <c r="AL27" s="362"/>
      <c r="AM27" s="362"/>
      <c r="AN27" s="362"/>
      <c r="AO27" s="362"/>
      <c r="AP27" s="362"/>
      <c r="AQ27" s="362"/>
      <c r="AR27" s="362"/>
      <c r="AS27" s="362"/>
      <c r="AT27" s="362"/>
      <c r="AU27" s="362"/>
      <c r="AV27" s="362"/>
    </row>
    <row r="28" spans="8:8" ht="4.5" customHeight="1">
      <c r="A28" s="355"/>
      <c r="B28" s="366"/>
      <c r="C28" s="367"/>
      <c r="D28" s="367"/>
      <c r="E28" s="367"/>
      <c r="F28" s="367"/>
      <c r="G28" s="367"/>
      <c r="H28" s="367"/>
      <c r="I28" s="367"/>
      <c r="J28" s="367"/>
      <c r="K28" s="368"/>
      <c r="L28" s="359"/>
      <c r="M28" s="360"/>
      <c r="N28" s="366"/>
      <c r="O28" s="367"/>
      <c r="P28" s="367"/>
      <c r="Q28" s="367"/>
      <c r="R28" s="367"/>
      <c r="S28" s="367"/>
      <c r="T28" s="367"/>
      <c r="U28" s="367"/>
      <c r="V28" s="367"/>
      <c r="W28" s="368"/>
      <c r="X28" s="355"/>
      <c r="Y28" s="362"/>
      <c r="Z28" s="362"/>
      <c r="AA28" s="362"/>
      <c r="AB28" s="362"/>
      <c r="AC28" s="362"/>
      <c r="AD28" s="362"/>
      <c r="AE28" s="362"/>
      <c r="AF28" s="362"/>
      <c r="AG28" s="362"/>
      <c r="AH28" s="362"/>
      <c r="AI28" s="362"/>
      <c r="AJ28" s="362"/>
      <c r="AK28" s="362"/>
      <c r="AL28" s="362"/>
      <c r="AM28" s="362"/>
      <c r="AN28" s="362"/>
      <c r="AO28" s="362"/>
      <c r="AP28" s="362"/>
      <c r="AQ28" s="362"/>
      <c r="AR28" s="362"/>
      <c r="AS28" s="362"/>
      <c r="AT28" s="362"/>
      <c r="AU28" s="362"/>
      <c r="AV28" s="362"/>
    </row>
    <row r="29" spans="8:8" ht="21.0" customHeight="1">
      <c r="A29" s="355"/>
      <c r="B29" s="369"/>
      <c r="C29" s="370"/>
      <c r="D29" s="370"/>
      <c r="E29" s="370"/>
      <c r="F29" s="370"/>
      <c r="G29" s="370"/>
      <c r="H29" s="370"/>
      <c r="I29" s="371" t="s">
        <v>446</v>
      </c>
      <c r="J29" s="371"/>
      <c r="K29" s="372"/>
      <c r="L29" s="359"/>
      <c r="M29" s="360"/>
      <c r="N29" s="369"/>
      <c r="O29" s="370"/>
      <c r="P29" s="370"/>
      <c r="Q29" s="370"/>
      <c r="R29" s="370"/>
      <c r="S29" s="370"/>
      <c r="T29" s="370"/>
      <c r="U29" s="371" t="s">
        <v>446</v>
      </c>
      <c r="V29" s="371"/>
      <c r="W29" s="372"/>
      <c r="X29" s="355"/>
      <c r="Y29" s="362"/>
      <c r="Z29" s="362"/>
      <c r="AA29" s="362"/>
      <c r="AB29" s="362"/>
      <c r="AC29" s="362"/>
      <c r="AD29" s="362"/>
      <c r="AE29" s="362"/>
      <c r="AF29" s="362"/>
      <c r="AG29" s="362"/>
      <c r="AH29" s="362"/>
      <c r="AI29" s="362"/>
      <c r="AJ29" s="362"/>
      <c r="AK29" s="362"/>
      <c r="AL29" s="362"/>
      <c r="AM29" s="362"/>
      <c r="AN29" s="362"/>
      <c r="AO29" s="362"/>
      <c r="AP29" s="362"/>
      <c r="AQ29" s="362"/>
      <c r="AR29" s="362"/>
      <c r="AS29" s="362"/>
      <c r="AT29" s="362"/>
      <c r="AU29" s="362"/>
      <c r="AV29" s="362"/>
    </row>
    <row r="30" spans="8:8" ht="21.0" customHeight="1">
      <c r="A30" s="355"/>
      <c r="B30" s="377"/>
      <c r="C30" s="378" t="s">
        <v>447</v>
      </c>
      <c r="D30" s="379" t="str">
        <f>'HRA CALCULATOR'!$G$21</f>
        <v>AEWAAA</v>
      </c>
      <c r="E30" s="379"/>
      <c r="F30" s="379"/>
      <c r="G30" s="379"/>
      <c r="H30" s="379"/>
      <c r="I30" s="379"/>
      <c r="J30" s="379"/>
      <c r="K30" s="380"/>
      <c r="L30" s="359"/>
      <c r="M30" s="360"/>
      <c r="N30" s="377"/>
      <c r="O30" s="378" t="s">
        <v>447</v>
      </c>
      <c r="P30" s="379" t="str">
        <f>'HRA CALCULATOR'!$G$21</f>
        <v>AEWAAA</v>
      </c>
      <c r="Q30" s="379"/>
      <c r="R30" s="379"/>
      <c r="S30" s="379"/>
      <c r="T30" s="379"/>
      <c r="U30" s="379"/>
      <c r="V30" s="379"/>
      <c r="W30" s="380"/>
      <c r="X30" s="355"/>
      <c r="Y30" s="362"/>
      <c r="Z30" s="362"/>
      <c r="AA30" s="362"/>
      <c r="AB30" s="362"/>
      <c r="AC30" s="362"/>
      <c r="AD30" s="362"/>
      <c r="AE30" s="362"/>
      <c r="AF30" s="362"/>
      <c r="AG30" s="362"/>
      <c r="AH30" s="362"/>
      <c r="AI30" s="362"/>
      <c r="AJ30" s="362"/>
      <c r="AK30" s="362"/>
      <c r="AL30" s="362"/>
      <c r="AM30" s="362"/>
      <c r="AN30" s="362"/>
      <c r="AO30" s="362"/>
      <c r="AP30" s="362"/>
      <c r="AQ30" s="362"/>
      <c r="AR30" s="362"/>
      <c r="AS30" s="362"/>
      <c r="AT30" s="362"/>
      <c r="AU30" s="362"/>
      <c r="AV30" s="362"/>
    </row>
    <row r="31" spans="8:8" ht="21.0" customHeight="1">
      <c r="A31" s="355"/>
      <c r="B31" s="377"/>
      <c r="C31" s="382" t="s">
        <v>448</v>
      </c>
      <c r="D31" s="382"/>
      <c r="E31" s="382"/>
      <c r="F31" s="382"/>
      <c r="G31" s="385" t="str">
        <f>'MASTER DATA SHEET'!$C$4</f>
        <v>BHAGIRATH MAL</v>
      </c>
      <c r="H31" s="385"/>
      <c r="I31" s="385"/>
      <c r="J31" s="385"/>
      <c r="K31" s="386" t="str">
        <f>'MASTER DATA SHEET'!$E$4</f>
        <v>TEACHER L-1</v>
      </c>
      <c r="L31" s="359"/>
      <c r="M31" s="360"/>
      <c r="N31" s="377"/>
      <c r="O31" s="382" t="s">
        <v>448</v>
      </c>
      <c r="P31" s="382"/>
      <c r="Q31" s="382"/>
      <c r="R31" s="382"/>
      <c r="S31" s="385" t="str">
        <f>'MASTER DATA SHEET'!$C$4</f>
        <v>BHAGIRATH MAL</v>
      </c>
      <c r="T31" s="385"/>
      <c r="U31" s="385"/>
      <c r="V31" s="385"/>
      <c r="W31" s="386" t="str">
        <f>'MASTER DATA SHEET'!$E$4</f>
        <v>TEACHER L-1</v>
      </c>
      <c r="X31" s="355"/>
      <c r="Y31" s="362"/>
      <c r="Z31" s="362"/>
      <c r="AA31" s="362"/>
      <c r="AB31" s="362"/>
      <c r="AC31" s="362"/>
      <c r="AD31" s="362"/>
      <c r="AE31" s="362"/>
      <c r="AF31" s="362"/>
      <c r="AG31" s="362"/>
      <c r="AH31" s="362"/>
      <c r="AI31" s="362"/>
      <c r="AJ31" s="362"/>
      <c r="AK31" s="362"/>
      <c r="AL31" s="362"/>
      <c r="AM31" s="362"/>
      <c r="AN31" s="362"/>
      <c r="AO31" s="362"/>
      <c r="AP31" s="362"/>
      <c r="AQ31" s="362"/>
      <c r="AR31" s="362"/>
      <c r="AS31" s="362"/>
      <c r="AT31" s="362"/>
      <c r="AU31" s="362"/>
      <c r="AV31" s="362"/>
    </row>
    <row r="32" spans="8:8" ht="21.0" customHeight="1">
      <c r="A32" s="355"/>
      <c r="B32" s="377"/>
      <c r="C32" s="378" t="s">
        <v>449</v>
      </c>
      <c r="D32" s="387" t="str">
        <f>'MASTER DATA SHEET'!C3</f>
        <v> PRINCIPAL,GOVT. SEN. SEC. SCHOOL DASANA KHURD (DEEDWANA-KUCHAMAN)</v>
      </c>
      <c r="E32" s="387"/>
      <c r="F32" s="387"/>
      <c r="G32" s="387"/>
      <c r="H32" s="387"/>
      <c r="I32" s="387"/>
      <c r="J32" s="387"/>
      <c r="K32" s="388"/>
      <c r="L32" s="359"/>
      <c r="M32" s="360"/>
      <c r="N32" s="377"/>
      <c r="O32" s="378" t="s">
        <v>449</v>
      </c>
      <c r="P32" s="379" t="str">
        <f>'MASTER DATA SHEET'!C3</f>
        <v> PRINCIPAL,GOVT. SEN. SEC. SCHOOL DASANA KHURD (DEEDWANA-KUCHAMAN)</v>
      </c>
      <c r="Q32" s="379"/>
      <c r="R32" s="379"/>
      <c r="S32" s="379"/>
      <c r="T32" s="379"/>
      <c r="U32" s="379"/>
      <c r="V32" s="379"/>
      <c r="W32" s="380"/>
      <c r="X32" s="355"/>
      <c r="Y32" s="362"/>
      <c r="Z32" s="362"/>
      <c r="AA32" s="362"/>
      <c r="AB32" s="362"/>
      <c r="AC32" s="362"/>
      <c r="AD32" s="362"/>
      <c r="AE32" s="362"/>
      <c r="AF32" s="362"/>
      <c r="AG32" s="362"/>
      <c r="AH32" s="362"/>
      <c r="AI32" s="362"/>
      <c r="AJ32" s="362"/>
      <c r="AK32" s="362"/>
      <c r="AL32" s="362"/>
      <c r="AM32" s="362"/>
      <c r="AN32" s="362"/>
      <c r="AO32" s="362"/>
      <c r="AP32" s="362"/>
      <c r="AQ32" s="362"/>
      <c r="AR32" s="362"/>
      <c r="AS32" s="362"/>
      <c r="AT32" s="362"/>
      <c r="AU32" s="362"/>
      <c r="AV32" s="362"/>
    </row>
    <row r="33" spans="8:8" ht="21.0" customHeight="1">
      <c r="A33" s="355"/>
      <c r="B33" s="377"/>
      <c r="C33" s="463" t="s">
        <v>450</v>
      </c>
      <c r="D33" s="464"/>
      <c r="E33" s="464"/>
      <c r="F33" s="465"/>
      <c r="G33" s="390">
        <f>'HRA CALCULATOR'!$H$16*3</f>
        <v>56556.0</v>
      </c>
      <c r="H33" s="391"/>
      <c r="I33" s="391"/>
      <c r="J33" s="391"/>
      <c r="K33" s="392"/>
      <c r="L33" s="359"/>
      <c r="M33" s="360"/>
      <c r="N33" s="377"/>
      <c r="O33" s="393" t="s">
        <v>450</v>
      </c>
      <c r="P33" s="393"/>
      <c r="Q33" s="393"/>
      <c r="R33" s="393"/>
      <c r="S33" s="394">
        <f>'HRA CALCULATOR'!$H$16*3</f>
        <v>56556.0</v>
      </c>
      <c r="T33" s="394"/>
      <c r="U33" s="394"/>
      <c r="V33" s="394"/>
      <c r="W33" s="395"/>
      <c r="X33" s="355"/>
      <c r="Y33" s="362"/>
      <c r="Z33" s="362"/>
      <c r="AA33" s="362"/>
      <c r="AB33" s="362"/>
      <c r="AC33" s="362"/>
      <c r="AD33" s="362"/>
      <c r="AE33" s="362"/>
      <c r="AF33" s="362"/>
      <c r="AG33" s="362"/>
      <c r="AH33" s="362"/>
      <c r="AI33" s="362"/>
      <c r="AJ33" s="362"/>
      <c r="AK33" s="362"/>
      <c r="AL33" s="362"/>
      <c r="AM33" s="362"/>
      <c r="AN33" s="362"/>
      <c r="AO33" s="362"/>
      <c r="AP33" s="362"/>
      <c r="AQ33" s="362"/>
      <c r="AR33" s="362"/>
      <c r="AS33" s="362"/>
      <c r="AT33" s="362"/>
      <c r="AU33" s="362"/>
      <c r="AV33" s="362"/>
    </row>
    <row r="34" spans="8:8" ht="21.0" customHeight="1">
      <c r="A34" s="355"/>
      <c r="B34" s="377"/>
      <c r="C34" s="463" t="s">
        <v>451</v>
      </c>
      <c r="D34" s="464"/>
      <c r="E34" s="464"/>
      <c r="F34" s="465"/>
      <c r="G34" s="390">
        <f>'HRA CALCULATOR'!$H$16</f>
        <v>18852.0</v>
      </c>
      <c r="H34" s="391"/>
      <c r="I34" s="391"/>
      <c r="J34" s="391"/>
      <c r="K34" s="392"/>
      <c r="L34" s="359"/>
      <c r="M34" s="360"/>
      <c r="N34" s="377"/>
      <c r="O34" s="393" t="s">
        <v>451</v>
      </c>
      <c r="P34" s="393"/>
      <c r="Q34" s="393"/>
      <c r="R34" s="393"/>
      <c r="S34" s="394">
        <f>'HRA CALCULATOR'!$H$16</f>
        <v>18852.0</v>
      </c>
      <c r="T34" s="394"/>
      <c r="U34" s="394"/>
      <c r="V34" s="394"/>
      <c r="W34" s="395"/>
      <c r="X34" s="355"/>
      <c r="Y34" s="362"/>
      <c r="Z34" s="362"/>
      <c r="AA34" s="362"/>
      <c r="AB34" s="362"/>
      <c r="AC34" s="362"/>
      <c r="AD34" s="362"/>
      <c r="AE34" s="362"/>
      <c r="AF34" s="362"/>
      <c r="AG34" s="362"/>
      <c r="AH34" s="362"/>
      <c r="AI34" s="362"/>
      <c r="AJ34" s="362"/>
      <c r="AK34" s="362"/>
      <c r="AL34" s="362"/>
      <c r="AM34" s="362"/>
      <c r="AN34" s="362"/>
      <c r="AO34" s="362"/>
      <c r="AP34" s="362"/>
      <c r="AQ34" s="362"/>
      <c r="AR34" s="362"/>
      <c r="AS34" s="362"/>
      <c r="AT34" s="362"/>
      <c r="AU34" s="362"/>
      <c r="AV34" s="362"/>
    </row>
    <row r="35" spans="8:8" ht="21.0" customHeight="1">
      <c r="A35" s="355"/>
      <c r="B35" s="377"/>
      <c r="C35" s="466" t="s">
        <v>452</v>
      </c>
      <c r="D35" s="466"/>
      <c r="E35" s="398" t="s">
        <v>503</v>
      </c>
      <c r="F35" s="398"/>
      <c r="G35" s="398"/>
      <c r="H35" s="398"/>
      <c r="I35" s="398"/>
      <c r="J35" s="398"/>
      <c r="K35" s="399"/>
      <c r="L35" s="359"/>
      <c r="M35" s="360"/>
      <c r="N35" s="377"/>
      <c r="O35" s="397" t="s">
        <v>452</v>
      </c>
      <c r="P35" s="397"/>
      <c r="Q35" s="398" t="s">
        <v>504</v>
      </c>
      <c r="R35" s="398"/>
      <c r="S35" s="398"/>
      <c r="T35" s="398"/>
      <c r="U35" s="398"/>
      <c r="V35" s="398"/>
      <c r="W35" s="399"/>
      <c r="X35" s="355"/>
      <c r="Y35" s="362"/>
      <c r="Z35" s="362"/>
      <c r="AA35" s="362"/>
      <c r="AB35" s="362"/>
      <c r="AC35" s="362"/>
      <c r="AD35" s="362"/>
      <c r="AE35" s="362"/>
      <c r="AF35" s="362"/>
      <c r="AG35" s="362"/>
      <c r="AH35" s="362"/>
      <c r="AI35" s="362"/>
      <c r="AJ35" s="362"/>
      <c r="AK35" s="362"/>
      <c r="AL35" s="362"/>
      <c r="AM35" s="362"/>
      <c r="AN35" s="362"/>
      <c r="AO35" s="362"/>
      <c r="AP35" s="362"/>
      <c r="AQ35" s="362"/>
      <c r="AR35" s="362"/>
      <c r="AS35" s="362"/>
      <c r="AT35" s="362"/>
      <c r="AU35" s="362"/>
      <c r="AV35" s="362"/>
    </row>
    <row r="36" spans="8:8" ht="21.0" customHeight="1">
      <c r="A36" s="355"/>
      <c r="B36" s="377"/>
      <c r="C36" s="401"/>
      <c r="D36" s="401"/>
      <c r="E36" s="401"/>
      <c r="F36" s="401"/>
      <c r="G36" s="401"/>
      <c r="H36" s="401"/>
      <c r="I36" s="401"/>
      <c r="J36" s="401"/>
      <c r="K36" s="402"/>
      <c r="L36" s="359"/>
      <c r="M36" s="360"/>
      <c r="N36" s="377"/>
      <c r="O36" s="401"/>
      <c r="P36" s="401"/>
      <c r="Q36" s="401"/>
      <c r="R36" s="401"/>
      <c r="S36" s="401"/>
      <c r="T36" s="401"/>
      <c r="U36" s="401"/>
      <c r="V36" s="401"/>
      <c r="W36" s="402"/>
      <c r="X36" s="355"/>
      <c r="Y36" s="362"/>
      <c r="Z36" s="362"/>
      <c r="AA36" s="362"/>
      <c r="AB36" s="362"/>
      <c r="AC36" s="362"/>
      <c r="AD36" s="362"/>
      <c r="AE36" s="362"/>
      <c r="AF36" s="362"/>
      <c r="AG36" s="362"/>
      <c r="AH36" s="362"/>
      <c r="AI36" s="362"/>
      <c r="AJ36" s="362"/>
      <c r="AK36" s="362"/>
      <c r="AL36" s="362"/>
      <c r="AM36" s="362"/>
      <c r="AN36" s="362"/>
      <c r="AO36" s="362"/>
      <c r="AP36" s="362"/>
      <c r="AQ36" s="362"/>
      <c r="AR36" s="362"/>
      <c r="AS36" s="362"/>
      <c r="AT36" s="362"/>
      <c r="AU36" s="362"/>
      <c r="AV36" s="362"/>
    </row>
    <row r="37" spans="8:8" ht="21.0" customHeight="1">
      <c r="A37" s="355"/>
      <c r="B37" s="377"/>
      <c r="C37" s="403" t="s">
        <v>454</v>
      </c>
      <c r="D37" s="404">
        <f>$G$9</f>
        <v>56556.0</v>
      </c>
      <c r="E37" s="405"/>
      <c r="F37" s="406"/>
      <c r="G37" s="401"/>
      <c r="H37" s="401"/>
      <c r="I37" s="401"/>
      <c r="J37" s="401"/>
      <c r="K37" s="402"/>
      <c r="L37" s="359"/>
      <c r="M37" s="360"/>
      <c r="N37" s="377"/>
      <c r="O37" s="403" t="s">
        <v>454</v>
      </c>
      <c r="P37" s="407">
        <f>$G$9</f>
        <v>56556.0</v>
      </c>
      <c r="Q37" s="408"/>
      <c r="R37" s="406"/>
      <c r="S37" s="401"/>
      <c r="T37" s="401"/>
      <c r="U37" s="401"/>
      <c r="V37" s="401"/>
      <c r="W37" s="402"/>
      <c r="X37" s="355"/>
      <c r="Y37" s="362"/>
      <c r="Z37" s="362"/>
      <c r="AA37" s="362"/>
      <c r="AB37" s="362"/>
      <c r="AC37" s="362"/>
      <c r="AD37" s="362"/>
      <c r="AE37" s="362"/>
      <c r="AF37" s="362"/>
      <c r="AG37" s="362"/>
      <c r="AH37" s="362"/>
      <c r="AI37" s="362"/>
      <c r="AJ37" s="362"/>
      <c r="AK37" s="362"/>
      <c r="AL37" s="362"/>
      <c r="AM37" s="362"/>
      <c r="AN37" s="362"/>
      <c r="AO37" s="362"/>
      <c r="AP37" s="362"/>
      <c r="AQ37" s="362"/>
      <c r="AR37" s="362"/>
      <c r="AS37" s="362"/>
      <c r="AT37" s="362"/>
      <c r="AU37" s="362"/>
      <c r="AV37" s="362"/>
    </row>
    <row r="38" spans="8:8" ht="21.0" customHeight="1">
      <c r="A38" s="355"/>
      <c r="B38" s="377"/>
      <c r="C38" s="409"/>
      <c r="D38" s="409"/>
      <c r="E38" s="409"/>
      <c r="F38" s="409"/>
      <c r="G38" s="409"/>
      <c r="H38" s="409"/>
      <c r="I38" s="409"/>
      <c r="J38" s="409"/>
      <c r="K38" s="410"/>
      <c r="L38" s="359"/>
      <c r="M38" s="360"/>
      <c r="N38" s="377"/>
      <c r="O38" s="409"/>
      <c r="P38" s="409"/>
      <c r="Q38" s="409"/>
      <c r="R38" s="409"/>
      <c r="S38" s="409"/>
      <c r="T38" s="409"/>
      <c r="U38" s="409"/>
      <c r="V38" s="409"/>
      <c r="W38" s="410"/>
      <c r="X38" s="355"/>
      <c r="Y38" s="362"/>
      <c r="Z38" s="362"/>
      <c r="AA38" s="362"/>
      <c r="AB38" s="362"/>
      <c r="AC38" s="362"/>
      <c r="AD38" s="362"/>
      <c r="AE38" s="362"/>
      <c r="AF38" s="362"/>
      <c r="AG38" s="362"/>
      <c r="AH38" s="362"/>
      <c r="AI38" s="362"/>
      <c r="AJ38" s="362"/>
      <c r="AK38" s="362"/>
      <c r="AL38" s="362"/>
      <c r="AM38" s="362"/>
      <c r="AN38" s="362"/>
      <c r="AO38" s="362"/>
      <c r="AP38" s="362"/>
      <c r="AQ38" s="362"/>
      <c r="AR38" s="362"/>
      <c r="AS38" s="362"/>
      <c r="AT38" s="362"/>
      <c r="AU38" s="362"/>
      <c r="AV38" s="362"/>
    </row>
    <row r="39" spans="8:8" ht="21.0" customHeight="1">
      <c r="A39" s="355"/>
      <c r="B39" s="377"/>
      <c r="C39" s="403" t="s">
        <v>455</v>
      </c>
      <c r="D39" s="411">
        <f>K29</f>
        <v>0.0</v>
      </c>
      <c r="E39" s="412"/>
      <c r="F39" s="413"/>
      <c r="G39" s="414"/>
      <c r="H39" s="414"/>
      <c r="I39" s="414"/>
      <c r="J39" s="414"/>
      <c r="K39" s="415"/>
      <c r="L39" s="359"/>
      <c r="M39" s="360"/>
      <c r="N39" s="377"/>
      <c r="O39" s="403" t="s">
        <v>455</v>
      </c>
      <c r="P39" s="416">
        <f>W29</f>
        <v>0.0</v>
      </c>
      <c r="Q39" s="416"/>
      <c r="R39" s="413"/>
      <c r="S39" s="414"/>
      <c r="T39" s="414"/>
      <c r="U39" s="414"/>
      <c r="V39" s="414"/>
      <c r="W39" s="415"/>
      <c r="X39" s="355"/>
      <c r="Y39" s="362"/>
      <c r="Z39" s="362"/>
      <c r="AA39" s="362"/>
      <c r="AB39" s="362"/>
      <c r="AC39" s="362"/>
      <c r="AD39" s="362"/>
      <c r="AE39" s="362"/>
      <c r="AF39" s="362"/>
      <c r="AG39" s="362"/>
      <c r="AH39" s="362"/>
      <c r="AI39" s="362"/>
      <c r="AJ39" s="362"/>
      <c r="AK39" s="362"/>
      <c r="AL39" s="362"/>
      <c r="AM39" s="362"/>
      <c r="AN39" s="362"/>
      <c r="AO39" s="362"/>
      <c r="AP39" s="362"/>
      <c r="AQ39" s="362"/>
      <c r="AR39" s="362"/>
      <c r="AS39" s="362"/>
      <c r="AT39" s="362"/>
      <c r="AU39" s="362"/>
      <c r="AV39" s="362"/>
    </row>
    <row r="40" spans="8:8" ht="21.0" customHeight="1">
      <c r="A40" s="355"/>
      <c r="B40" s="377"/>
      <c r="C40" s="409"/>
      <c r="D40" s="409"/>
      <c r="E40" s="409"/>
      <c r="F40" s="409"/>
      <c r="G40" s="409"/>
      <c r="H40" s="409"/>
      <c r="I40" s="409"/>
      <c r="J40" s="409"/>
      <c r="K40" s="410"/>
      <c r="L40" s="359"/>
      <c r="M40" s="360"/>
      <c r="N40" s="377"/>
      <c r="O40" s="409"/>
      <c r="P40" s="409"/>
      <c r="Q40" s="409"/>
      <c r="R40" s="409"/>
      <c r="S40" s="409"/>
      <c r="T40" s="409"/>
      <c r="U40" s="409"/>
      <c r="V40" s="409"/>
      <c r="W40" s="410"/>
      <c r="X40" s="355"/>
      <c r="Y40" s="362"/>
      <c r="Z40" s="362"/>
      <c r="AA40" s="362"/>
      <c r="AB40" s="362"/>
      <c r="AC40" s="362"/>
      <c r="AD40" s="362"/>
      <c r="AE40" s="362"/>
      <c r="AF40" s="362"/>
      <c r="AG40" s="362"/>
      <c r="AH40" s="362"/>
      <c r="AI40" s="362"/>
      <c r="AJ40" s="362"/>
      <c r="AK40" s="362"/>
      <c r="AL40" s="362"/>
      <c r="AM40" s="362"/>
      <c r="AN40" s="362"/>
      <c r="AO40" s="362"/>
      <c r="AP40" s="362"/>
      <c r="AQ40" s="362"/>
      <c r="AR40" s="362"/>
      <c r="AS40" s="362"/>
      <c r="AT40" s="362"/>
      <c r="AU40" s="362"/>
      <c r="AV40" s="362"/>
    </row>
    <row r="41" spans="8:8" ht="21.0" customHeight="1">
      <c r="A41" s="355"/>
      <c r="B41" s="377"/>
      <c r="C41" s="409"/>
      <c r="D41" s="409"/>
      <c r="E41" s="409"/>
      <c r="F41" s="409"/>
      <c r="G41" s="417" t="s">
        <v>456</v>
      </c>
      <c r="H41" s="418"/>
      <c r="I41" s="418"/>
      <c r="J41" s="418"/>
      <c r="K41" s="419"/>
      <c r="L41" s="359"/>
      <c r="M41" s="360"/>
      <c r="N41" s="377"/>
      <c r="O41" s="409"/>
      <c r="P41" s="409"/>
      <c r="Q41" s="409"/>
      <c r="R41" s="409"/>
      <c r="S41" s="420" t="s">
        <v>456</v>
      </c>
      <c r="T41" s="421"/>
      <c r="U41" s="421"/>
      <c r="V41" s="421"/>
      <c r="W41" s="422"/>
      <c r="X41" s="355"/>
      <c r="Y41" s="362"/>
      <c r="Z41" s="362"/>
      <c r="AA41" s="362"/>
      <c r="AB41" s="362"/>
      <c r="AC41" s="362"/>
      <c r="AD41" s="362"/>
      <c r="AE41" s="362"/>
      <c r="AF41" s="362"/>
      <c r="AG41" s="362"/>
      <c r="AH41" s="362"/>
      <c r="AI41" s="362"/>
      <c r="AJ41" s="362"/>
      <c r="AK41" s="362"/>
      <c r="AL41" s="362"/>
      <c r="AM41" s="362"/>
      <c r="AN41" s="362"/>
      <c r="AO41" s="362"/>
      <c r="AP41" s="362"/>
      <c r="AQ41" s="362"/>
      <c r="AR41" s="362"/>
      <c r="AS41" s="362"/>
      <c r="AT41" s="362"/>
      <c r="AU41" s="362"/>
      <c r="AV41" s="362"/>
    </row>
    <row r="42" spans="8:8" ht="21.0" customHeight="1">
      <c r="A42" s="355"/>
      <c r="B42" s="377"/>
      <c r="C42" s="409"/>
      <c r="D42" s="409"/>
      <c r="E42" s="409"/>
      <c r="F42" s="409"/>
      <c r="G42" s="423" t="s">
        <v>457</v>
      </c>
      <c r="H42" s="424"/>
      <c r="I42" s="424"/>
      <c r="J42" s="424"/>
      <c r="K42" s="425"/>
      <c r="L42" s="359"/>
      <c r="M42" s="360"/>
      <c r="N42" s="377"/>
      <c r="O42" s="409"/>
      <c r="P42" s="409"/>
      <c r="Q42" s="409"/>
      <c r="R42" s="409"/>
      <c r="S42" s="423" t="s">
        <v>457</v>
      </c>
      <c r="T42" s="424"/>
      <c r="U42" s="424"/>
      <c r="V42" s="424"/>
      <c r="W42" s="425"/>
      <c r="X42" s="355"/>
      <c r="Y42" s="362"/>
      <c r="Z42" s="362"/>
      <c r="AA42" s="362"/>
      <c r="AB42" s="362"/>
      <c r="AC42" s="362"/>
      <c r="AD42" s="362"/>
      <c r="AE42" s="362"/>
      <c r="AF42" s="362"/>
      <c r="AG42" s="362"/>
      <c r="AH42" s="362"/>
      <c r="AI42" s="362"/>
      <c r="AJ42" s="362"/>
      <c r="AK42" s="362"/>
      <c r="AL42" s="362"/>
      <c r="AM42" s="362"/>
      <c r="AN42" s="362"/>
      <c r="AO42" s="362"/>
      <c r="AP42" s="362"/>
      <c r="AQ42" s="362"/>
      <c r="AR42" s="362"/>
      <c r="AS42" s="362"/>
      <c r="AT42" s="362"/>
      <c r="AU42" s="362"/>
      <c r="AV42" s="362"/>
    </row>
    <row r="43" spans="8:8" ht="21.0" customHeight="1">
      <c r="A43" s="355"/>
      <c r="B43" s="377"/>
      <c r="C43" s="409"/>
      <c r="D43" s="409"/>
      <c r="E43" s="409"/>
      <c r="F43" s="409"/>
      <c r="G43" s="426" t="s">
        <v>458</v>
      </c>
      <c r="H43" s="427"/>
      <c r="I43" s="428" t="str">
        <f>$D$6</f>
        <v>AEWAAA</v>
      </c>
      <c r="J43" s="429"/>
      <c r="K43" s="430"/>
      <c r="L43" s="359"/>
      <c r="M43" s="360"/>
      <c r="N43" s="377"/>
      <c r="O43" s="409"/>
      <c r="P43" s="409"/>
      <c r="Q43" s="409"/>
      <c r="R43" s="409"/>
      <c r="S43" s="431" t="s">
        <v>458</v>
      </c>
      <c r="T43" s="432"/>
      <c r="U43" s="433" t="str">
        <f>$D$6</f>
        <v>AEWAAA</v>
      </c>
      <c r="V43" s="433"/>
      <c r="W43" s="434"/>
      <c r="X43" s="355"/>
      <c r="Y43" s="362"/>
      <c r="Z43" s="362"/>
      <c r="AA43" s="362"/>
      <c r="AB43" s="362"/>
      <c r="AC43" s="362"/>
      <c r="AD43" s="362"/>
      <c r="AE43" s="362"/>
      <c r="AF43" s="362"/>
      <c r="AG43" s="362"/>
      <c r="AH43" s="362"/>
      <c r="AI43" s="362"/>
      <c r="AJ43" s="362"/>
      <c r="AK43" s="362"/>
      <c r="AL43" s="362"/>
      <c r="AM43" s="362"/>
      <c r="AN43" s="362"/>
      <c r="AO43" s="362"/>
      <c r="AP43" s="362"/>
      <c r="AQ43" s="362"/>
      <c r="AR43" s="362"/>
      <c r="AS43" s="362"/>
      <c r="AT43" s="362"/>
      <c r="AU43" s="362"/>
      <c r="AV43" s="362"/>
    </row>
    <row r="44" spans="8:8" ht="21.0" customHeight="1">
      <c r="A44" s="355"/>
      <c r="B44" s="377"/>
      <c r="C44" s="409"/>
      <c r="D44" s="409"/>
      <c r="E44" s="409"/>
      <c r="F44" s="409"/>
      <c r="G44" s="435" t="s">
        <v>459</v>
      </c>
      <c r="H44" s="436"/>
      <c r="I44" s="436"/>
      <c r="J44" s="436"/>
      <c r="K44" s="437"/>
      <c r="L44" s="359"/>
      <c r="M44" s="360"/>
      <c r="N44" s="377"/>
      <c r="O44" s="409"/>
      <c r="P44" s="409"/>
      <c r="Q44" s="409"/>
      <c r="R44" s="409"/>
      <c r="S44" s="438" t="s">
        <v>459</v>
      </c>
      <c r="T44" s="439"/>
      <c r="U44" s="439"/>
      <c r="V44" s="439"/>
      <c r="W44" s="440"/>
      <c r="X44" s="355"/>
      <c r="Y44" s="362"/>
      <c r="Z44" s="362"/>
      <c r="AA44" s="362"/>
      <c r="AB44" s="362"/>
      <c r="AC44" s="362"/>
      <c r="AD44" s="362"/>
      <c r="AE44" s="362"/>
      <c r="AF44" s="362"/>
      <c r="AG44" s="362"/>
      <c r="AH44" s="362"/>
      <c r="AI44" s="362"/>
      <c r="AJ44" s="362"/>
      <c r="AK44" s="362"/>
      <c r="AL44" s="362"/>
      <c r="AM44" s="362"/>
      <c r="AN44" s="362"/>
      <c r="AO44" s="362"/>
      <c r="AP44" s="362"/>
      <c r="AQ44" s="362"/>
      <c r="AR44" s="362"/>
      <c r="AS44" s="362"/>
      <c r="AT44" s="362"/>
      <c r="AU44" s="362"/>
      <c r="AV44" s="362"/>
    </row>
    <row r="45" spans="8:8" ht="21.0" customHeight="1">
      <c r="A45" s="355"/>
      <c r="B45" s="377"/>
      <c r="C45" s="409"/>
      <c r="D45" s="409"/>
      <c r="E45" s="409"/>
      <c r="F45" s="409"/>
      <c r="G45" s="441" t="str">
        <f>'HRA CALCULATOR'!$G$22</f>
        <v>VPO XYX,TEH ERT,DIST, TYU RAJ (PIN 123456)</v>
      </c>
      <c r="H45" s="442"/>
      <c r="I45" s="442"/>
      <c r="J45" s="442"/>
      <c r="K45" s="443"/>
      <c r="L45" s="359"/>
      <c r="M45" s="360"/>
      <c r="N45" s="377"/>
      <c r="O45" s="409"/>
      <c r="P45" s="409"/>
      <c r="Q45" s="409"/>
      <c r="R45" s="409"/>
      <c r="S45" s="444" t="str">
        <f>'HRA CALCULATOR'!$G$22</f>
        <v>VPO XYX,TEH ERT,DIST, TYU RAJ (PIN 123456)</v>
      </c>
      <c r="T45" s="445"/>
      <c r="U45" s="445"/>
      <c r="V45" s="445"/>
      <c r="W45" s="446"/>
      <c r="X45" s="355"/>
      <c r="Y45" s="362"/>
      <c r="Z45" s="362"/>
      <c r="AA45" s="362"/>
      <c r="AB45" s="362"/>
      <c r="AC45" s="362"/>
      <c r="AD45" s="362"/>
      <c r="AE45" s="362"/>
      <c r="AF45" s="362"/>
      <c r="AG45" s="362"/>
      <c r="AH45" s="362"/>
      <c r="AI45" s="362"/>
      <c r="AJ45" s="362"/>
      <c r="AK45" s="362"/>
      <c r="AL45" s="362"/>
      <c r="AM45" s="362"/>
      <c r="AN45" s="362"/>
      <c r="AO45" s="362"/>
      <c r="AP45" s="362"/>
      <c r="AQ45" s="362"/>
      <c r="AR45" s="362"/>
      <c r="AS45" s="362"/>
      <c r="AT45" s="362"/>
      <c r="AU45" s="362"/>
      <c r="AV45" s="362"/>
    </row>
    <row r="46" spans="8:8" ht="21.0" customHeight="1">
      <c r="A46" s="355"/>
      <c r="B46" s="377"/>
      <c r="C46" s="409"/>
      <c r="D46" s="409"/>
      <c r="E46" s="409"/>
      <c r="F46" s="409"/>
      <c r="G46" s="447"/>
      <c r="H46" s="448"/>
      <c r="I46" s="448"/>
      <c r="J46" s="448"/>
      <c r="K46" s="449"/>
      <c r="L46" s="359"/>
      <c r="M46" s="360"/>
      <c r="N46" s="377"/>
      <c r="O46" s="409"/>
      <c r="P46" s="409"/>
      <c r="Q46" s="409"/>
      <c r="R46" s="409"/>
      <c r="S46" s="444"/>
      <c r="T46" s="445"/>
      <c r="U46" s="445"/>
      <c r="V46" s="445"/>
      <c r="W46" s="446"/>
      <c r="X46" s="355"/>
      <c r="Y46" s="362"/>
      <c r="Z46" s="362"/>
      <c r="AA46" s="362"/>
      <c r="AB46" s="362"/>
      <c r="AC46" s="362"/>
      <c r="AD46" s="362"/>
      <c r="AE46" s="362"/>
      <c r="AF46" s="362"/>
      <c r="AG46" s="362"/>
      <c r="AH46" s="362"/>
      <c r="AI46" s="362"/>
      <c r="AJ46" s="362"/>
      <c r="AK46" s="362"/>
      <c r="AL46" s="362"/>
      <c r="AM46" s="362"/>
      <c r="AN46" s="362"/>
      <c r="AO46" s="362"/>
      <c r="AP46" s="362"/>
      <c r="AQ46" s="362"/>
      <c r="AR46" s="362"/>
      <c r="AS46" s="362"/>
      <c r="AT46" s="362"/>
      <c r="AU46" s="362"/>
      <c r="AV46" s="362"/>
    </row>
    <row r="47" spans="8:8" ht="21.0" customHeight="1">
      <c r="A47" s="355"/>
      <c r="B47" s="377"/>
      <c r="C47" s="409"/>
      <c r="D47" s="409"/>
      <c r="E47" s="409"/>
      <c r="F47" s="409"/>
      <c r="G47" s="450" t="s">
        <v>460</v>
      </c>
      <c r="H47" s="451"/>
      <c r="I47" s="452"/>
      <c r="J47" s="453" t="str">
        <f>'HRA CALCULATOR'!$H$22</f>
        <v>ABCDE1234G</v>
      </c>
      <c r="K47" s="454"/>
      <c r="L47" s="359"/>
      <c r="M47" s="360"/>
      <c r="N47" s="377"/>
      <c r="O47" s="409"/>
      <c r="P47" s="409"/>
      <c r="Q47" s="409"/>
      <c r="R47" s="409"/>
      <c r="S47" s="450" t="s">
        <v>460</v>
      </c>
      <c r="T47" s="451"/>
      <c r="U47" s="452"/>
      <c r="V47" s="455" t="str">
        <f>'HRA CALCULATOR'!$H$22</f>
        <v>ABCDE1234G</v>
      </c>
      <c r="W47" s="456"/>
      <c r="X47" s="355"/>
      <c r="Y47" s="362"/>
      <c r="Z47" s="362"/>
      <c r="AA47" s="362"/>
      <c r="AB47" s="362"/>
      <c r="AC47" s="362"/>
      <c r="AD47" s="362"/>
      <c r="AE47" s="362"/>
      <c r="AF47" s="362"/>
      <c r="AG47" s="362"/>
      <c r="AH47" s="362"/>
      <c r="AI47" s="362"/>
      <c r="AJ47" s="362"/>
      <c r="AK47" s="362"/>
      <c r="AL47" s="362"/>
      <c r="AM47" s="362"/>
      <c r="AN47" s="362"/>
      <c r="AO47" s="362"/>
      <c r="AP47" s="362"/>
      <c r="AQ47" s="362"/>
      <c r="AR47" s="362"/>
      <c r="AS47" s="362"/>
      <c r="AT47" s="362"/>
      <c r="AU47" s="362"/>
      <c r="AV47" s="362"/>
    </row>
    <row r="48" spans="8:8" ht="6.0" customHeight="1">
      <c r="A48" s="355"/>
      <c r="B48" s="461"/>
      <c r="C48" s="458"/>
      <c r="D48" s="458"/>
      <c r="E48" s="458"/>
      <c r="F48" s="458"/>
      <c r="G48" s="459"/>
      <c r="H48" s="459"/>
      <c r="I48" s="459"/>
      <c r="J48" s="459"/>
      <c r="K48" s="460"/>
      <c r="L48" s="359"/>
      <c r="M48" s="360"/>
      <c r="N48" s="461"/>
      <c r="O48" s="458"/>
      <c r="P48" s="458"/>
      <c r="Q48" s="458"/>
      <c r="R48" s="458"/>
      <c r="S48" s="458"/>
      <c r="T48" s="458"/>
      <c r="U48" s="458"/>
      <c r="V48" s="458"/>
      <c r="W48" s="462"/>
      <c r="X48" s="355"/>
      <c r="Y48" s="362"/>
      <c r="Z48" s="362"/>
      <c r="AA48" s="362"/>
      <c r="AB48" s="362"/>
      <c r="AC48" s="362"/>
      <c r="AD48" s="362"/>
      <c r="AE48" s="362"/>
      <c r="AF48" s="362"/>
      <c r="AG48" s="362"/>
      <c r="AH48" s="362"/>
      <c r="AI48" s="362"/>
      <c r="AJ48" s="362"/>
      <c r="AK48" s="362"/>
      <c r="AL48" s="362"/>
      <c r="AM48" s="362"/>
      <c r="AN48" s="362"/>
      <c r="AO48" s="362"/>
      <c r="AP48" s="362"/>
      <c r="AQ48" s="362"/>
      <c r="AR48" s="362"/>
      <c r="AS48" s="362"/>
      <c r="AT48" s="362"/>
      <c r="AU48" s="362"/>
      <c r="AV48" s="362"/>
    </row>
    <row r="49" spans="8:8"/>
    <row r="50" spans="8:8" hidden="1"/>
    <row r="51" spans="8:8" hidden="1"/>
    <row r="52" spans="8:8" hidden="1"/>
    <row r="53" spans="8:8" hidden="1"/>
    <row r="54" spans="8:8" hidden="1"/>
    <row r="55" spans="8:8" hidden="1"/>
    <row r="56" spans="8:8" hidden="1"/>
    <row r="57" spans="8:8" hidden="1"/>
    <row r="58" spans="8:8" hidden="1"/>
    <row r="59" spans="8:8" hidden="1"/>
    <row r="60" spans="8:8" hidden="1"/>
    <row r="61" spans="8:8" hidden="1"/>
    <row r="62" spans="8:8" hidden="1"/>
    <row r="63" spans="8:8" hidden="1"/>
    <row r="64" spans="8:8" hidden="1"/>
    <row r="65" spans="8:8" hidden="1"/>
    <row r="66" spans="8:8" hidden="1"/>
    <row r="67" spans="8:8" hidden="1"/>
    <row r="68" spans="8:8" hidden="1"/>
    <row r="69" spans="8:8" hidden="1"/>
    <row r="70" spans="8:8" hidden="1"/>
    <row r="71" spans="8:8" hidden="1"/>
    <row r="72" spans="8:8" hidden="1"/>
    <row r="73" spans="8:8" hidden="1"/>
    <row r="74" spans="8:8" hidden="1"/>
    <row r="75" spans="8:8" hidden="1"/>
    <row r="76" spans="8:8" hidden="1"/>
    <row r="77" spans="8:8" hidden="1"/>
    <row r="78" spans="8:8" hidden="1"/>
    <row r="79" spans="8:8" hidden="1"/>
    <row r="80" spans="8:8" hidden="1"/>
    <row r="81" spans="8:8" hidden="1"/>
    <row r="82" spans="8:8" hidden="1"/>
    <row r="83" spans="8:8" hidden="1"/>
    <row r="84" spans="8:8" hidden="1"/>
    <row r="85" spans="8:8" hidden="1"/>
    <row r="86" spans="8:8" hidden="1"/>
    <row r="87" spans="8:8" hidden="1"/>
    <row r="88" spans="8:8" hidden="1"/>
    <row r="89" spans="8:8" hidden="1"/>
    <row r="90" spans="8:8" hidden="1"/>
    <row r="91" spans="8:8" hidden="1"/>
    <row r="92" spans="8:8" hidden="1"/>
    <row r="93" spans="8:8" hidden="1"/>
    <row r="94" spans="8:8" hidden="1"/>
    <row r="95" spans="8:8" hidden="1"/>
    <row r="96" spans="8:8" hidden="1"/>
    <row r="97" spans="8:8" hidden="1"/>
    <row r="98" spans="8:8" hidden="1"/>
    <row r="99" spans="8:8" hidden="1"/>
    <row r="100" spans="8:8" hidden="1"/>
    <row r="101" spans="8:8" hidden="1"/>
    <row r="102" spans="8:8" hidden="1"/>
    <row r="103" spans="8:8" hidden="1"/>
    <row r="104" spans="8:8" hidden="1"/>
    <row r="105" spans="8:8" hidden="1"/>
    <row r="106" spans="8:8" hidden="1"/>
    <row r="107" spans="8:8" hidden="1"/>
    <row r="108" spans="8:8" hidden="1"/>
    <row r="109" spans="8:8" hidden="1"/>
    <row r="110" spans="8:8" hidden="1"/>
    <row r="111" spans="8:8" hidden="1"/>
    <row r="112" spans="8:8" hidden="1"/>
    <row r="113" spans="8:8" hidden="1"/>
    <row r="114" spans="8:8" hidden="1"/>
  </sheetData>
  <sheetProtection password="cda0" sheet="1" objects="1" scenarios="1" formatCells="0"/>
  <mergeCells count="141">
    <mergeCell ref="A2:A48"/>
    <mergeCell ref="B3:K3"/>
    <mergeCell ref="O7:R7"/>
    <mergeCell ref="S47:U47"/>
    <mergeCell ref="N28:W28"/>
    <mergeCell ref="U29:V29"/>
    <mergeCell ref="U5:V5"/>
    <mergeCell ref="N5:T5"/>
    <mergeCell ref="S42:W42"/>
    <mergeCell ref="O26:W26"/>
    <mergeCell ref="O40:W40"/>
    <mergeCell ref="S41:W41"/>
    <mergeCell ref="O31:R31"/>
    <mergeCell ref="Y1:AH1"/>
    <mergeCell ref="B4:K4"/>
    <mergeCell ref="C41:F48"/>
    <mergeCell ref="M2:M48"/>
    <mergeCell ref="S44:W44"/>
    <mergeCell ref="X2:X48"/>
    <mergeCell ref="N4:W4"/>
    <mergeCell ref="G7:J7"/>
    <mergeCell ref="U43:W43"/>
    <mergeCell ref="N3:W3"/>
    <mergeCell ref="B5:H5"/>
    <mergeCell ref="G47:I47"/>
    <mergeCell ref="C38:K38"/>
    <mergeCell ref="G48:K48"/>
    <mergeCell ref="G9:K9"/>
    <mergeCell ref="B2:K2"/>
    <mergeCell ref="D39:E39"/>
    <mergeCell ref="N27:W27"/>
    <mergeCell ref="G23:I23"/>
    <mergeCell ref="O33:R33"/>
    <mergeCell ref="O35:P35"/>
    <mergeCell ref="O36:W36"/>
    <mergeCell ref="S31:V31"/>
    <mergeCell ref="O2:W2"/>
    <mergeCell ref="F39:K39"/>
    <mergeCell ref="N1:W1"/>
    <mergeCell ref="S43:T43"/>
    <mergeCell ref="Q35:W35"/>
    <mergeCell ref="O34:R34"/>
    <mergeCell ref="S34:W34"/>
    <mergeCell ref="B7:F7"/>
    <mergeCell ref="G42:K42"/>
    <mergeCell ref="B25:K25"/>
    <mergeCell ref="C35:D35"/>
    <mergeCell ref="B27:K27"/>
    <mergeCell ref="G45:K46"/>
    <mergeCell ref="B30:B48"/>
    <mergeCell ref="G44:K44"/>
    <mergeCell ref="B29:H29"/>
    <mergeCell ref="I5:J5"/>
    <mergeCell ref="C16:K16"/>
    <mergeCell ref="G43:H43"/>
    <mergeCell ref="C31:F31"/>
    <mergeCell ref="I29:J29"/>
    <mergeCell ref="G31:J31"/>
    <mergeCell ref="G34:K34"/>
    <mergeCell ref="G41:K41"/>
    <mergeCell ref="O16:W16"/>
    <mergeCell ref="P39:Q39"/>
    <mergeCell ref="I43:K43"/>
    <mergeCell ref="E11:K11"/>
    <mergeCell ref="C34:F34"/>
    <mergeCell ref="P37:Q37"/>
    <mergeCell ref="G19:H19"/>
    <mergeCell ref="U19:W19"/>
    <mergeCell ref="D30:K30"/>
    <mergeCell ref="B10:F10"/>
    <mergeCell ref="G24:K24"/>
    <mergeCell ref="C14:K14"/>
    <mergeCell ref="N6:N24"/>
    <mergeCell ref="O41:R48"/>
    <mergeCell ref="P8:W8"/>
    <mergeCell ref="P15:Q15"/>
    <mergeCell ref="R15:W15"/>
    <mergeCell ref="B6:C6"/>
    <mergeCell ref="C40:K40"/>
    <mergeCell ref="V47:W47"/>
    <mergeCell ref="N29:T29"/>
    <mergeCell ref="S7:V7"/>
    <mergeCell ref="O9:R9"/>
    <mergeCell ref="S9:W9"/>
    <mergeCell ref="N30:N48"/>
    <mergeCell ref="C17:F24"/>
    <mergeCell ref="B8:C8"/>
    <mergeCell ref="C26:K26"/>
    <mergeCell ref="I19:K19"/>
    <mergeCell ref="F15:K15"/>
    <mergeCell ref="C12:K12"/>
    <mergeCell ref="G17:K17"/>
    <mergeCell ref="D15:E15"/>
    <mergeCell ref="S48:W48"/>
    <mergeCell ref="O17:R24"/>
    <mergeCell ref="R13:W13"/>
    <mergeCell ref="O10:R10"/>
    <mergeCell ref="O12:W12"/>
    <mergeCell ref="E35:K35"/>
    <mergeCell ref="B9:F9"/>
    <mergeCell ref="D6:K6"/>
    <mergeCell ref="J47:K47"/>
    <mergeCell ref="P32:W32"/>
    <mergeCell ref="C36:K36"/>
    <mergeCell ref="P30:W30"/>
    <mergeCell ref="R39:W39"/>
    <mergeCell ref="C33:F33"/>
    <mergeCell ref="B28:K28"/>
    <mergeCell ref="N25:W25"/>
    <mergeCell ref="S33:W33"/>
    <mergeCell ref="J23:K23"/>
    <mergeCell ref="P13:Q13"/>
    <mergeCell ref="S20:W20"/>
    <mergeCell ref="S19:T19"/>
    <mergeCell ref="S21:W22"/>
    <mergeCell ref="O11:P11"/>
    <mergeCell ref="F13:K13"/>
    <mergeCell ref="D37:E37"/>
    <mergeCell ref="D8:K8"/>
    <mergeCell ref="B11:D11"/>
    <mergeCell ref="G20:K20"/>
    <mergeCell ref="D32:K32"/>
    <mergeCell ref="G33:K33"/>
    <mergeCell ref="D13:E13"/>
    <mergeCell ref="P6:W6"/>
    <mergeCell ref="S45:W46"/>
    <mergeCell ref="O38:W38"/>
    <mergeCell ref="S18:W18"/>
    <mergeCell ref="O14:W14"/>
    <mergeCell ref="G10:K10"/>
    <mergeCell ref="V23:W23"/>
    <mergeCell ref="S10:W10"/>
    <mergeCell ref="R37:W37"/>
    <mergeCell ref="G21:K22"/>
    <mergeCell ref="S17:W17"/>
    <mergeCell ref="Q11:W11"/>
    <mergeCell ref="G18:K18"/>
    <mergeCell ref="S23:U23"/>
    <mergeCell ref="S24:W24"/>
    <mergeCell ref="B1:K1"/>
    <mergeCell ref="F37:K37"/>
  </mergeCells>
  <conditionalFormatting sqref="O26:W26 N26:N30 W29:W34 P37:R37 P39:R39 S41:W48 P30:V30 P32:Q35 O30:O41 R32:V34 S31">
    <cfRule type="cellIs" operator="equal" priority="2" dxfId="5">
      <formula>0</formula>
    </cfRule>
  </conditionalFormatting>
  <conditionalFormatting sqref="X1 K5:K10 D13:F13 D15:F15 N25:W25 B25:F25 G17:K25 D6:J6 D8:J8 G7 G9:J10 E11 C12:C17 B2:B11">
    <cfRule type="cellIs" operator="equal" priority="6" dxfId="6">
      <formula>0</formula>
    </cfRule>
  </conditionalFormatting>
  <conditionalFormatting sqref="C26:K26 B26:B30 K29:K34 D37:F37 D39:F39 G41:K48 D30:J30 D32:E35 C30:C41 F32:J34 G31">
    <cfRule type="cellIs" operator="equal" priority="1" dxfId="7">
      <formula>0</formula>
    </cfRule>
  </conditionalFormatting>
  <conditionalFormatting sqref="O2:W2 N2:N6 W5:W10 P13:R13 P15:R15 S17:W24 P6:V6 P8:Q11 O6:O17 R8:V10 S7">
    <cfRule type="cellIs" operator="equal" priority="4" dxfId="8">
      <formula>0</formula>
    </cfRule>
  </conditionalFormatting>
  <printOptions horizontalCentered="1"/>
  <pageMargins left="0.1968503937007874" right="0.11811023622047245" top="0.11811023622047245" bottom="0.11811023622047245" header="0.07874015748031496" footer="0.07874015748031496"/>
  <pageSetup paperSize="9" scale="87"/>
  <headerFooter>
    <oddFooter>&amp;C&amp;"Arial,Bold"&amp;11निर्माणकर्ता :-भागीरथ मल अध्यापक L-1 GSSS डसाणा खुर्द मौलासर (डीडवाना-कुचामन)</oddFooter>
  </headerFooter>
  <drawing r:id="rId1"/>
</worksheet>
</file>

<file path=xl/worksheets/sheet7.xml><?xml version="1.0" encoding="utf-8"?>
<worksheet xmlns:r="http://schemas.openxmlformats.org/officeDocument/2006/relationships" xmlns="http://schemas.openxmlformats.org/spreadsheetml/2006/main">
  <sheetPr>
    <tabColor rgb="FF00B0F0"/>
    <pageSetUpPr fitToPage="1"/>
  </sheetPr>
  <dimension ref="A1:DA79"/>
  <sheetViews>
    <sheetView workbookViewId="0" topLeftCell="A41" showGridLines="0" showRowColHeaders="0" zoomScale="115">
      <selection activeCell="L79" sqref="L79"/>
    </sheetView>
  </sheetViews>
  <sheetFormatPr defaultRowHeight="27.0" customHeight="1" defaultColWidth="0" zeroHeight="1"/>
  <cols>
    <col min="1" max="1" customWidth="1" width="3.0" style="0"/>
    <col min="2" max="2" customWidth="1" width="3.5703125" style="467"/>
    <col min="3" max="3" customWidth="1" width="3.0" style="468"/>
    <col min="4" max="4" customWidth="1" width="12.0" style="468"/>
    <col min="5" max="5" customWidth="1" width="9.140625" style="468"/>
    <col min="6" max="6" customWidth="1" width="7.2851562" style="468"/>
    <col min="7" max="7" customWidth="1" width="5.0" style="468"/>
    <col min="8" max="8" customWidth="1" width="6.140625" style="468"/>
    <col min="9" max="9" customWidth="1" width="10.5703125" style="468"/>
    <col min="10" max="10" customWidth="1" width="6.140625" style="468"/>
    <col min="11" max="11" customWidth="1" width="12.140625" style="468"/>
    <col min="12" max="12" customWidth="1" width="12.285156" style="468"/>
    <col min="13" max="13" customWidth="1" width="9.425781" style="468"/>
    <col min="14" max="14" customWidth="1" width="3.5703125" style="468"/>
    <col min="15" max="15" customWidth="1" width="13.0" style="468"/>
    <col min="16" max="16" customWidth="1" bestFit="1" width="2.7109375" style="469"/>
    <col min="17" max="17" customWidth="1" width="14.0" style="470"/>
    <col min="18" max="18" customWidth="1" width="4.140625" style="0"/>
    <col min="19" max="19" hidden="1" customWidth="1" width="2.5703125" style="0"/>
    <col min="20" max="20" hidden="1" customWidth="1" width="2.2851562" style="0"/>
    <col min="21" max="21" hidden="1" customWidth="1" width="9.140625" style="471"/>
    <col min="22" max="22" hidden="1" customWidth="1" width="11.855469" style="471"/>
    <col min="23" max="23" hidden="1" customWidth="1" width="15.5703125" style="471"/>
    <col min="24" max="24" hidden="1" customWidth="1" width="14.140625" style="471"/>
    <col min="25" max="29" hidden="1" customWidth="1" width="9.140625" style="471"/>
    <col min="30" max="30" customWidth="1" width="5.2851562" style="471"/>
    <col min="104" max="16384" hidden="1" customWidth="0" width="9.140625" style="0"/>
  </cols>
  <sheetData>
    <row r="1" spans="8:8" s="472" ht="18.75" customFormat="1" customHeight="1">
      <c r="A1" s="473"/>
      <c r="B1" s="474" t="str">
        <f>'GA-55'!C2</f>
        <v>OFFICE OF THE  PRINCIPAL,GOVT. SEN. SEC. SCHOOL DASANA KHURD (DEEDWANA-KUCHAMAN)</v>
      </c>
      <c r="C1" s="475"/>
      <c r="D1" s="475"/>
      <c r="E1" s="475"/>
      <c r="F1" s="475"/>
      <c r="G1" s="475"/>
      <c r="H1" s="475"/>
      <c r="I1" s="475"/>
      <c r="J1" s="475"/>
      <c r="K1" s="475"/>
      <c r="L1" s="475"/>
      <c r="M1" s="475"/>
      <c r="N1" s="475"/>
      <c r="O1" s="475"/>
      <c r="P1" s="476"/>
      <c r="Q1" s="477"/>
      <c r="R1" s="473"/>
      <c r="U1" s="478"/>
      <c r="V1" s="478"/>
      <c r="W1" s="478"/>
      <c r="X1" s="478"/>
      <c r="Y1" s="478"/>
      <c r="Z1" s="478"/>
      <c r="AA1" s="478"/>
      <c r="AB1" s="478"/>
      <c r="AC1" s="478"/>
      <c r="AD1" s="478"/>
    </row>
    <row r="2" spans="8:8" s="472" ht="24.0" customFormat="1">
      <c r="A2" s="473"/>
      <c r="B2" s="479" t="s">
        <v>287</v>
      </c>
      <c r="C2" s="480"/>
      <c r="D2" s="480"/>
      <c r="E2" s="480"/>
      <c r="F2" s="480"/>
      <c r="G2" s="480"/>
      <c r="H2" s="480"/>
      <c r="I2" s="480"/>
      <c r="J2" s="480"/>
      <c r="K2" s="480"/>
      <c r="L2" s="480"/>
      <c r="M2" s="481"/>
      <c r="N2" s="482" t="s">
        <v>286</v>
      </c>
      <c r="O2" s="483"/>
      <c r="P2" s="484"/>
      <c r="Q2" s="485"/>
      <c r="R2" s="473"/>
      <c r="U2" s="478"/>
      <c r="V2" s="478"/>
      <c r="W2" s="478"/>
      <c r="X2" s="478"/>
      <c r="Y2" s="478"/>
      <c r="Z2" s="478"/>
      <c r="AA2" s="478"/>
      <c r="AB2" s="478"/>
      <c r="AC2" s="478"/>
      <c r="AD2" s="478"/>
    </row>
    <row r="3" spans="8:8" s="472" ht="17.1" customFormat="1" customHeight="1">
      <c r="A3" s="473"/>
      <c r="B3" s="486">
        <v>1.0</v>
      </c>
      <c r="C3" s="487" t="s">
        <v>2</v>
      </c>
      <c r="D3" s="488"/>
      <c r="E3" s="489" t="str">
        <f>'GA-55'!D5</f>
        <v>BHAGIRATH MAL</v>
      </c>
      <c r="F3" s="489"/>
      <c r="G3" s="489"/>
      <c r="H3" s="489"/>
      <c r="I3" s="489"/>
      <c r="J3" s="489"/>
      <c r="K3" s="490" t="s">
        <v>8</v>
      </c>
      <c r="L3" s="491" t="str">
        <f>'GA-55'!L5</f>
        <v>TEACHER L-1 पे लेवल L-14</v>
      </c>
      <c r="M3" s="491"/>
      <c r="N3" s="491"/>
      <c r="O3" s="492" t="s">
        <v>7</v>
      </c>
      <c r="P3" s="493" t="str">
        <f>IF('GA-55'!Q5="","",'GA-55'!Q5)</f>
        <v>AAAAAXXXXA</v>
      </c>
      <c r="Q3" s="494"/>
      <c r="R3" s="473"/>
      <c r="U3" s="478"/>
      <c r="V3" s="478"/>
      <c r="W3" s="478"/>
      <c r="X3" s="478"/>
      <c r="Y3" s="478"/>
      <c r="Z3" s="478"/>
      <c r="AA3" s="478"/>
      <c r="AB3" s="478"/>
      <c r="AC3" s="478"/>
      <c r="AD3" s="478"/>
    </row>
    <row r="4" spans="8:8" s="472" ht="17.1" customFormat="1" customHeight="1">
      <c r="A4" s="473"/>
      <c r="B4" s="495">
        <v>2.0</v>
      </c>
      <c r="C4" s="496" t="s">
        <v>241</v>
      </c>
      <c r="D4" s="496"/>
      <c r="E4" s="497"/>
      <c r="F4" s="497"/>
      <c r="G4" s="497"/>
      <c r="H4" s="497"/>
      <c r="I4" s="497"/>
      <c r="J4" s="497"/>
      <c r="K4" s="496"/>
      <c r="L4" s="497"/>
      <c r="M4" s="497"/>
      <c r="N4" s="497"/>
      <c r="O4" s="496"/>
      <c r="P4" s="498">
        <f>'GA-55'!M28</f>
        <v>1512112.0</v>
      </c>
      <c r="Q4" s="499"/>
      <c r="R4" s="473"/>
      <c r="U4" s="478"/>
      <c r="V4" s="478"/>
      <c r="W4" s="478"/>
      <c r="X4" s="478"/>
      <c r="Y4" s="478"/>
      <c r="Z4" s="478"/>
      <c r="AA4" s="478"/>
      <c r="AB4" s="478"/>
      <c r="AC4" s="478"/>
      <c r="AD4" s="478"/>
    </row>
    <row r="5" spans="8:8" s="472" ht="17.1" customFormat="1" customHeight="1">
      <c r="A5" s="473"/>
      <c r="B5" s="495">
        <v>3.0</v>
      </c>
      <c r="C5" s="497" t="s">
        <v>90</v>
      </c>
      <c r="D5" s="497"/>
      <c r="E5" s="497"/>
      <c r="F5" s="497"/>
      <c r="G5" s="497"/>
      <c r="H5" s="497"/>
      <c r="I5" s="497"/>
      <c r="J5" s="497"/>
      <c r="K5" s="497"/>
      <c r="L5" s="497"/>
      <c r="M5" s="497"/>
      <c r="N5" s="497"/>
      <c r="O5" s="497"/>
      <c r="P5" s="500">
        <f>'OTHER DEDUCTION'!E20</f>
        <v>0.0</v>
      </c>
      <c r="Q5" s="501"/>
      <c r="R5" s="473"/>
      <c r="U5" s="478"/>
      <c r="V5" s="478"/>
      <c r="W5" s="478"/>
      <c r="X5" s="478"/>
      <c r="Y5" s="478"/>
      <c r="Z5" s="478"/>
      <c r="AA5" s="478"/>
      <c r="AB5" s="478"/>
      <c r="AC5" s="478"/>
      <c r="AD5" s="478"/>
    </row>
    <row r="6" spans="8:8" s="472" ht="17.1" customFormat="1" customHeight="1">
      <c r="A6" s="473"/>
      <c r="B6" s="495">
        <v>4.0</v>
      </c>
      <c r="C6" s="502" t="s">
        <v>9</v>
      </c>
      <c r="D6" s="502"/>
      <c r="E6" s="502"/>
      <c r="F6" s="502"/>
      <c r="G6" s="502"/>
      <c r="H6" s="502"/>
      <c r="I6" s="502"/>
      <c r="J6" s="502"/>
      <c r="K6" s="502"/>
      <c r="L6" s="502"/>
      <c r="M6" s="502"/>
      <c r="N6" s="502"/>
      <c r="O6" s="502"/>
      <c r="P6" s="503">
        <f>P4-P5</f>
        <v>1512112.0</v>
      </c>
      <c r="Q6" s="504"/>
      <c r="R6" s="473"/>
      <c r="U6" s="478"/>
      <c r="V6" s="478"/>
      <c r="W6" s="478"/>
      <c r="X6" s="478"/>
      <c r="Y6" s="478"/>
      <c r="Z6" s="478"/>
      <c r="AA6" s="478"/>
      <c r="AB6" s="478"/>
      <c r="AC6" s="478"/>
      <c r="AD6" s="478"/>
    </row>
    <row r="7" spans="8:8" s="472" ht="17.1" customFormat="1" customHeight="1">
      <c r="A7" s="473"/>
      <c r="B7" s="505">
        <v>5.0</v>
      </c>
      <c r="C7" s="506" t="s">
        <v>240</v>
      </c>
      <c r="D7" s="507"/>
      <c r="E7" s="507"/>
      <c r="F7" s="507"/>
      <c r="G7" s="507"/>
      <c r="H7" s="507"/>
      <c r="I7" s="507"/>
      <c r="J7" s="507"/>
      <c r="K7" s="507"/>
      <c r="L7" s="507"/>
      <c r="M7" s="508">
        <f>IF($P$6&gt;75000,75000,$P$6)</f>
        <v>75000.0</v>
      </c>
      <c r="N7" s="508"/>
      <c r="O7" s="508"/>
      <c r="P7" s="509"/>
      <c r="Q7" s="510"/>
      <c r="R7" s="473"/>
      <c r="U7" s="478"/>
      <c r="V7" s="478"/>
      <c r="W7" s="478"/>
      <c r="X7" s="478"/>
      <c r="Y7" s="478"/>
      <c r="Z7" s="478"/>
      <c r="AA7" s="478"/>
      <c r="AB7" s="478"/>
      <c r="AC7" s="478"/>
      <c r="AD7" s="478"/>
    </row>
    <row r="8" spans="8:8" s="472" ht="17.1" customFormat="1" customHeight="1">
      <c r="A8" s="473"/>
      <c r="B8" s="511"/>
      <c r="C8" s="506" t="s">
        <v>91</v>
      </c>
      <c r="D8" s="507"/>
      <c r="E8" s="507"/>
      <c r="F8" s="507"/>
      <c r="G8" s="507"/>
      <c r="H8" s="507"/>
      <c r="I8" s="507"/>
      <c r="J8" s="507"/>
      <c r="K8" s="507"/>
      <c r="L8" s="507"/>
      <c r="M8" s="508">
        <v>0.0</v>
      </c>
      <c r="N8" s="508"/>
      <c r="O8" s="508"/>
      <c r="P8" s="512"/>
      <c r="Q8" s="513"/>
      <c r="R8" s="473"/>
      <c r="U8" s="478"/>
      <c r="V8" s="478"/>
      <c r="W8" s="478"/>
      <c r="X8" s="478"/>
      <c r="Y8" s="478"/>
      <c r="Z8" s="478"/>
      <c r="AA8" s="478"/>
      <c r="AB8" s="478"/>
      <c r="AC8" s="478"/>
      <c r="AD8" s="478"/>
    </row>
    <row r="9" spans="8:8" s="472" ht="17.1" customFormat="1" customHeight="1">
      <c r="A9" s="473"/>
      <c r="B9" s="511"/>
      <c r="C9" s="506" t="s">
        <v>92</v>
      </c>
      <c r="D9" s="507"/>
      <c r="E9" s="507"/>
      <c r="F9" s="507"/>
      <c r="G9" s="507"/>
      <c r="H9" s="507"/>
      <c r="I9" s="507"/>
      <c r="J9" s="507"/>
      <c r="K9" s="507"/>
      <c r="L9" s="507"/>
      <c r="M9" s="508">
        <v>0.0</v>
      </c>
      <c r="N9" s="508"/>
      <c r="O9" s="508"/>
      <c r="P9" s="514"/>
      <c r="Q9" s="515"/>
      <c r="R9" s="473"/>
      <c r="U9" s="478"/>
      <c r="V9" s="478"/>
      <c r="W9" s="478"/>
      <c r="X9" s="478"/>
      <c r="Y9" s="478"/>
      <c r="Z9" s="478"/>
      <c r="AA9" s="478"/>
      <c r="AB9" s="478"/>
      <c r="AC9" s="478"/>
      <c r="AD9" s="478"/>
    </row>
    <row r="10" spans="8:8" s="472" ht="17.1" customFormat="1" customHeight="1">
      <c r="A10" s="473"/>
      <c r="B10" s="516"/>
      <c r="C10" s="517" t="s">
        <v>268</v>
      </c>
      <c r="D10" s="518"/>
      <c r="E10" s="518"/>
      <c r="F10" s="518"/>
      <c r="G10" s="518"/>
      <c r="H10" s="518"/>
      <c r="I10" s="518"/>
      <c r="J10" s="518"/>
      <c r="K10" s="518"/>
      <c r="L10" s="518"/>
      <c r="M10" s="518"/>
      <c r="N10" s="518"/>
      <c r="O10" s="519"/>
      <c r="P10" s="520">
        <f>SUM(M7:O9)</f>
        <v>75000.0</v>
      </c>
      <c r="Q10" s="521"/>
      <c r="R10" s="473"/>
      <c r="U10" s="478"/>
      <c r="V10" s="478"/>
      <c r="W10" s="478"/>
      <c r="X10" s="478"/>
      <c r="Y10" s="478"/>
      <c r="Z10" s="478"/>
      <c r="AA10" s="478"/>
      <c r="AB10" s="478"/>
      <c r="AC10" s="478"/>
      <c r="AD10" s="478"/>
    </row>
    <row r="11" spans="8:8" s="472" ht="17.1" customFormat="1" customHeight="1">
      <c r="A11" s="473"/>
      <c r="B11" s="495">
        <v>6.0</v>
      </c>
      <c r="C11" s="517" t="s">
        <v>269</v>
      </c>
      <c r="D11" s="518"/>
      <c r="E11" s="518"/>
      <c r="F11" s="518"/>
      <c r="G11" s="518"/>
      <c r="H11" s="518"/>
      <c r="I11" s="518"/>
      <c r="J11" s="518"/>
      <c r="K11" s="518"/>
      <c r="L11" s="518"/>
      <c r="M11" s="518"/>
      <c r="N11" s="518"/>
      <c r="O11" s="519"/>
      <c r="P11" s="503">
        <f>P6-P10</f>
        <v>1437112.0</v>
      </c>
      <c r="Q11" s="504"/>
      <c r="R11" s="473"/>
      <c r="U11" s="478"/>
      <c r="V11" s="478"/>
      <c r="W11" s="478"/>
      <c r="X11" s="478"/>
      <c r="Y11" s="478"/>
      <c r="Z11" s="478"/>
      <c r="AA11" s="478"/>
      <c r="AB11" s="478"/>
      <c r="AC11" s="478"/>
      <c r="AD11" s="478"/>
    </row>
    <row r="12" spans="8:8" s="472" ht="17.1" customFormat="1" customHeight="1">
      <c r="A12" s="473"/>
      <c r="B12" s="522">
        <v>7.0</v>
      </c>
      <c r="C12" s="523" t="s">
        <v>106</v>
      </c>
      <c r="D12" s="523"/>
      <c r="E12" s="523"/>
      <c r="F12" s="523"/>
      <c r="G12" s="523"/>
      <c r="H12" s="523"/>
      <c r="I12" s="523"/>
      <c r="J12" s="523"/>
      <c r="K12" s="524" t="s">
        <v>10</v>
      </c>
      <c r="L12" s="524"/>
      <c r="M12" s="508">
        <f>'OTHER DEDUCTION'!B6</f>
        <v>0.0</v>
      </c>
      <c r="N12" s="508"/>
      <c r="O12" s="508"/>
      <c r="P12" s="525"/>
      <c r="Q12" s="526"/>
      <c r="R12" s="473"/>
      <c r="U12" s="478"/>
      <c r="V12" s="478"/>
      <c r="W12" s="478"/>
      <c r="X12" s="478"/>
      <c r="Y12" s="478"/>
      <c r="Z12" s="478"/>
      <c r="AA12" s="478"/>
      <c r="AB12" s="478"/>
      <c r="AC12" s="478"/>
      <c r="AD12" s="478"/>
    </row>
    <row r="13" spans="8:8" s="472" ht="17.1" customFormat="1" customHeight="1">
      <c r="A13" s="473"/>
      <c r="B13" s="522"/>
      <c r="C13" s="527" t="s">
        <v>11</v>
      </c>
      <c r="D13" s="528"/>
      <c r="E13" s="529" t="s">
        <v>88</v>
      </c>
      <c r="F13" s="530"/>
      <c r="G13" s="531"/>
      <c r="H13" s="532" t="s">
        <v>3</v>
      </c>
      <c r="I13" s="532"/>
      <c r="J13" s="532"/>
      <c r="K13" s="524" t="s">
        <v>12</v>
      </c>
      <c r="L13" s="524"/>
      <c r="M13" s="524" t="s">
        <v>37</v>
      </c>
      <c r="N13" s="524"/>
      <c r="O13" s="524"/>
      <c r="P13" s="525"/>
      <c r="Q13" s="526"/>
      <c r="R13" s="473"/>
      <c r="U13" s="478"/>
      <c r="V13" s="478"/>
      <c r="W13" s="478"/>
      <c r="X13" s="478"/>
      <c r="Y13" s="478"/>
      <c r="Z13" s="478"/>
      <c r="AA13" s="478"/>
      <c r="AB13" s="478"/>
      <c r="AC13" s="478"/>
      <c r="AD13" s="478"/>
    </row>
    <row r="14" spans="8:8" s="472" ht="17.1" customFormat="1" customHeight="1">
      <c r="A14" s="473"/>
      <c r="B14" s="522"/>
      <c r="C14" s="533"/>
      <c r="D14" s="534"/>
      <c r="E14" s="535">
        <v>0.0</v>
      </c>
      <c r="F14" s="536"/>
      <c r="G14" s="537"/>
      <c r="H14" s="508">
        <v>0.0</v>
      </c>
      <c r="I14" s="508"/>
      <c r="J14" s="508"/>
      <c r="K14" s="508">
        <v>0.0</v>
      </c>
      <c r="L14" s="508"/>
      <c r="M14" s="508">
        <v>0.0</v>
      </c>
      <c r="N14" s="508"/>
      <c r="O14" s="508"/>
      <c r="P14" s="525"/>
      <c r="Q14" s="526"/>
      <c r="R14" s="473"/>
      <c r="U14" s="478"/>
      <c r="V14" s="478"/>
      <c r="W14" s="478"/>
      <c r="X14" s="478"/>
      <c r="Y14" s="478"/>
      <c r="Z14" s="478"/>
      <c r="AA14" s="478"/>
      <c r="AB14" s="478"/>
      <c r="AC14" s="478"/>
      <c r="AD14" s="478"/>
    </row>
    <row r="15" spans="8:8" s="472" ht="17.1" customFormat="1" customHeight="1">
      <c r="A15" s="473"/>
      <c r="B15" s="538"/>
      <c r="C15" s="539" t="s">
        <v>283</v>
      </c>
      <c r="D15" s="540"/>
      <c r="E15" s="540"/>
      <c r="F15" s="540"/>
      <c r="G15" s="540"/>
      <c r="H15" s="540"/>
      <c r="I15" s="540"/>
      <c r="J15" s="540"/>
      <c r="K15" s="540"/>
      <c r="L15" s="540"/>
      <c r="M15" s="540"/>
      <c r="N15" s="540"/>
      <c r="O15" s="541"/>
      <c r="P15" s="542">
        <f>M12</f>
        <v>0.0</v>
      </c>
      <c r="Q15" s="543"/>
      <c r="R15" s="473"/>
      <c r="U15" s="478"/>
      <c r="V15" s="478"/>
      <c r="W15" s="478"/>
      <c r="X15" s="478"/>
      <c r="Y15" s="478"/>
      <c r="Z15" s="478"/>
      <c r="AA15" s="478"/>
      <c r="AB15" s="478"/>
      <c r="AC15" s="478"/>
      <c r="AD15" s="478"/>
    </row>
    <row r="16" spans="8:8" s="472" ht="17.1" customFormat="1" customHeight="1">
      <c r="A16" s="473"/>
      <c r="B16" s="495">
        <v>8.0</v>
      </c>
      <c r="C16" s="517" t="s">
        <v>282</v>
      </c>
      <c r="D16" s="518"/>
      <c r="E16" s="518"/>
      <c r="F16" s="518"/>
      <c r="G16" s="518"/>
      <c r="H16" s="518"/>
      <c r="I16" s="518"/>
      <c r="J16" s="518"/>
      <c r="K16" s="518"/>
      <c r="L16" s="518"/>
      <c r="M16" s="518"/>
      <c r="N16" s="518"/>
      <c r="O16" s="519"/>
      <c r="P16" s="503">
        <f>P11+P15</f>
        <v>1437112.0</v>
      </c>
      <c r="Q16" s="504"/>
      <c r="R16" s="473"/>
      <c r="U16" s="478"/>
      <c r="V16" s="478"/>
      <c r="W16" s="478"/>
      <c r="X16" s="478"/>
      <c r="Y16" s="478"/>
      <c r="Z16" s="478"/>
      <c r="AA16" s="478"/>
      <c r="AB16" s="478"/>
      <c r="AC16" s="478"/>
      <c r="AD16" s="478"/>
    </row>
    <row r="17" spans="8:8" s="472" ht="17.1" customFormat="1" customHeight="1">
      <c r="A17" s="473"/>
      <c r="B17" s="495">
        <v>9.0</v>
      </c>
      <c r="C17" s="544" t="s">
        <v>6</v>
      </c>
      <c r="D17" s="544"/>
      <c r="E17" s="544"/>
      <c r="F17" s="544"/>
      <c r="G17" s="544"/>
      <c r="H17" s="544"/>
      <c r="I17" s="544"/>
      <c r="J17" s="544"/>
      <c r="K17" s="544"/>
      <c r="L17" s="544"/>
      <c r="M17" s="544"/>
      <c r="N17" s="544"/>
      <c r="O17" s="544"/>
      <c r="P17" s="542">
        <f>'OTHER DEDUCTION'!J6</f>
        <v>0.0</v>
      </c>
      <c r="Q17" s="543"/>
      <c r="R17" s="473"/>
      <c r="U17" s="478"/>
      <c r="V17" s="478"/>
      <c r="W17" s="478"/>
      <c r="X17" s="478"/>
      <c r="Y17" s="478"/>
      <c r="Z17" s="478"/>
      <c r="AA17" s="478"/>
      <c r="AB17" s="478"/>
      <c r="AC17" s="478"/>
      <c r="AD17" s="478"/>
    </row>
    <row r="18" spans="8:8" s="472" ht="17.1" customFormat="1" customHeight="1">
      <c r="A18" s="473"/>
      <c r="B18" s="495">
        <v>10.0</v>
      </c>
      <c r="C18" s="544" t="s">
        <v>281</v>
      </c>
      <c r="D18" s="544"/>
      <c r="E18" s="544"/>
      <c r="F18" s="544"/>
      <c r="G18" s="544"/>
      <c r="H18" s="544"/>
      <c r="I18" s="544"/>
      <c r="J18" s="544"/>
      <c r="K18" s="544"/>
      <c r="L18" s="544"/>
      <c r="M18" s="544"/>
      <c r="N18" s="544"/>
      <c r="O18" s="544"/>
      <c r="P18" s="503">
        <f>P16+P17</f>
        <v>1437112.0</v>
      </c>
      <c r="Q18" s="504"/>
      <c r="R18" s="473"/>
      <c r="U18" s="478"/>
      <c r="V18" s="478"/>
      <c r="W18" s="478"/>
      <c r="X18" s="478"/>
      <c r="Y18" s="478"/>
      <c r="Z18" s="478"/>
      <c r="AA18" s="478"/>
      <c r="AB18" s="478"/>
      <c r="AC18" s="478"/>
      <c r="AD18" s="478"/>
    </row>
    <row r="19" spans="8:8" s="472" ht="17.1" customFormat="1" customHeight="1">
      <c r="A19" s="473"/>
      <c r="B19" s="505">
        <v>11.0</v>
      </c>
      <c r="C19" s="545" t="s">
        <v>68</v>
      </c>
      <c r="D19" s="545"/>
      <c r="E19" s="545"/>
      <c r="F19" s="545"/>
      <c r="G19" s="545"/>
      <c r="H19" s="545"/>
      <c r="I19" s="545"/>
      <c r="J19" s="545"/>
      <c r="K19" s="545"/>
      <c r="L19" s="545"/>
      <c r="M19" s="545"/>
      <c r="N19" s="545"/>
      <c r="O19" s="545"/>
      <c r="P19" s="545"/>
      <c r="Q19" s="546"/>
      <c r="R19" s="473"/>
      <c r="U19" s="478"/>
      <c r="V19" s="478"/>
      <c r="W19" s="478"/>
      <c r="X19" s="478"/>
      <c r="Y19" s="478"/>
      <c r="Z19" s="478"/>
      <c r="AA19" s="478"/>
      <c r="AB19" s="478"/>
      <c r="AC19" s="478"/>
      <c r="AD19" s="478"/>
    </row>
    <row r="20" spans="8:8" s="472" ht="17.1" customFormat="1" customHeight="1">
      <c r="A20" s="473"/>
      <c r="B20" s="511"/>
      <c r="C20" s="547" t="s">
        <v>94</v>
      </c>
      <c r="D20" s="548"/>
      <c r="E20" s="548"/>
      <c r="F20" s="548"/>
      <c r="G20" s="548"/>
      <c r="H20" s="548"/>
      <c r="I20" s="548"/>
      <c r="J20" s="548"/>
      <c r="K20" s="548"/>
      <c r="L20" s="549"/>
      <c r="M20" s="549"/>
      <c r="N20" s="549"/>
      <c r="O20" s="550"/>
      <c r="P20" s="542">
        <v>0.0</v>
      </c>
      <c r="Q20" s="543"/>
      <c r="R20" s="473"/>
      <c r="U20" s="478"/>
      <c r="V20" s="478"/>
      <c r="W20" s="478"/>
      <c r="X20" s="478"/>
      <c r="Y20" s="478"/>
      <c r="Z20" s="478"/>
      <c r="AA20" s="478"/>
      <c r="AB20" s="478"/>
      <c r="AC20" s="478"/>
      <c r="AD20" s="478"/>
    </row>
    <row r="21" spans="8:8" s="472" ht="17.1" customFormat="1" customHeight="1">
      <c r="A21" s="473"/>
      <c r="B21" s="511"/>
      <c r="C21" s="551" t="s">
        <v>95</v>
      </c>
      <c r="D21" s="552"/>
      <c r="E21" s="552"/>
      <c r="F21" s="552"/>
      <c r="G21" s="552"/>
      <c r="H21" s="552"/>
      <c r="I21" s="552"/>
      <c r="J21" s="552"/>
      <c r="K21" s="552"/>
      <c r="L21" s="552"/>
      <c r="M21" s="552"/>
      <c r="N21" s="552"/>
      <c r="O21" s="553"/>
      <c r="P21" s="542">
        <v>0.0</v>
      </c>
      <c r="Q21" s="543"/>
      <c r="R21" s="473"/>
      <c r="U21" s="478"/>
      <c r="V21" s="478"/>
      <c r="W21" s="478"/>
      <c r="X21" s="478"/>
      <c r="Y21" s="478"/>
      <c r="Z21" s="478"/>
      <c r="AA21" s="478"/>
      <c r="AB21" s="478"/>
      <c r="AC21" s="478"/>
      <c r="AD21" s="478"/>
    </row>
    <row r="22" spans="8:8" s="472" ht="17.1" customFormat="1" customHeight="1">
      <c r="A22" s="473"/>
      <c r="B22" s="511"/>
      <c r="C22" s="554" t="s">
        <v>96</v>
      </c>
      <c r="D22" s="555"/>
      <c r="E22" s="555"/>
      <c r="F22" s="555"/>
      <c r="G22" s="555"/>
      <c r="H22" s="555"/>
      <c r="I22" s="555"/>
      <c r="J22" s="555"/>
      <c r="K22" s="555"/>
      <c r="L22" s="555"/>
      <c r="M22" s="555"/>
      <c r="N22" s="555"/>
      <c r="O22" s="556"/>
      <c r="P22" s="542">
        <v>0.0</v>
      </c>
      <c r="Q22" s="543"/>
      <c r="R22" s="473"/>
      <c r="U22" s="478"/>
      <c r="V22" s="478"/>
      <c r="W22" s="478"/>
      <c r="X22" s="478"/>
      <c r="Y22" s="478"/>
      <c r="Z22" s="478"/>
      <c r="AA22" s="478"/>
      <c r="AB22" s="478"/>
      <c r="AC22" s="478"/>
      <c r="AD22" s="478"/>
    </row>
    <row r="23" spans="8:8" s="472" ht="17.1" customFormat="1" customHeight="1">
      <c r="A23" s="473"/>
      <c r="B23" s="516"/>
      <c r="C23" s="557" t="s">
        <v>263</v>
      </c>
      <c r="D23" s="558"/>
      <c r="E23" s="558"/>
      <c r="F23" s="558"/>
      <c r="G23" s="558"/>
      <c r="H23" s="558"/>
      <c r="I23" s="558"/>
      <c r="J23" s="558"/>
      <c r="K23" s="558"/>
      <c r="L23" s="558"/>
      <c r="M23" s="558"/>
      <c r="N23" s="558"/>
      <c r="O23" s="559"/>
      <c r="P23" s="503">
        <f>SUM(P20:Q22)</f>
        <v>0.0</v>
      </c>
      <c r="Q23" s="504"/>
      <c r="R23" s="473"/>
      <c r="U23" s="478"/>
      <c r="V23" s="478"/>
      <c r="W23" s="478"/>
      <c r="X23" s="478"/>
      <c r="Y23" s="478"/>
      <c r="Z23" s="478"/>
      <c r="AA23" s="478"/>
      <c r="AB23" s="478"/>
      <c r="AC23" s="478"/>
      <c r="AD23" s="478"/>
    </row>
    <row r="24" spans="8:8" s="472" ht="17.1" customFormat="1" customHeight="1">
      <c r="A24" s="473"/>
      <c r="B24" s="505">
        <v>12.0</v>
      </c>
      <c r="C24" s="544" t="s">
        <v>47</v>
      </c>
      <c r="D24" s="544"/>
      <c r="E24" s="544"/>
      <c r="F24" s="544"/>
      <c r="G24" s="544"/>
      <c r="H24" s="544"/>
      <c r="I24" s="544"/>
      <c r="J24" s="544"/>
      <c r="K24" s="544"/>
      <c r="L24" s="544"/>
      <c r="M24" s="544"/>
      <c r="N24" s="544"/>
      <c r="O24" s="544"/>
      <c r="P24" s="544"/>
      <c r="Q24" s="560"/>
      <c r="R24" s="473"/>
      <c r="U24" s="478"/>
      <c r="V24" s="478"/>
      <c r="W24" s="478"/>
      <c r="X24" s="478"/>
      <c r="Y24" s="478"/>
      <c r="Z24" s="478"/>
      <c r="AA24" s="478"/>
      <c r="AB24" s="478"/>
      <c r="AC24" s="478"/>
      <c r="AD24" s="478"/>
    </row>
    <row r="25" spans="8:8" s="472" ht="17.1" customFormat="1" customHeight="1">
      <c r="A25" s="473"/>
      <c r="B25" s="511"/>
      <c r="C25" s="506" t="s">
        <v>251</v>
      </c>
      <c r="D25" s="507"/>
      <c r="E25" s="507"/>
      <c r="F25" s="507"/>
      <c r="G25" s="507"/>
      <c r="H25" s="507"/>
      <c r="I25" s="507"/>
      <c r="J25" s="507"/>
      <c r="K25" s="507"/>
      <c r="L25" s="507"/>
      <c r="M25" s="507"/>
      <c r="N25" s="507"/>
      <c r="O25" s="561"/>
      <c r="P25" s="500">
        <v>0.0</v>
      </c>
      <c r="Q25" s="501"/>
      <c r="R25" s="473"/>
      <c r="U25" s="478"/>
      <c r="V25" s="478"/>
      <c r="W25" s="478"/>
      <c r="X25" s="478"/>
      <c r="Y25" s="478"/>
      <c r="Z25" s="478"/>
      <c r="AA25" s="478"/>
      <c r="AB25" s="478"/>
      <c r="AC25" s="478"/>
      <c r="AD25" s="478"/>
    </row>
    <row r="26" spans="8:8" s="472" ht="17.1" customFormat="1" customHeight="1">
      <c r="A26" s="473"/>
      <c r="B26" s="511"/>
      <c r="C26" s="497" t="s">
        <v>97</v>
      </c>
      <c r="D26" s="497"/>
      <c r="E26" s="497"/>
      <c r="F26" s="497"/>
      <c r="G26" s="497"/>
      <c r="H26" s="497"/>
      <c r="I26" s="497"/>
      <c r="J26" s="497"/>
      <c r="K26" s="497"/>
      <c r="L26" s="497"/>
      <c r="M26" s="497"/>
      <c r="N26" s="497"/>
      <c r="O26" s="497"/>
      <c r="P26" s="500">
        <v>0.0</v>
      </c>
      <c r="Q26" s="501"/>
      <c r="R26" s="473"/>
      <c r="U26" s="478"/>
      <c r="V26" s="478"/>
      <c r="W26" s="478"/>
      <c r="X26" s="478"/>
      <c r="Y26" s="478"/>
      <c r="Z26" s="478"/>
      <c r="AA26" s="478"/>
      <c r="AB26" s="478"/>
      <c r="AC26" s="478"/>
      <c r="AD26" s="478"/>
    </row>
    <row r="27" spans="8:8" s="472" ht="17.1" customFormat="1" customHeight="1">
      <c r="A27" s="473"/>
      <c r="B27" s="511"/>
      <c r="C27" s="497" t="s">
        <v>246</v>
      </c>
      <c r="D27" s="497"/>
      <c r="E27" s="497"/>
      <c r="F27" s="497"/>
      <c r="G27" s="497"/>
      <c r="H27" s="497"/>
      <c r="I27" s="497"/>
      <c r="J27" s="497"/>
      <c r="K27" s="497"/>
      <c r="L27" s="497"/>
      <c r="M27" s="497"/>
      <c r="N27" s="497"/>
      <c r="O27" s="497"/>
      <c r="P27" s="500">
        <v>0.0</v>
      </c>
      <c r="Q27" s="501"/>
      <c r="R27" s="473"/>
      <c r="U27" s="478"/>
      <c r="V27" s="478"/>
      <c r="W27" s="478"/>
      <c r="X27" s="478"/>
      <c r="Y27" s="478"/>
      <c r="Z27" s="478"/>
      <c r="AA27" s="478"/>
      <c r="AB27" s="478"/>
      <c r="AC27" s="478"/>
      <c r="AD27" s="478"/>
    </row>
    <row r="28" spans="8:8" s="472" ht="17.1" customFormat="1" customHeight="1">
      <c r="A28" s="473"/>
      <c r="B28" s="511"/>
      <c r="C28" s="497" t="s">
        <v>245</v>
      </c>
      <c r="D28" s="497"/>
      <c r="E28" s="497"/>
      <c r="F28" s="497"/>
      <c r="G28" s="497"/>
      <c r="H28" s="497"/>
      <c r="I28" s="497"/>
      <c r="J28" s="497"/>
      <c r="K28" s="497"/>
      <c r="L28" s="497"/>
      <c r="M28" s="497"/>
      <c r="N28" s="497"/>
      <c r="O28" s="497"/>
      <c r="P28" s="500">
        <v>0.0</v>
      </c>
      <c r="Q28" s="501"/>
      <c r="R28" s="473"/>
      <c r="U28" s="478"/>
      <c r="V28" s="478"/>
      <c r="W28" s="478"/>
      <c r="X28" s="478"/>
      <c r="Y28" s="478"/>
      <c r="Z28" s="478"/>
      <c r="AA28" s="478"/>
      <c r="AB28" s="478"/>
      <c r="AC28" s="478"/>
      <c r="AD28" s="478"/>
    </row>
    <row r="29" spans="8:8" s="472" ht="17.1" customFormat="1" customHeight="1">
      <c r="A29" s="473"/>
      <c r="B29" s="511"/>
      <c r="C29" s="497" t="s">
        <v>98</v>
      </c>
      <c r="D29" s="497"/>
      <c r="E29" s="497"/>
      <c r="F29" s="497"/>
      <c r="G29" s="497"/>
      <c r="H29" s="497"/>
      <c r="I29" s="497"/>
      <c r="J29" s="497"/>
      <c r="K29" s="497"/>
      <c r="L29" s="497"/>
      <c r="M29" s="497"/>
      <c r="N29" s="497"/>
      <c r="O29" s="497"/>
      <c r="P29" s="500">
        <v>0.0</v>
      </c>
      <c r="Q29" s="501"/>
      <c r="R29" s="473"/>
      <c r="U29" s="478"/>
      <c r="V29" s="478"/>
      <c r="W29" s="478"/>
      <c r="X29" s="478"/>
      <c r="Y29" s="478"/>
      <c r="Z29" s="478"/>
      <c r="AA29" s="478"/>
      <c r="AB29" s="478"/>
      <c r="AC29" s="478"/>
      <c r="AD29" s="478"/>
    </row>
    <row r="30" spans="8:8" s="472" ht="17.1" customFormat="1" customHeight="1">
      <c r="A30" s="473"/>
      <c r="B30" s="511"/>
      <c r="C30" s="497" t="s">
        <v>99</v>
      </c>
      <c r="D30" s="497"/>
      <c r="E30" s="497"/>
      <c r="F30" s="497"/>
      <c r="G30" s="497"/>
      <c r="H30" s="497"/>
      <c r="I30" s="497"/>
      <c r="J30" s="497"/>
      <c r="K30" s="497"/>
      <c r="L30" s="497"/>
      <c r="M30" s="497"/>
      <c r="N30" s="497"/>
      <c r="O30" s="497"/>
      <c r="P30" s="500">
        <v>0.0</v>
      </c>
      <c r="Q30" s="501"/>
      <c r="R30" s="473"/>
      <c r="U30" s="478"/>
      <c r="V30" s="478"/>
      <c r="W30" s="478"/>
      <c r="X30" s="478"/>
      <c r="Y30" s="478"/>
      <c r="Z30" s="478"/>
      <c r="AA30" s="478"/>
      <c r="AB30" s="478"/>
      <c r="AC30" s="478"/>
      <c r="AD30" s="478"/>
    </row>
    <row r="31" spans="8:8" s="472" ht="17.1" customFormat="1" customHeight="1">
      <c r="A31" s="473"/>
      <c r="B31" s="511"/>
      <c r="C31" s="497" t="s">
        <v>100</v>
      </c>
      <c r="D31" s="497"/>
      <c r="E31" s="497"/>
      <c r="F31" s="497"/>
      <c r="G31" s="497"/>
      <c r="H31" s="497"/>
      <c r="I31" s="497"/>
      <c r="J31" s="497"/>
      <c r="K31" s="497"/>
      <c r="L31" s="497"/>
      <c r="M31" s="497"/>
      <c r="N31" s="497"/>
      <c r="O31" s="497"/>
      <c r="P31" s="500">
        <v>0.0</v>
      </c>
      <c r="Q31" s="501"/>
      <c r="R31" s="473"/>
      <c r="U31" s="478"/>
      <c r="V31" s="478"/>
      <c r="W31" s="478"/>
      <c r="X31" s="478"/>
      <c r="Y31" s="478"/>
      <c r="Z31" s="478"/>
      <c r="AA31" s="478"/>
      <c r="AB31" s="478"/>
      <c r="AC31" s="478"/>
      <c r="AD31" s="478"/>
    </row>
    <row r="32" spans="8:8" s="472" ht="17.1" customFormat="1" customHeight="1">
      <c r="A32" s="473"/>
      <c r="B32" s="511"/>
      <c r="C32" s="497" t="s">
        <v>101</v>
      </c>
      <c r="D32" s="497"/>
      <c r="E32" s="497"/>
      <c r="F32" s="497"/>
      <c r="G32" s="497"/>
      <c r="H32" s="497"/>
      <c r="I32" s="497"/>
      <c r="J32" s="497"/>
      <c r="K32" s="497"/>
      <c r="L32" s="497"/>
      <c r="M32" s="497"/>
      <c r="N32" s="497"/>
      <c r="O32" s="497"/>
      <c r="P32" s="500">
        <v>0.0</v>
      </c>
      <c r="Q32" s="501"/>
      <c r="R32" s="473"/>
      <c r="U32" s="478"/>
      <c r="V32" s="478"/>
      <c r="W32" s="478"/>
      <c r="X32" s="478"/>
      <c r="Y32" s="478"/>
      <c r="Z32" s="478"/>
      <c r="AA32" s="478"/>
      <c r="AB32" s="478"/>
      <c r="AC32" s="478"/>
      <c r="AD32" s="478"/>
    </row>
    <row r="33" spans="8:8" s="472" ht="17.1" customFormat="1" customHeight="1">
      <c r="A33" s="473"/>
      <c r="B33" s="511"/>
      <c r="C33" s="497" t="s">
        <v>87</v>
      </c>
      <c r="D33" s="497"/>
      <c r="E33" s="497"/>
      <c r="F33" s="497"/>
      <c r="G33" s="497"/>
      <c r="H33" s="497"/>
      <c r="I33" s="497"/>
      <c r="J33" s="497"/>
      <c r="K33" s="497"/>
      <c r="L33" s="497"/>
      <c r="M33" s="497"/>
      <c r="N33" s="497"/>
      <c r="O33" s="497"/>
      <c r="P33" s="500">
        <v>0.0</v>
      </c>
      <c r="Q33" s="501"/>
      <c r="R33" s="473"/>
      <c r="U33" s="478"/>
      <c r="V33" s="478"/>
      <c r="W33" s="478"/>
      <c r="X33" s="478"/>
      <c r="Y33" s="478"/>
      <c r="Z33" s="478"/>
      <c r="AA33" s="478"/>
      <c r="AB33" s="478"/>
      <c r="AC33" s="478"/>
      <c r="AD33" s="478"/>
    </row>
    <row r="34" spans="8:8" s="472" ht="17.1" customFormat="1" customHeight="1">
      <c r="A34" s="473"/>
      <c r="B34" s="516"/>
      <c r="C34" s="562" t="s">
        <v>69</v>
      </c>
      <c r="D34" s="562"/>
      <c r="E34" s="562"/>
      <c r="F34" s="562"/>
      <c r="G34" s="562"/>
      <c r="H34" s="562"/>
      <c r="I34" s="562"/>
      <c r="J34" s="562"/>
      <c r="K34" s="562"/>
      <c r="L34" s="562"/>
      <c r="M34" s="562"/>
      <c r="N34" s="562"/>
      <c r="O34" s="562"/>
      <c r="P34" s="520">
        <f>SUM(Q25:Q33)</f>
        <v>0.0</v>
      </c>
      <c r="Q34" s="521"/>
      <c r="R34" s="473"/>
      <c r="U34" s="478"/>
      <c r="V34" s="478"/>
      <c r="W34" s="478"/>
      <c r="X34" s="478"/>
      <c r="Y34" s="478"/>
      <c r="Z34" s="478"/>
      <c r="AA34" s="478"/>
      <c r="AB34" s="478"/>
      <c r="AC34" s="478"/>
      <c r="AD34" s="478"/>
    </row>
    <row r="35" spans="8:8" s="472" ht="17.1" customFormat="1" customHeight="1">
      <c r="A35" s="473"/>
      <c r="B35" s="495">
        <v>13.0</v>
      </c>
      <c r="C35" s="544" t="s">
        <v>279</v>
      </c>
      <c r="D35" s="544"/>
      <c r="E35" s="544"/>
      <c r="F35" s="544"/>
      <c r="G35" s="544"/>
      <c r="H35" s="544"/>
      <c r="I35" s="544"/>
      <c r="J35" s="544"/>
      <c r="K35" s="544"/>
      <c r="L35" s="544"/>
      <c r="M35" s="544"/>
      <c r="N35" s="544"/>
      <c r="O35" s="544"/>
      <c r="P35" s="500">
        <f>P23+P34</f>
        <v>0.0</v>
      </c>
      <c r="Q35" s="501"/>
      <c r="R35" s="473"/>
      <c r="U35" s="478"/>
      <c r="V35" s="478"/>
      <c r="W35" s="478"/>
      <c r="X35" s="478"/>
      <c r="Y35" s="478"/>
      <c r="Z35" s="478"/>
      <c r="AA35" s="478"/>
      <c r="AB35" s="478"/>
      <c r="AC35" s="478"/>
      <c r="AD35" s="478"/>
    </row>
    <row r="36" spans="8:8" s="472" ht="17.1" customFormat="1" customHeight="1">
      <c r="A36" s="473"/>
      <c r="B36" s="495">
        <v>14.0</v>
      </c>
      <c r="C36" s="544" t="s">
        <v>280</v>
      </c>
      <c r="D36" s="544"/>
      <c r="E36" s="544"/>
      <c r="F36" s="544"/>
      <c r="G36" s="544"/>
      <c r="H36" s="544"/>
      <c r="I36" s="544"/>
      <c r="J36" s="544"/>
      <c r="K36" s="544"/>
      <c r="L36" s="544"/>
      <c r="M36" s="544"/>
      <c r="N36" s="544"/>
      <c r="O36" s="544"/>
      <c r="P36" s="503">
        <f>(P18-P35)</f>
        <v>1437112.0</v>
      </c>
      <c r="Q36" s="504"/>
      <c r="R36" s="473"/>
      <c r="U36" s="478"/>
      <c r="V36" s="478"/>
      <c r="W36" s="478"/>
      <c r="X36" s="478"/>
      <c r="Y36" s="478"/>
      <c r="Z36" s="478"/>
      <c r="AA36" s="478"/>
      <c r="AB36" s="478"/>
      <c r="AC36" s="478"/>
      <c r="AD36" s="478"/>
    </row>
    <row r="37" spans="8:8" s="472" ht="17.1" customFormat="1" customHeight="1">
      <c r="A37" s="473"/>
      <c r="B37" s="495">
        <v>15.0</v>
      </c>
      <c r="C37" s="544" t="s">
        <v>278</v>
      </c>
      <c r="D37" s="544"/>
      <c r="E37" s="544"/>
      <c r="F37" s="544"/>
      <c r="G37" s="544"/>
      <c r="H37" s="544"/>
      <c r="I37" s="544"/>
      <c r="J37" s="544"/>
      <c r="K37" s="544"/>
      <c r="L37" s="544"/>
      <c r="M37" s="544"/>
      <c r="N37" s="544"/>
      <c r="O37" s="544"/>
      <c r="P37" s="503">
        <f>ROUND(P36,-1)</f>
        <v>1437110.0</v>
      </c>
      <c r="Q37" s="504"/>
      <c r="R37" s="473"/>
      <c r="T37" s="563"/>
      <c r="U37" s="478"/>
      <c r="V37" s="478"/>
      <c r="W37" s="478"/>
      <c r="X37" s="478"/>
      <c r="Y37" s="478"/>
      <c r="Z37" s="478"/>
      <c r="AA37" s="478"/>
      <c r="AB37" s="478"/>
      <c r="AC37" s="478"/>
      <c r="AD37" s="478"/>
    </row>
    <row r="38" spans="8:8" s="472" ht="17.1" customFormat="1" customHeight="1">
      <c r="A38" s="473"/>
      <c r="B38" s="505">
        <v>16.0</v>
      </c>
      <c r="C38" s="497" t="s">
        <v>102</v>
      </c>
      <c r="D38" s="497"/>
      <c r="E38" s="497"/>
      <c r="F38" s="497"/>
      <c r="G38" s="497"/>
      <c r="H38" s="497"/>
      <c r="I38" s="497"/>
      <c r="J38" s="497"/>
      <c r="K38" s="497"/>
      <c r="L38" s="497"/>
      <c r="M38" s="497"/>
      <c r="N38" s="497"/>
      <c r="O38" s="497"/>
      <c r="P38" s="497"/>
      <c r="Q38" s="564"/>
      <c r="R38" s="473"/>
      <c r="U38" s="478"/>
      <c r="V38" s="478"/>
      <c r="W38" s="478"/>
      <c r="X38" s="478"/>
      <c r="Y38" s="478"/>
      <c r="Z38" s="478"/>
      <c r="AA38" s="478"/>
      <c r="AB38" s="478"/>
      <c r="AC38" s="478"/>
      <c r="AD38" s="478"/>
    </row>
    <row r="39" spans="8:8" s="472" ht="17.1" customFormat="1" customHeight="1">
      <c r="A39" s="473"/>
      <c r="B39" s="511"/>
      <c r="C39" s="565" t="s">
        <v>152</v>
      </c>
      <c r="D39" s="566"/>
      <c r="E39" s="566"/>
      <c r="F39" s="566"/>
      <c r="G39" s="566"/>
      <c r="H39" s="566" t="s">
        <v>150</v>
      </c>
      <c r="I39" s="566"/>
      <c r="J39" s="566"/>
      <c r="K39" s="566"/>
      <c r="L39" s="567" t="s">
        <v>151</v>
      </c>
      <c r="M39" s="568"/>
      <c r="N39" s="568"/>
      <c r="O39" s="569"/>
      <c r="P39" s="570"/>
      <c r="Q39" s="571"/>
      <c r="R39" s="473"/>
      <c r="U39" s="478"/>
      <c r="V39" s="478"/>
      <c r="W39" s="478"/>
      <c r="X39" s="478"/>
      <c r="Y39" s="478"/>
      <c r="Z39" s="478"/>
      <c r="AA39" s="478"/>
      <c r="AB39" s="478"/>
      <c r="AC39" s="478"/>
      <c r="AD39" s="478"/>
    </row>
    <row r="40" spans="8:8" s="472" ht="17.1" customFormat="1" customHeight="1">
      <c r="A40" s="473"/>
      <c r="B40" s="511"/>
      <c r="C40" s="572" t="s">
        <v>131</v>
      </c>
      <c r="D40" s="573"/>
      <c r="E40" s="574"/>
      <c r="F40" s="575" t="s">
        <v>30</v>
      </c>
      <c r="G40" s="575"/>
      <c r="H40" s="572" t="s">
        <v>131</v>
      </c>
      <c r="I40" s="573"/>
      <c r="J40" s="574"/>
      <c r="K40" s="576" t="s">
        <v>30</v>
      </c>
      <c r="L40" s="572" t="s">
        <v>131</v>
      </c>
      <c r="M40" s="573"/>
      <c r="N40" s="574"/>
      <c r="O40" s="577" t="s">
        <v>30</v>
      </c>
      <c r="P40" s="500">
        <v>0.0</v>
      </c>
      <c r="Q40" s="501"/>
      <c r="R40" s="473"/>
      <c r="U40" s="478"/>
      <c r="V40" s="478"/>
      <c r="W40" s="478"/>
      <c r="X40" s="478"/>
      <c r="Y40" s="478"/>
      <c r="Z40" s="478"/>
      <c r="AA40" s="478"/>
      <c r="AB40" s="478"/>
      <c r="AC40" s="478"/>
      <c r="AD40" s="478"/>
    </row>
    <row r="41" spans="8:8" s="472" ht="17.1" customFormat="1" customHeight="1">
      <c r="A41" s="473"/>
      <c r="B41" s="511"/>
      <c r="C41" s="572" t="s">
        <v>242</v>
      </c>
      <c r="D41" s="573"/>
      <c r="E41" s="574"/>
      <c r="F41" s="578">
        <v>0.05</v>
      </c>
      <c r="G41" s="575"/>
      <c r="H41" s="572" t="s">
        <v>242</v>
      </c>
      <c r="I41" s="573"/>
      <c r="J41" s="574"/>
      <c r="K41" s="579">
        <v>0.05</v>
      </c>
      <c r="L41" s="572" t="s">
        <v>242</v>
      </c>
      <c r="M41" s="573"/>
      <c r="N41" s="574"/>
      <c r="O41" s="579">
        <v>0.05</v>
      </c>
      <c r="P41" s="500">
        <f>ROUND(IF(P37&lt;300001,0,IF(P37&gt;700000,20000,((P37-300000)*0.05))),0)</f>
        <v>20000.0</v>
      </c>
      <c r="Q41" s="501"/>
      <c r="R41" s="473"/>
      <c r="U41" s="478"/>
      <c r="V41" s="478"/>
      <c r="W41" s="478"/>
      <c r="X41" s="478"/>
      <c r="Y41" s="478"/>
      <c r="Z41" s="478"/>
      <c r="AA41" s="478"/>
      <c r="AB41" s="478"/>
      <c r="AC41" s="478"/>
      <c r="AD41" s="478"/>
    </row>
    <row r="42" spans="8:8" s="472" ht="17.1" customFormat="1" customHeight="1">
      <c r="A42" s="473"/>
      <c r="B42" s="511"/>
      <c r="C42" s="572" t="s">
        <v>247</v>
      </c>
      <c r="D42" s="573"/>
      <c r="E42" s="574"/>
      <c r="F42" s="578">
        <v>0.1</v>
      </c>
      <c r="G42" s="575"/>
      <c r="H42" s="572" t="s">
        <v>247</v>
      </c>
      <c r="I42" s="573"/>
      <c r="J42" s="574"/>
      <c r="K42" s="579">
        <v>0.1</v>
      </c>
      <c r="L42" s="572" t="s">
        <v>247</v>
      </c>
      <c r="M42" s="573"/>
      <c r="N42" s="574"/>
      <c r="O42" s="579">
        <v>0.1</v>
      </c>
      <c r="P42" s="500">
        <f>IF(P37&lt;700001,0,IF(P37&gt;1000000,30000,((P37-700000)*0.1)))</f>
        <v>30000.0</v>
      </c>
      <c r="Q42" s="501"/>
      <c r="R42" s="473"/>
      <c r="U42" s="478"/>
      <c r="V42" s="478"/>
      <c r="W42" s="478"/>
      <c r="X42" s="478"/>
      <c r="Y42" s="478"/>
      <c r="Z42" s="478"/>
      <c r="AA42" s="478"/>
      <c r="AB42" s="478"/>
      <c r="AC42" s="478"/>
      <c r="AD42" s="478"/>
    </row>
    <row r="43" spans="8:8" s="472" ht="17.1" customFormat="1" customHeight="1">
      <c r="A43" s="473"/>
      <c r="B43" s="511"/>
      <c r="C43" s="572" t="s">
        <v>248</v>
      </c>
      <c r="D43" s="573"/>
      <c r="E43" s="574"/>
      <c r="F43" s="580">
        <v>0.15</v>
      </c>
      <c r="G43" s="581"/>
      <c r="H43" s="572" t="s">
        <v>248</v>
      </c>
      <c r="I43" s="573"/>
      <c r="J43" s="574"/>
      <c r="K43" s="579">
        <v>0.15</v>
      </c>
      <c r="L43" s="572" t="s">
        <v>248</v>
      </c>
      <c r="M43" s="573"/>
      <c r="N43" s="574"/>
      <c r="O43" s="579">
        <v>0.15</v>
      </c>
      <c r="P43" s="500">
        <f>IF(P37&lt;1000001,0,IF(P37&gt;1200000,30000,((P37-1000000)*0.15)))</f>
        <v>30000.0</v>
      </c>
      <c r="Q43" s="501"/>
      <c r="R43" s="473"/>
      <c r="U43" s="478"/>
      <c r="V43" s="478"/>
      <c r="W43" s="478"/>
      <c r="X43" s="478"/>
      <c r="Y43" s="478"/>
      <c r="Z43" s="478"/>
      <c r="AA43" s="478"/>
      <c r="AB43" s="478"/>
      <c r="AC43" s="478"/>
      <c r="AD43" s="478"/>
    </row>
    <row r="44" spans="8:8" s="472" ht="17.1" customFormat="1" customHeight="1">
      <c r="A44" s="473"/>
      <c r="B44" s="511"/>
      <c r="C44" s="572" t="s">
        <v>132</v>
      </c>
      <c r="D44" s="573"/>
      <c r="E44" s="574"/>
      <c r="F44" s="580">
        <v>0.2</v>
      </c>
      <c r="G44" s="581"/>
      <c r="H44" s="572" t="s">
        <v>132</v>
      </c>
      <c r="I44" s="573"/>
      <c r="J44" s="574"/>
      <c r="K44" s="579">
        <v>0.2</v>
      </c>
      <c r="L44" s="572" t="s">
        <v>132</v>
      </c>
      <c r="M44" s="573"/>
      <c r="N44" s="574"/>
      <c r="O44" s="579">
        <v>0.2</v>
      </c>
      <c r="P44" s="500">
        <f>IF(P37&lt;1200001,0,IF(P37&gt;1500000,60000,((P37-1200000)*0.2)))</f>
        <v>47422.0</v>
      </c>
      <c r="Q44" s="501"/>
      <c r="R44" s="473"/>
      <c r="U44" s="478"/>
      <c r="V44" s="478"/>
      <c r="W44" s="478"/>
      <c r="X44" s="478"/>
      <c r="Y44" s="478"/>
      <c r="Z44" s="478"/>
      <c r="AA44" s="478"/>
      <c r="AB44" s="478"/>
      <c r="AC44" s="478"/>
      <c r="AD44" s="478"/>
    </row>
    <row r="45" spans="8:8" s="472" ht="17.1" customFormat="1" customHeight="1">
      <c r="A45" s="473"/>
      <c r="B45" s="511"/>
      <c r="C45" s="572" t="s">
        <v>133</v>
      </c>
      <c r="D45" s="573"/>
      <c r="E45" s="574"/>
      <c r="F45" s="580">
        <v>0.3</v>
      </c>
      <c r="G45" s="581"/>
      <c r="H45" s="572" t="s">
        <v>133</v>
      </c>
      <c r="I45" s="573"/>
      <c r="J45" s="574"/>
      <c r="K45" s="579">
        <v>0.3</v>
      </c>
      <c r="L45" s="572" t="s">
        <v>133</v>
      </c>
      <c r="M45" s="573"/>
      <c r="N45" s="574"/>
      <c r="O45" s="579">
        <v>0.3</v>
      </c>
      <c r="P45" s="500">
        <f>IF(P37&lt;1500001,0,(P37-1500000)*0.3)</f>
        <v>0.0</v>
      </c>
      <c r="Q45" s="501"/>
      <c r="R45" s="473"/>
      <c r="T45" s="582"/>
      <c r="U45" s="478"/>
      <c r="V45" s="478"/>
      <c r="W45" s="478"/>
      <c r="X45" s="478"/>
      <c r="Y45" s="478"/>
      <c r="Z45" s="478"/>
      <c r="AA45" s="478"/>
      <c r="AB45" s="478"/>
      <c r="AC45" s="478"/>
      <c r="AD45" s="478"/>
    </row>
    <row r="46" spans="8:8" s="472" ht="17.1" customFormat="1" customHeight="1">
      <c r="A46" s="473"/>
      <c r="B46" s="511"/>
      <c r="C46" s="583" t="s">
        <v>38</v>
      </c>
      <c r="D46" s="584"/>
      <c r="E46" s="584"/>
      <c r="F46" s="584"/>
      <c r="G46" s="584"/>
      <c r="H46" s="584"/>
      <c r="I46" s="584"/>
      <c r="J46" s="584"/>
      <c r="K46" s="584"/>
      <c r="L46" s="584"/>
      <c r="M46" s="584"/>
      <c r="N46" s="584"/>
      <c r="O46" s="585"/>
      <c r="P46" s="586">
        <f>SUM(P40:Q45)</f>
        <v>127422.0</v>
      </c>
      <c r="Q46" s="587"/>
      <c r="R46" s="473"/>
      <c r="S46" s="588"/>
      <c r="T46" s="589"/>
      <c r="U46" s="590"/>
      <c r="V46" s="590"/>
      <c r="W46" s="590"/>
      <c r="X46" s="590" t="s">
        <v>260</v>
      </c>
      <c r="Y46" s="478"/>
      <c r="Z46" s="478"/>
      <c r="AA46" s="478"/>
      <c r="AB46" s="478"/>
      <c r="AC46" s="478"/>
      <c r="AD46" s="478"/>
    </row>
    <row r="47" spans="8:8" s="472" ht="27.0" customFormat="1" customHeight="1">
      <c r="A47" s="473"/>
      <c r="B47" s="511"/>
      <c r="C47" s="591" t="s">
        <v>250</v>
      </c>
      <c r="D47" s="592" t="s">
        <v>249</v>
      </c>
      <c r="E47" s="592"/>
      <c r="F47" s="592"/>
      <c r="G47" s="592"/>
      <c r="H47" s="592"/>
      <c r="I47" s="593">
        <f>IF(P37&gt;700000,0,IF(P46&lt;25001,P46,25000))</f>
        <v>0.0</v>
      </c>
      <c r="J47" s="593"/>
      <c r="K47" s="594" t="s">
        <v>252</v>
      </c>
      <c r="L47" s="594"/>
      <c r="M47" s="594"/>
      <c r="N47" s="595">
        <f>IF(X49="","",X49)</f>
        <v>0.0</v>
      </c>
      <c r="O47" s="596"/>
      <c r="P47" s="597">
        <f>IF(P37&lt;700001,P46,IF(P37&gt;727770,0,P46-(P37-700000)))</f>
        <v>0.0</v>
      </c>
      <c r="Q47" s="598"/>
      <c r="R47" s="473"/>
      <c r="T47" s="599" t="s">
        <v>253</v>
      </c>
      <c r="U47" s="600"/>
      <c r="V47" s="601">
        <f>P37</f>
        <v>1437110.0</v>
      </c>
      <c r="W47" s="590">
        <v>700000.0</v>
      </c>
      <c r="X47" s="590">
        <f>IF($V$47&gt;$W$47,V47-W47,0)</f>
        <v>737110.0</v>
      </c>
      <c r="Y47" s="478"/>
      <c r="Z47" s="478"/>
      <c r="AA47" s="478"/>
      <c r="AB47" s="478"/>
      <c r="AC47" s="478"/>
      <c r="AD47" s="478"/>
    </row>
    <row r="48" spans="8:8" s="472" ht="17.1" customFormat="1" customHeight="1">
      <c r="A48" s="473"/>
      <c r="B48" s="511"/>
      <c r="C48" s="583" t="s">
        <v>44</v>
      </c>
      <c r="D48" s="584"/>
      <c r="E48" s="584"/>
      <c r="F48" s="584"/>
      <c r="G48" s="584"/>
      <c r="H48" s="584"/>
      <c r="I48" s="584"/>
      <c r="J48" s="584"/>
      <c r="K48" s="584"/>
      <c r="L48" s="584"/>
      <c r="M48" s="584"/>
      <c r="N48" s="584"/>
      <c r="O48" s="585"/>
      <c r="P48" s="586">
        <f>P46-P47</f>
        <v>127422.0</v>
      </c>
      <c r="Q48" s="587"/>
      <c r="R48" s="473"/>
      <c r="T48" s="599" t="s">
        <v>254</v>
      </c>
      <c r="U48" s="600"/>
      <c r="V48" s="601">
        <f>P46</f>
        <v>127422.0</v>
      </c>
      <c r="W48" s="590">
        <v>0.0</v>
      </c>
      <c r="X48" s="590">
        <f>IF($V$48&gt;$W$48,V48-W48,0)</f>
        <v>127422.0</v>
      </c>
      <c r="Y48" s="478"/>
      <c r="Z48" s="478"/>
      <c r="AA48" s="478"/>
      <c r="AB48" s="478"/>
      <c r="AC48" s="478"/>
      <c r="AD48" s="478"/>
    </row>
    <row r="49" spans="8:8" s="472" ht="17.1" customFormat="1" customHeight="1">
      <c r="A49" s="473"/>
      <c r="B49" s="511"/>
      <c r="C49" s="602" t="s">
        <v>103</v>
      </c>
      <c r="D49" s="602"/>
      <c r="E49" s="602"/>
      <c r="F49" s="602"/>
      <c r="G49" s="602"/>
      <c r="H49" s="602"/>
      <c r="I49" s="602"/>
      <c r="J49" s="602"/>
      <c r="K49" s="602"/>
      <c r="L49" s="602"/>
      <c r="M49" s="602"/>
      <c r="N49" s="602"/>
      <c r="O49" s="602"/>
      <c r="P49" s="603">
        <f>ROUND(P48*4%,0)</f>
        <v>5097.0</v>
      </c>
      <c r="Q49" s="604"/>
      <c r="R49" s="473"/>
      <c r="T49" s="599" t="s">
        <v>255</v>
      </c>
      <c r="U49" s="600"/>
      <c r="V49" s="601">
        <f>P49</f>
        <v>5097.0</v>
      </c>
      <c r="W49" s="605" t="s">
        <v>258</v>
      </c>
      <c r="X49" s="590">
        <f>IF(X48&gt;X47,X48-X47,0)</f>
        <v>0.0</v>
      </c>
      <c r="Y49" s="478"/>
      <c r="Z49" s="478"/>
      <c r="AA49" s="478"/>
      <c r="AB49" s="478"/>
      <c r="AC49" s="478"/>
      <c r="AD49" s="478"/>
    </row>
    <row r="50" spans="8:8" s="472" ht="17.1" customFormat="1" customHeight="1">
      <c r="A50" s="473"/>
      <c r="B50" s="516"/>
      <c r="C50" s="606" t="s">
        <v>277</v>
      </c>
      <c r="D50" s="606"/>
      <c r="E50" s="606"/>
      <c r="F50" s="606"/>
      <c r="G50" s="606"/>
      <c r="H50" s="606"/>
      <c r="I50" s="606"/>
      <c r="J50" s="606"/>
      <c r="K50" s="606"/>
      <c r="L50" s="606"/>
      <c r="M50" s="606"/>
      <c r="N50" s="606"/>
      <c r="O50" s="606"/>
      <c r="P50" s="607">
        <f>SUM(P48:Q49)</f>
        <v>132519.0</v>
      </c>
      <c r="Q50" s="608"/>
      <c r="R50" s="473"/>
      <c r="T50" s="599" t="s">
        <v>256</v>
      </c>
      <c r="U50" s="600"/>
      <c r="V50" s="609"/>
      <c r="W50" s="590"/>
      <c r="X50" s="590"/>
      <c r="Y50" s="478"/>
      <c r="Z50" s="478"/>
      <c r="AA50" s="478"/>
      <c r="AB50" s="478"/>
      <c r="AC50" s="478"/>
      <c r="AD50" s="478"/>
    </row>
    <row r="51" spans="8:8" s="472" ht="17.1" customFormat="1" customHeight="1">
      <c r="A51" s="473"/>
      <c r="B51" s="495">
        <v>17.0</v>
      </c>
      <c r="C51" s="506" t="s">
        <v>104</v>
      </c>
      <c r="D51" s="507"/>
      <c r="E51" s="507"/>
      <c r="F51" s="507"/>
      <c r="G51" s="507"/>
      <c r="H51" s="507"/>
      <c r="I51" s="507"/>
      <c r="J51" s="507"/>
      <c r="K51" s="507"/>
      <c r="L51" s="507"/>
      <c r="M51" s="507"/>
      <c r="N51" s="507"/>
      <c r="O51" s="561"/>
      <c r="P51" s="603">
        <f>'OTHER DEDUCTION'!E18</f>
        <v>0.0</v>
      </c>
      <c r="Q51" s="604"/>
      <c r="R51" s="473"/>
      <c r="T51" s="610" t="s">
        <v>257</v>
      </c>
      <c r="U51" s="610"/>
      <c r="V51" s="609">
        <f>SUM(V47:V50)</f>
        <v>1569629.0</v>
      </c>
      <c r="W51" s="605" t="s">
        <v>259</v>
      </c>
      <c r="X51" s="609">
        <f>V48-X49</f>
        <v>127422.0</v>
      </c>
      <c r="Y51" s="478"/>
      <c r="Z51" s="478"/>
      <c r="AA51" s="478"/>
      <c r="AB51" s="478"/>
      <c r="AC51" s="478"/>
      <c r="AD51" s="478"/>
    </row>
    <row r="52" spans="8:8" s="472" ht="17.1" customFormat="1" customHeight="1">
      <c r="A52" s="473"/>
      <c r="B52" s="495">
        <v>18.0</v>
      </c>
      <c r="C52" s="545" t="s">
        <v>41</v>
      </c>
      <c r="D52" s="545"/>
      <c r="E52" s="545"/>
      <c r="F52" s="545"/>
      <c r="G52" s="545"/>
      <c r="H52" s="545"/>
      <c r="I52" s="545"/>
      <c r="J52" s="545"/>
      <c r="K52" s="545"/>
      <c r="L52" s="545"/>
      <c r="M52" s="545"/>
      <c r="N52" s="545"/>
      <c r="O52" s="545"/>
      <c r="P52" s="607">
        <f>P50-P51</f>
        <v>132519.0</v>
      </c>
      <c r="Q52" s="608"/>
      <c r="R52" s="473"/>
      <c r="U52" s="478"/>
      <c r="V52" s="478"/>
      <c r="W52" s="478"/>
      <c r="X52" s="478"/>
      <c r="Y52" s="478"/>
      <c r="Z52" s="478"/>
      <c r="AA52" s="478"/>
      <c r="AB52" s="478"/>
      <c r="AC52" s="478"/>
      <c r="AD52" s="478"/>
    </row>
    <row r="53" spans="8:8" ht="33.75" customHeight="1">
      <c r="A53" s="58"/>
      <c r="B53" s="505">
        <v>19.0</v>
      </c>
      <c r="C53" s="611" t="s">
        <v>33</v>
      </c>
      <c r="D53" s="611"/>
      <c r="E53" s="612"/>
      <c r="F53" s="613" t="s">
        <v>145</v>
      </c>
      <c r="G53" s="613"/>
      <c r="H53" s="613"/>
      <c r="I53" s="613"/>
      <c r="J53" s="614" t="s">
        <v>146</v>
      </c>
      <c r="K53" s="615"/>
      <c r="L53" s="616" t="s">
        <v>147</v>
      </c>
      <c r="M53" s="614" t="s">
        <v>148</v>
      </c>
      <c r="N53" s="615"/>
      <c r="O53" s="616" t="s">
        <v>42</v>
      </c>
      <c r="P53" s="614" t="s">
        <v>105</v>
      </c>
      <c r="Q53" s="617"/>
      <c r="R53" s="58"/>
    </row>
    <row r="54" spans="8:8" ht="15.75" customHeight="1">
      <c r="A54" s="58"/>
      <c r="B54" s="516"/>
      <c r="C54" s="618"/>
      <c r="D54" s="618"/>
      <c r="E54" s="619"/>
      <c r="F54" s="620">
        <f>SUM('GA-55'!V8:V14)</f>
        <v>49000.0</v>
      </c>
      <c r="G54" s="620"/>
      <c r="H54" s="620"/>
      <c r="I54" s="620"/>
      <c r="J54" s="620">
        <f>SUM('GA-55'!V15:V17)</f>
        <v>21000.0</v>
      </c>
      <c r="K54" s="620"/>
      <c r="L54" s="621">
        <f>'GA-55'!V18</f>
        <v>7000.0</v>
      </c>
      <c r="M54" s="620">
        <f>'GA-55'!V19</f>
        <v>7000.0</v>
      </c>
      <c r="N54" s="620"/>
      <c r="O54" s="622">
        <f>SUM('GA-55'!V20:V27)+'OTHER DEDUCTION'!E19</f>
        <v>15000.0</v>
      </c>
      <c r="P54" s="623">
        <f>F54+J54+L54+M54+O54</f>
        <v>99000.0</v>
      </c>
      <c r="Q54" s="624"/>
      <c r="R54" s="58"/>
    </row>
    <row r="55" spans="8:8" ht="19.5" customHeight="1">
      <c r="A55" s="58"/>
      <c r="B55" s="625" t="str">
        <f>IF(P52&gt;P54,"INCOME TAX PAYABLE (NEW TAX REGIME)",IF(P52&lt;P54,"INCOME TAX REFUNDABLE (NEW TAX REGIME)","INCOME TAX PAYABLE/REFUNDABLE (NEW TAX REGIME)"))</f>
        <v>INCOME TAX PAYABLE (NEW TAX REGIME)</v>
      </c>
      <c r="C55" s="626"/>
      <c r="D55" s="626"/>
      <c r="E55" s="626"/>
      <c r="F55" s="626"/>
      <c r="G55" s="626"/>
      <c r="H55" s="626"/>
      <c r="I55" s="626"/>
      <c r="J55" s="626"/>
      <c r="K55" s="626"/>
      <c r="L55" s="626"/>
      <c r="M55" s="626"/>
      <c r="N55" s="626"/>
      <c r="O55" s="626"/>
      <c r="P55" s="627">
        <f>P52-P54</f>
        <v>33519.0</v>
      </c>
      <c r="Q55" s="628"/>
      <c r="R55" s="58"/>
    </row>
    <row r="56" spans="8:8" ht="15.75">
      <c r="A56" s="58"/>
      <c r="B56" s="629"/>
      <c r="C56" s="630"/>
      <c r="D56" s="630"/>
      <c r="E56" s="630"/>
      <c r="F56" s="630"/>
      <c r="G56" s="630"/>
      <c r="H56" s="630"/>
      <c r="I56" s="630"/>
      <c r="J56" s="630"/>
      <c r="K56" s="630"/>
      <c r="L56" s="630"/>
      <c r="M56" s="630"/>
      <c r="N56" s="630"/>
      <c r="O56" s="630"/>
      <c r="P56" s="631"/>
      <c r="Q56" s="632"/>
      <c r="R56" s="58"/>
    </row>
    <row r="57" spans="8:8" ht="27.0">
      <c r="A57" s="58"/>
      <c r="R57" s="58"/>
    </row>
    <row r="58" spans="8:8" ht="15.0">
      <c r="A58" s="58"/>
      <c r="E58" s="633" t="s">
        <v>35</v>
      </c>
      <c r="O58" s="633" t="s">
        <v>36</v>
      </c>
      <c r="R58" s="58"/>
    </row>
    <row r="59" spans="8:8" ht="32.25" customFormat="1" customHeight="1">
      <c r="A59" s="634"/>
      <c r="B59" s="635" t="s">
        <v>487</v>
      </c>
      <c r="C59" s="636"/>
      <c r="D59" s="636"/>
      <c r="E59" s="636"/>
      <c r="F59" s="636"/>
      <c r="G59" s="636"/>
      <c r="H59" s="636"/>
      <c r="I59" s="636"/>
      <c r="J59" s="636"/>
      <c r="K59" s="636"/>
      <c r="L59" s="636"/>
      <c r="M59" s="636"/>
      <c r="N59" s="636"/>
      <c r="O59" s="636"/>
      <c r="P59" s="636"/>
      <c r="Q59" s="637"/>
      <c r="R59" s="638"/>
      <c r="U59" s="471"/>
      <c r="V59" s="471"/>
      <c r="W59" s="471"/>
      <c r="X59" s="471"/>
      <c r="Y59" s="471"/>
      <c r="Z59" s="471"/>
      <c r="AA59" s="471"/>
      <c r="AB59" s="471"/>
      <c r="AC59" s="471"/>
      <c r="AD59" s="471"/>
    </row>
    <row r="60" spans="8:8" ht="27.0" hidden="1" customHeight="1">
      <c r="C60" s="639"/>
      <c r="D60" s="639"/>
      <c r="E60" s="639"/>
      <c r="F60" s="639"/>
      <c r="G60" s="639"/>
      <c r="H60" s="639"/>
      <c r="I60" s="639"/>
      <c r="J60" s="639"/>
      <c r="K60" s="639"/>
      <c r="L60" s="639"/>
      <c r="M60" s="639"/>
      <c r="N60" s="639"/>
      <c r="O60" s="639"/>
      <c r="P60" s="639"/>
      <c r="Q60" s="639"/>
    </row>
    <row r="61" spans="8:8" ht="27.0" hidden="1" customHeight="1"/>
    <row r="62" spans="8:8" ht="27.0" hidden="1" customHeight="1"/>
    <row r="63" spans="8:8" ht="27.0" hidden="1" customHeight="1"/>
    <row r="64" spans="8:8" ht="27.0" hidden="1" customHeight="1"/>
    <row r="65" spans="8:8" ht="27.0" hidden="1" customHeight="1"/>
    <row r="66" spans="8:8" ht="27.0" hidden="1" customHeight="1"/>
    <row r="67" spans="8:8" ht="27.0" hidden="1" customHeight="1"/>
    <row r="68" spans="8:8" ht="27.0" hidden="1" customHeight="1"/>
    <row r="69" spans="8:8" ht="27.0" hidden="1" customHeight="1"/>
    <row r="70" spans="8:8" ht="27.0" hidden="1" customHeight="1"/>
    <row r="71" spans="8:8" ht="27.0" hidden="1" customHeight="1"/>
    <row r="72" spans="8:8" ht="27.0" hidden="1" customHeight="1"/>
    <row r="73" spans="8:8" ht="27.0" hidden="1" customHeight="1"/>
    <row r="74" spans="8:8" ht="27.0" hidden="1" customHeight="1"/>
    <row r="75" spans="8:8" ht="27.0" hidden="1" customHeight="1"/>
    <row r="76" spans="8:8" ht="27.0" hidden="1" customHeight="1"/>
    <row r="77" spans="8:8" ht="27.0" hidden="1" customHeight="1"/>
    <row r="78" spans="8:8" ht="27.0" hidden="1" customHeight="1"/>
    <row r="79" spans="8:8" ht="27.0" customHeight="1"/>
  </sheetData>
  <sheetProtection password="cda0" sheet="1" objects="1" scenarios="1"/>
  <mergeCells count="153">
    <mergeCell ref="L39:O39"/>
    <mergeCell ref="F54:I54"/>
    <mergeCell ref="C42:E42"/>
    <mergeCell ref="P25:Q25"/>
    <mergeCell ref="B7:B10"/>
    <mergeCell ref="B55:O55"/>
    <mergeCell ref="F42:G42"/>
    <mergeCell ref="L44:N44"/>
    <mergeCell ref="M54:N54"/>
    <mergeCell ref="J54:K54"/>
    <mergeCell ref="C48:O48"/>
    <mergeCell ref="K47:M47"/>
    <mergeCell ref="B59:Q59"/>
    <mergeCell ref="C4:O4"/>
    <mergeCell ref="C18:O18"/>
    <mergeCell ref="C6:O6"/>
    <mergeCell ref="H13:J13"/>
    <mergeCell ref="E13:G13"/>
    <mergeCell ref="C9:L9"/>
    <mergeCell ref="M8:O8"/>
    <mergeCell ref="C22:O22"/>
    <mergeCell ref="C5:O5"/>
    <mergeCell ref="E3:J3"/>
    <mergeCell ref="P26:Q26"/>
    <mergeCell ref="C20:K20"/>
    <mergeCell ref="P22:Q22"/>
    <mergeCell ref="K14:L14"/>
    <mergeCell ref="H14:J14"/>
    <mergeCell ref="B2:M2"/>
    <mergeCell ref="P44:Q44"/>
    <mergeCell ref="D47:H47"/>
    <mergeCell ref="P54:Q54"/>
    <mergeCell ref="P33:Q33"/>
    <mergeCell ref="P31:Q31"/>
    <mergeCell ref="P53:Q53"/>
    <mergeCell ref="C45:E45"/>
    <mergeCell ref="H42:J42"/>
    <mergeCell ref="C8:L8"/>
    <mergeCell ref="C24:Q24"/>
    <mergeCell ref="M7:O7"/>
    <mergeCell ref="P4:Q4"/>
    <mergeCell ref="B1:O1"/>
    <mergeCell ref="C35:O35"/>
    <mergeCell ref="K13:L13"/>
    <mergeCell ref="P23:Q23"/>
    <mergeCell ref="B24:B34"/>
    <mergeCell ref="B53:B54"/>
    <mergeCell ref="P46:Q46"/>
    <mergeCell ref="C39:G39"/>
    <mergeCell ref="C10:O10"/>
    <mergeCell ref="P29:Q29"/>
    <mergeCell ref="P11:Q11"/>
    <mergeCell ref="P5:Q5"/>
    <mergeCell ref="C7:L7"/>
    <mergeCell ref="C3:D3"/>
    <mergeCell ref="L3:N3"/>
    <mergeCell ref="P3:Q3"/>
    <mergeCell ref="P12:Q14"/>
    <mergeCell ref="C21:O21"/>
    <mergeCell ref="L20:O20"/>
    <mergeCell ref="C19:Q19"/>
    <mergeCell ref="P18:Q18"/>
    <mergeCell ref="P15:Q15"/>
    <mergeCell ref="P20:Q20"/>
    <mergeCell ref="C38:Q38"/>
    <mergeCell ref="P47:Q47"/>
    <mergeCell ref="P34:Q34"/>
    <mergeCell ref="P35:Q35"/>
    <mergeCell ref="F45:G45"/>
    <mergeCell ref="P45:Q45"/>
    <mergeCell ref="T51:U51"/>
    <mergeCell ref="C25:O25"/>
    <mergeCell ref="P16:Q16"/>
    <mergeCell ref="M14:O14"/>
    <mergeCell ref="C29:O29"/>
    <mergeCell ref="P37:Q37"/>
    <mergeCell ref="C46:O46"/>
    <mergeCell ref="P42:Q42"/>
    <mergeCell ref="P41:Q41"/>
    <mergeCell ref="P43:Q43"/>
    <mergeCell ref="P40:Q40"/>
    <mergeCell ref="C43:E43"/>
    <mergeCell ref="C28:O28"/>
    <mergeCell ref="C13:D14"/>
    <mergeCell ref="P21:Q21"/>
    <mergeCell ref="C44:E44"/>
    <mergeCell ref="P36:Q36"/>
    <mergeCell ref="N47:O47"/>
    <mergeCell ref="C53:E54"/>
    <mergeCell ref="P48:Q48"/>
    <mergeCell ref="P51:Q51"/>
    <mergeCell ref="P52:Q52"/>
    <mergeCell ref="P49:Q49"/>
    <mergeCell ref="P50:Q50"/>
    <mergeCell ref="P28:Q28"/>
    <mergeCell ref="C12:J12"/>
    <mergeCell ref="N2:O2"/>
    <mergeCell ref="P27:Q27"/>
    <mergeCell ref="B38:B50"/>
    <mergeCell ref="P55:Q55"/>
    <mergeCell ref="C52:O52"/>
    <mergeCell ref="P39:Q39"/>
    <mergeCell ref="F53:I53"/>
    <mergeCell ref="C23:O23"/>
    <mergeCell ref="M13:O13"/>
    <mergeCell ref="P17:Q17"/>
    <mergeCell ref="C11:O11"/>
    <mergeCell ref="C27:O27"/>
    <mergeCell ref="B19:B23"/>
    <mergeCell ref="F44:G44"/>
    <mergeCell ref="C51:O51"/>
    <mergeCell ref="L42:N42"/>
    <mergeCell ref="H44:J44"/>
    <mergeCell ref="L43:N43"/>
    <mergeCell ref="C50:O50"/>
    <mergeCell ref="P32:Q32"/>
    <mergeCell ref="P30:Q30"/>
    <mergeCell ref="C15:O15"/>
    <mergeCell ref="K12:L12"/>
    <mergeCell ref="C17:O17"/>
    <mergeCell ref="P7:Q9"/>
    <mergeCell ref="P6:Q6"/>
    <mergeCell ref="C40:E40"/>
    <mergeCell ref="J53:K53"/>
    <mergeCell ref="L45:N45"/>
    <mergeCell ref="C49:O49"/>
    <mergeCell ref="C34:O34"/>
    <mergeCell ref="C30:O30"/>
    <mergeCell ref="M12:O12"/>
    <mergeCell ref="C26:O26"/>
    <mergeCell ref="C16:O16"/>
    <mergeCell ref="E14:G14"/>
    <mergeCell ref="M9:O9"/>
    <mergeCell ref="B12:B14"/>
    <mergeCell ref="P10:Q10"/>
    <mergeCell ref="C31:O31"/>
    <mergeCell ref="I47:J47"/>
    <mergeCell ref="C33:O33"/>
    <mergeCell ref="M53:N53"/>
    <mergeCell ref="C32:O32"/>
    <mergeCell ref="F43:G43"/>
    <mergeCell ref="L41:N41"/>
    <mergeCell ref="F40:G40"/>
    <mergeCell ref="C41:E41"/>
    <mergeCell ref="H39:K39"/>
    <mergeCell ref="C36:O36"/>
    <mergeCell ref="H43:J43"/>
    <mergeCell ref="H45:J45"/>
    <mergeCell ref="C37:O37"/>
    <mergeCell ref="L40:N40"/>
    <mergeCell ref="F41:G41"/>
    <mergeCell ref="H41:J41"/>
    <mergeCell ref="H40:J40"/>
  </mergeCells>
  <conditionalFormatting sqref="P55:Q55">
    <cfRule type="cellIs" operator="greaterThan" priority="2" dxfId="9">
      <formula>0</formula>
    </cfRule>
  </conditionalFormatting>
  <conditionalFormatting sqref="B55:O55">
    <cfRule type="containsText" text="Income Tax Payable (New Tax Regime)" operator="containsText" priority="4" dxfId="10">
      <formula>NOT(ISERROR(SEARCH("Income Tax Payable (New Tax Regime)",B55)))</formula>
    </cfRule>
    <cfRule type="containsText" text="Income Tax Refundable (New Tax Regime)" operator="containsText" priority="3" dxfId="11">
      <formula>NOT(ISERROR(SEARCH("Income Tax Refundable (New Tax Regime)",B55)))</formula>
    </cfRule>
  </conditionalFormatting>
  <printOptions horizontalCentered="1"/>
  <pageMargins left="0.2755905511811024" right="0.15748031496062992" top="0.2362204724409449" bottom="0.2755905511811024" header="0.1968503937007874" footer="0.2362204724409449"/>
  <pageSetup paperSize="9" scale="78" blackAndWhite="1"/>
  <headerFooter>
    <oddFooter>&amp;C&amp;"Times New Roman,Bold"&amp;11निर्माणकर्ता :-भागीरथ मल अध्यापक L-1 GSSS डसाणा खुर्द मौलासर (डीडवाना-कुचामन)</oddFooter>
  </headerFooter>
  <drawing r:id="rId1"/>
</worksheet>
</file>

<file path=xl/worksheets/sheet8.xml><?xml version="1.0" encoding="utf-8"?>
<worksheet xmlns:r="http://schemas.openxmlformats.org/officeDocument/2006/relationships" xmlns="http://schemas.openxmlformats.org/spreadsheetml/2006/main">
  <sheetPr>
    <tabColor rgb="FFFF66CC"/>
    <pageSetUpPr fitToPage="1"/>
  </sheetPr>
  <dimension ref="A1:AG99"/>
  <sheetViews>
    <sheetView workbookViewId="0" topLeftCell="A44" showGridLines="0" showRowColHeaders="0" zoomScale="115">
      <selection activeCell="M66" sqref="M66"/>
    </sheetView>
  </sheetViews>
  <sheetFormatPr defaultRowHeight="12.75" defaultColWidth="0" zeroHeight="1"/>
  <cols>
    <col min="1" max="1" customWidth="1" width="3.0" style="0"/>
    <col min="2" max="2" customWidth="1" width="2.8554688" style="640"/>
    <col min="3" max="3" customWidth="1" width="4.5703125" style="468"/>
    <col min="4" max="5" customWidth="1" width="9.140625" style="468"/>
    <col min="6" max="6" customWidth="1" width="3.8554688" style="468"/>
    <col min="7" max="7" customWidth="1" width="4.140625" style="468"/>
    <col min="8" max="8" customWidth="1" width="3.140625" style="468"/>
    <col min="9" max="9" customWidth="1" width="10.5703125" style="468"/>
    <col min="10" max="10" customWidth="1" width="5.140625" style="468"/>
    <col min="11" max="11" customWidth="1" width="12.140625" style="468"/>
    <col min="12" max="12" customWidth="1" width="12.285156" style="468"/>
    <col min="13" max="13" customWidth="1" width="9.425781" style="468"/>
    <col min="14" max="14" customWidth="1" width="3.5703125" style="468"/>
    <col min="15" max="15" customWidth="1" width="13.0" style="468"/>
    <col min="16" max="16" customWidth="1" bestFit="1" width="2.7109375" style="469"/>
    <col min="17" max="17" customWidth="1" width="14.0" style="470"/>
    <col min="18" max="18" customWidth="1" width="4.0" style="0"/>
    <col min="19" max="25" hidden="1" customWidth="1" width="9.140625" style="0"/>
    <col min="26" max="26" customWidth="1" width="3.0" style="0"/>
    <col min="27" max="29" hidden="1" customWidth="1" width="9.140625" style="0"/>
    <col min="30" max="30" hidden="1" customWidth="1" width="1.8554688" style="471"/>
    <col min="31" max="31" hidden="1" customWidth="1" width="9.140625" style="471"/>
    <col min="32" max="16384" hidden="1" customWidth="0" width="10.425781" style="471"/>
  </cols>
  <sheetData>
    <row r="1" spans="8:8" s="478" ht="15.75" customFormat="1" customHeight="1">
      <c r="A1" s="473"/>
      <c r="B1" s="474" t="str">
        <f>'GA-55'!C2</f>
        <v>OFFICE OF THE  PRINCIPAL,GOVT. SEN. SEC. SCHOOL DASANA KHURD (DEEDWANA-KUCHAMAN)</v>
      </c>
      <c r="C1" s="475"/>
      <c r="D1" s="475"/>
      <c r="E1" s="475"/>
      <c r="F1" s="475"/>
      <c r="G1" s="475"/>
      <c r="H1" s="475"/>
      <c r="I1" s="475"/>
      <c r="J1" s="475"/>
      <c r="K1" s="475"/>
      <c r="L1" s="475"/>
      <c r="M1" s="475"/>
      <c r="N1" s="475"/>
      <c r="O1" s="475"/>
      <c r="P1" s="475"/>
      <c r="Q1" s="641"/>
      <c r="R1" s="473"/>
    </row>
    <row r="2" spans="8:8" s="478" ht="24.0" customFormat="1">
      <c r="A2" s="473"/>
      <c r="B2" s="479" t="s">
        <v>285</v>
      </c>
      <c r="C2" s="480"/>
      <c r="D2" s="480"/>
      <c r="E2" s="480"/>
      <c r="F2" s="480"/>
      <c r="G2" s="480"/>
      <c r="H2" s="480"/>
      <c r="I2" s="480"/>
      <c r="J2" s="480"/>
      <c r="K2" s="480"/>
      <c r="L2" s="480"/>
      <c r="M2" s="480"/>
      <c r="N2" s="480"/>
      <c r="O2" s="642" t="s">
        <v>286</v>
      </c>
      <c r="P2" s="643"/>
      <c r="Q2" s="644"/>
      <c r="R2" s="473"/>
    </row>
    <row r="3" spans="8:8" s="478" ht="15.6" customFormat="1" customHeight="1">
      <c r="A3" s="473"/>
      <c r="B3" s="645">
        <v>1.0</v>
      </c>
      <c r="C3" s="646" t="s">
        <v>2</v>
      </c>
      <c r="D3" s="647"/>
      <c r="E3" s="489" t="str">
        <f>'GA-55'!D5</f>
        <v>BHAGIRATH MAL</v>
      </c>
      <c r="F3" s="489"/>
      <c r="G3" s="489"/>
      <c r="H3" s="489"/>
      <c r="I3" s="489"/>
      <c r="J3" s="489"/>
      <c r="K3" s="490" t="s">
        <v>8</v>
      </c>
      <c r="L3" s="493" t="str">
        <f>'GA-55'!L5</f>
        <v>TEACHER L-1 पे लेवल L-14</v>
      </c>
      <c r="M3" s="493"/>
      <c r="N3" s="493"/>
      <c r="O3" s="492" t="s">
        <v>7</v>
      </c>
      <c r="P3" s="648" t="str">
        <f>IF('GA-55'!Q5="","",'GA-55'!Q5)</f>
        <v>AAAAAXXXXA</v>
      </c>
      <c r="Q3" s="649"/>
      <c r="R3" s="473"/>
    </row>
    <row r="4" spans="8:8" s="478" ht="15.6" customFormat="1" customHeight="1">
      <c r="A4" s="473"/>
      <c r="B4" s="650">
        <v>2.0</v>
      </c>
      <c r="C4" s="496" t="s">
        <v>243</v>
      </c>
      <c r="D4" s="496"/>
      <c r="E4" s="497"/>
      <c r="F4" s="497"/>
      <c r="G4" s="497"/>
      <c r="H4" s="497"/>
      <c r="I4" s="497"/>
      <c r="J4" s="497"/>
      <c r="K4" s="496"/>
      <c r="L4" s="497"/>
      <c r="M4" s="497"/>
      <c r="N4" s="497"/>
      <c r="O4" s="496"/>
      <c r="P4" s="651">
        <f>'GA-55'!M28</f>
        <v>1512112.0</v>
      </c>
      <c r="Q4" s="652"/>
      <c r="R4" s="473"/>
    </row>
    <row r="5" spans="8:8" s="478" ht="15.6" customFormat="1" customHeight="1">
      <c r="A5" s="473"/>
      <c r="B5" s="650">
        <v>3.0</v>
      </c>
      <c r="C5" s="497" t="s">
        <v>109</v>
      </c>
      <c r="D5" s="497"/>
      <c r="E5" s="497"/>
      <c r="F5" s="497"/>
      <c r="G5" s="497"/>
      <c r="H5" s="497"/>
      <c r="I5" s="497"/>
      <c r="J5" s="497"/>
      <c r="K5" s="497"/>
      <c r="L5" s="497"/>
      <c r="M5" s="497"/>
      <c r="N5" s="497"/>
      <c r="O5" s="497"/>
      <c r="P5" s="653">
        <f>'OTHER DEDUCTION'!B3</f>
        <v>83556.0</v>
      </c>
      <c r="Q5" s="654"/>
      <c r="R5" s="473"/>
    </row>
    <row r="6" spans="8:8" s="478" ht="15.6" customFormat="1" customHeight="1">
      <c r="A6" s="473"/>
      <c r="B6" s="650">
        <v>4.0</v>
      </c>
      <c r="C6" s="502" t="s">
        <v>270</v>
      </c>
      <c r="D6" s="502"/>
      <c r="E6" s="502"/>
      <c r="F6" s="502"/>
      <c r="G6" s="502"/>
      <c r="H6" s="502"/>
      <c r="I6" s="502"/>
      <c r="J6" s="502"/>
      <c r="K6" s="502"/>
      <c r="L6" s="502"/>
      <c r="M6" s="502"/>
      <c r="N6" s="502"/>
      <c r="O6" s="502"/>
      <c r="P6" s="655">
        <f>P4-P5</f>
        <v>1428556.0</v>
      </c>
      <c r="Q6" s="656"/>
      <c r="R6" s="473"/>
    </row>
    <row r="7" spans="8:8" s="478" ht="15.6" customFormat="1" customHeight="1">
      <c r="A7" s="473"/>
      <c r="B7" s="657">
        <v>5.0</v>
      </c>
      <c r="C7" s="506" t="s">
        <v>89</v>
      </c>
      <c r="D7" s="507"/>
      <c r="E7" s="507"/>
      <c r="F7" s="507"/>
      <c r="G7" s="507"/>
      <c r="H7" s="507"/>
      <c r="I7" s="507"/>
      <c r="J7" s="507"/>
      <c r="K7" s="507"/>
      <c r="L7" s="507"/>
      <c r="M7" s="658">
        <f>IF($P$6&gt;50000,50000,$P$6)</f>
        <v>50000.0</v>
      </c>
      <c r="N7" s="658"/>
      <c r="O7" s="658"/>
      <c r="P7" s="655"/>
      <c r="Q7" s="656"/>
      <c r="R7" s="473"/>
    </row>
    <row r="8" spans="8:8" s="478" ht="15.6" customFormat="1" customHeight="1">
      <c r="A8" s="473"/>
      <c r="B8" s="659"/>
      <c r="C8" s="506" t="s">
        <v>110</v>
      </c>
      <c r="D8" s="507"/>
      <c r="E8" s="507"/>
      <c r="F8" s="507"/>
      <c r="G8" s="507"/>
      <c r="H8" s="507"/>
      <c r="I8" s="507"/>
      <c r="J8" s="507"/>
      <c r="K8" s="507"/>
      <c r="L8" s="507"/>
      <c r="M8" s="508">
        <f>'OTHER DEDUCTION'!B4</f>
        <v>0.0</v>
      </c>
      <c r="N8" s="508"/>
      <c r="O8" s="508"/>
      <c r="P8" s="655"/>
      <c r="Q8" s="656"/>
      <c r="R8" s="473"/>
    </row>
    <row r="9" spans="8:8" s="478" ht="15.6" customFormat="1" customHeight="1">
      <c r="A9" s="473"/>
      <c r="B9" s="659"/>
      <c r="C9" s="506" t="s">
        <v>111</v>
      </c>
      <c r="D9" s="507"/>
      <c r="E9" s="507"/>
      <c r="F9" s="507"/>
      <c r="G9" s="507"/>
      <c r="H9" s="507"/>
      <c r="I9" s="507"/>
      <c r="J9" s="507"/>
      <c r="K9" s="507"/>
      <c r="L9" s="507"/>
      <c r="M9" s="508">
        <f>'OTHER DEDUCTION'!B5</f>
        <v>0.0</v>
      </c>
      <c r="N9" s="508"/>
      <c r="O9" s="508"/>
      <c r="P9" s="651">
        <f>M7+M8+M9</f>
        <v>50000.0</v>
      </c>
      <c r="Q9" s="652"/>
      <c r="R9" s="473"/>
    </row>
    <row r="10" spans="8:8" s="478" ht="15.6" customFormat="1" customHeight="1">
      <c r="A10" s="473"/>
      <c r="B10" s="660"/>
      <c r="C10" s="517" t="s">
        <v>268</v>
      </c>
      <c r="D10" s="518"/>
      <c r="E10" s="518"/>
      <c r="F10" s="518"/>
      <c r="G10" s="518"/>
      <c r="H10" s="518"/>
      <c r="I10" s="518"/>
      <c r="J10" s="518"/>
      <c r="K10" s="518"/>
      <c r="L10" s="518"/>
      <c r="M10" s="518"/>
      <c r="N10" s="518"/>
      <c r="O10" s="519"/>
      <c r="P10" s="655">
        <f>SUM(M7:O9)</f>
        <v>50000.0</v>
      </c>
      <c r="Q10" s="656"/>
      <c r="R10" s="473"/>
    </row>
    <row r="11" spans="8:8" s="478" ht="15.6" customFormat="1" customHeight="1">
      <c r="A11" s="473"/>
      <c r="B11" s="650">
        <v>6.0</v>
      </c>
      <c r="C11" s="517" t="s">
        <v>269</v>
      </c>
      <c r="D11" s="518"/>
      <c r="E11" s="518"/>
      <c r="F11" s="518"/>
      <c r="G11" s="518"/>
      <c r="H11" s="518"/>
      <c r="I11" s="518"/>
      <c r="J11" s="518"/>
      <c r="K11" s="518"/>
      <c r="L11" s="518"/>
      <c r="M11" s="518"/>
      <c r="N11" s="518"/>
      <c r="O11" s="519"/>
      <c r="P11" s="655">
        <f>P6-P10</f>
        <v>1378556.0</v>
      </c>
      <c r="Q11" s="656"/>
      <c r="R11" s="473"/>
    </row>
    <row r="12" spans="8:8" s="478" ht="15.6" customFormat="1" customHeight="1">
      <c r="A12" s="473"/>
      <c r="B12" s="661">
        <v>7.0</v>
      </c>
      <c r="C12" s="523" t="s">
        <v>106</v>
      </c>
      <c r="D12" s="523"/>
      <c r="E12" s="523"/>
      <c r="F12" s="523"/>
      <c r="G12" s="523"/>
      <c r="H12" s="523"/>
      <c r="I12" s="523"/>
      <c r="J12" s="523"/>
      <c r="K12" s="524" t="s">
        <v>10</v>
      </c>
      <c r="L12" s="524"/>
      <c r="M12" s="508">
        <f>'OTHER DEDUCTION'!B6</f>
        <v>0.0</v>
      </c>
      <c r="N12" s="508"/>
      <c r="O12" s="508"/>
      <c r="P12" s="525"/>
      <c r="Q12" s="526"/>
      <c r="R12" s="473"/>
    </row>
    <row r="13" spans="8:8" s="478" ht="15.6" customFormat="1" customHeight="1">
      <c r="A13" s="473"/>
      <c r="B13" s="661"/>
      <c r="C13" s="662" t="s">
        <v>11</v>
      </c>
      <c r="D13" s="663"/>
      <c r="E13" s="529" t="s">
        <v>88</v>
      </c>
      <c r="F13" s="530"/>
      <c r="G13" s="531"/>
      <c r="H13" s="532" t="s">
        <v>3</v>
      </c>
      <c r="I13" s="532"/>
      <c r="J13" s="532"/>
      <c r="K13" s="524" t="s">
        <v>12</v>
      </c>
      <c r="L13" s="524"/>
      <c r="M13" s="524" t="s">
        <v>37</v>
      </c>
      <c r="N13" s="524"/>
      <c r="O13" s="524"/>
      <c r="P13" s="525"/>
      <c r="Q13" s="526"/>
      <c r="R13" s="473"/>
    </row>
    <row r="14" spans="8:8" s="478" ht="15.6" customFormat="1" customHeight="1">
      <c r="A14" s="473"/>
      <c r="B14" s="661"/>
      <c r="C14" s="664"/>
      <c r="D14" s="665"/>
      <c r="E14" s="535">
        <f>ROUND(M12*0.3,0)</f>
        <v>0.0</v>
      </c>
      <c r="F14" s="536"/>
      <c r="G14" s="537"/>
      <c r="H14" s="508">
        <f>IF('OTHER DEDUCTION'!B9&gt;200000,200000,'OTHER DEDUCTION'!B9)</f>
        <v>0.0</v>
      </c>
      <c r="I14" s="508"/>
      <c r="J14" s="508"/>
      <c r="K14" s="508">
        <f>'OTHER DEDUCTION'!B7</f>
        <v>0.0</v>
      </c>
      <c r="L14" s="508"/>
      <c r="M14" s="508">
        <f>E14+H14+K14</f>
        <v>0.0</v>
      </c>
      <c r="N14" s="508"/>
      <c r="O14" s="508"/>
      <c r="P14" s="525"/>
      <c r="Q14" s="526"/>
      <c r="R14" s="473"/>
    </row>
    <row r="15" spans="8:8" s="478" ht="15.6" customFormat="1" customHeight="1">
      <c r="A15" s="473"/>
      <c r="B15" s="650"/>
      <c r="C15" s="517" t="s">
        <v>266</v>
      </c>
      <c r="D15" s="518"/>
      <c r="E15" s="518"/>
      <c r="F15" s="518"/>
      <c r="G15" s="518"/>
      <c r="H15" s="518"/>
      <c r="I15" s="518"/>
      <c r="J15" s="518"/>
      <c r="K15" s="518"/>
      <c r="L15" s="518"/>
      <c r="M15" s="518"/>
      <c r="N15" s="518"/>
      <c r="O15" s="519"/>
      <c r="P15" s="653">
        <f>M12-M14</f>
        <v>0.0</v>
      </c>
      <c r="Q15" s="654"/>
      <c r="R15" s="473"/>
    </row>
    <row r="16" spans="8:8" s="478" ht="15.6" customFormat="1" customHeight="1">
      <c r="A16" s="473"/>
      <c r="B16" s="650">
        <v>8.0</v>
      </c>
      <c r="C16" s="517" t="s">
        <v>267</v>
      </c>
      <c r="D16" s="518"/>
      <c r="E16" s="518"/>
      <c r="F16" s="518"/>
      <c r="G16" s="518"/>
      <c r="H16" s="518"/>
      <c r="I16" s="518"/>
      <c r="J16" s="518"/>
      <c r="K16" s="518"/>
      <c r="L16" s="518"/>
      <c r="M16" s="518"/>
      <c r="N16" s="518"/>
      <c r="O16" s="519"/>
      <c r="P16" s="655">
        <f>P11+P15</f>
        <v>1378556.0</v>
      </c>
      <c r="Q16" s="656"/>
      <c r="R16" s="473"/>
    </row>
    <row r="17" spans="8:8" s="478" ht="15.6" customFormat="1" customHeight="1">
      <c r="A17" s="473"/>
      <c r="B17" s="650">
        <v>9.0</v>
      </c>
      <c r="C17" s="544" t="s">
        <v>6</v>
      </c>
      <c r="D17" s="544"/>
      <c r="E17" s="544"/>
      <c r="F17" s="544"/>
      <c r="G17" s="544"/>
      <c r="H17" s="544"/>
      <c r="I17" s="544"/>
      <c r="J17" s="544"/>
      <c r="K17" s="544"/>
      <c r="L17" s="544"/>
      <c r="M17" s="544"/>
      <c r="N17" s="544"/>
      <c r="O17" s="544"/>
      <c r="P17" s="653">
        <f>'OTHER DEDUCTION'!J6</f>
        <v>0.0</v>
      </c>
      <c r="Q17" s="654"/>
      <c r="R17" s="473"/>
    </row>
    <row r="18" spans="8:8" s="478" ht="15.6" customFormat="1" customHeight="1">
      <c r="A18" s="473"/>
      <c r="B18" s="650">
        <v>10.0</v>
      </c>
      <c r="C18" s="544" t="s">
        <v>265</v>
      </c>
      <c r="D18" s="544"/>
      <c r="E18" s="544"/>
      <c r="F18" s="544"/>
      <c r="G18" s="544"/>
      <c r="H18" s="544"/>
      <c r="I18" s="544"/>
      <c r="J18" s="544"/>
      <c r="K18" s="544"/>
      <c r="L18" s="544"/>
      <c r="M18" s="544"/>
      <c r="N18" s="544"/>
      <c r="O18" s="544"/>
      <c r="P18" s="655">
        <f>P16+P17</f>
        <v>1378556.0</v>
      </c>
      <c r="Q18" s="656"/>
      <c r="R18" s="473"/>
    </row>
    <row r="19" spans="8:8" s="478" ht="15.6" customFormat="1" customHeight="1">
      <c r="A19" s="473"/>
      <c r="B19" s="657">
        <v>11.0</v>
      </c>
      <c r="C19" s="544" t="s">
        <v>275</v>
      </c>
      <c r="D19" s="544"/>
      <c r="E19" s="544"/>
      <c r="F19" s="544"/>
      <c r="G19" s="544"/>
      <c r="H19" s="544"/>
      <c r="I19" s="544"/>
      <c r="J19" s="544"/>
      <c r="K19" s="544"/>
      <c r="L19" s="544"/>
      <c r="M19" s="544"/>
      <c r="N19" s="544"/>
      <c r="O19" s="544"/>
      <c r="P19" s="544"/>
      <c r="Q19" s="560"/>
      <c r="R19" s="473"/>
    </row>
    <row r="20" spans="8:8" s="478" ht="15.6" customFormat="1" customHeight="1">
      <c r="A20" s="473"/>
      <c r="B20" s="659"/>
      <c r="C20" s="666" t="s">
        <v>112</v>
      </c>
      <c r="D20" s="666"/>
      <c r="E20" s="666"/>
      <c r="F20" s="666"/>
      <c r="G20" s="666"/>
      <c r="H20" s="666"/>
      <c r="I20" s="666"/>
      <c r="J20" s="666"/>
      <c r="K20" s="666"/>
      <c r="L20" s="666"/>
      <c r="M20" s="666"/>
      <c r="N20" s="666"/>
      <c r="O20" s="666"/>
      <c r="P20" s="666"/>
      <c r="Q20" s="667"/>
      <c r="R20" s="473"/>
    </row>
    <row r="21" spans="8:8" s="478" ht="15.0" customFormat="1" customHeight="1">
      <c r="A21" s="473"/>
      <c r="B21" s="659"/>
      <c r="C21" s="668" t="s">
        <v>13</v>
      </c>
      <c r="D21" s="497" t="s">
        <v>439</v>
      </c>
      <c r="E21" s="497"/>
      <c r="F21" s="497"/>
      <c r="G21" s="497"/>
      <c r="H21" s="669">
        <f>'GA-55'!P28</f>
        <v>84000.0</v>
      </c>
      <c r="I21" s="670"/>
      <c r="J21" s="671" t="s">
        <v>16</v>
      </c>
      <c r="K21" s="672" t="s">
        <v>591</v>
      </c>
      <c r="L21" s="673"/>
      <c r="M21" s="674"/>
      <c r="N21" s="675">
        <v>0.0</v>
      </c>
      <c r="O21" s="676"/>
      <c r="P21" s="509"/>
      <c r="Q21" s="677"/>
      <c r="R21" s="473"/>
    </row>
    <row r="22" spans="8:8" s="478" ht="15.6" customFormat="1" customHeight="1">
      <c r="A22" s="473"/>
      <c r="B22" s="659"/>
      <c r="C22" s="668" t="s">
        <v>15</v>
      </c>
      <c r="D22" s="506" t="s">
        <v>113</v>
      </c>
      <c r="E22" s="507"/>
      <c r="F22" s="507"/>
      <c r="G22" s="561"/>
      <c r="H22" s="669">
        <f>'OTHER DEDUCTION'!B10+'GA-55'!T28</f>
        <v>0.0</v>
      </c>
      <c r="I22" s="670"/>
      <c r="J22" s="678"/>
      <c r="K22" s="679"/>
      <c r="L22" s="680"/>
      <c r="M22" s="681"/>
      <c r="N22" s="682"/>
      <c r="O22" s="683"/>
      <c r="P22" s="684"/>
      <c r="Q22" s="685"/>
      <c r="R22" s="473"/>
    </row>
    <row r="23" spans="8:8" s="478" ht="15.6" customFormat="1" customHeight="1">
      <c r="A23" s="473"/>
      <c r="B23" s="659"/>
      <c r="C23" s="668" t="s">
        <v>17</v>
      </c>
      <c r="D23" s="506" t="s">
        <v>114</v>
      </c>
      <c r="E23" s="507"/>
      <c r="F23" s="507"/>
      <c r="G23" s="561"/>
      <c r="H23" s="669">
        <f>'OTHER DEDUCTION'!B14</f>
        <v>0.0</v>
      </c>
      <c r="I23" s="670"/>
      <c r="J23" s="668" t="s">
        <v>18</v>
      </c>
      <c r="K23" s="686" t="s">
        <v>115</v>
      </c>
      <c r="L23" s="686"/>
      <c r="M23" s="686"/>
      <c r="N23" s="687">
        <f>'OTHER DEDUCTION'!E8</f>
        <v>0.0</v>
      </c>
      <c r="O23" s="688"/>
      <c r="P23" s="684"/>
      <c r="Q23" s="685"/>
      <c r="R23" s="473"/>
    </row>
    <row r="24" spans="8:8" s="478" ht="15.6" customFormat="1" customHeight="1">
      <c r="A24" s="473"/>
      <c r="B24" s="659"/>
      <c r="C24" s="668" t="s">
        <v>19</v>
      </c>
      <c r="D24" s="506" t="s">
        <v>116</v>
      </c>
      <c r="E24" s="507"/>
      <c r="F24" s="507"/>
      <c r="G24" s="561"/>
      <c r="H24" s="669">
        <f>'OTHER DEDUCTION'!B16</f>
        <v>0.0</v>
      </c>
      <c r="I24" s="670"/>
      <c r="J24" s="668" t="s">
        <v>20</v>
      </c>
      <c r="K24" s="686" t="s">
        <v>4</v>
      </c>
      <c r="L24" s="686"/>
      <c r="M24" s="686"/>
      <c r="N24" s="687">
        <f>'OTHER DEDUCTION'!B15</f>
        <v>0.0</v>
      </c>
      <c r="O24" s="688"/>
      <c r="P24" s="684"/>
      <c r="Q24" s="685"/>
      <c r="R24" s="473"/>
    </row>
    <row r="25" spans="8:8" s="478" ht="15.6" customFormat="1" customHeight="1">
      <c r="A25" s="473"/>
      <c r="B25" s="659"/>
      <c r="C25" s="668" t="s">
        <v>21</v>
      </c>
      <c r="D25" s="506" t="s">
        <v>117</v>
      </c>
      <c r="E25" s="507"/>
      <c r="F25" s="507"/>
      <c r="G25" s="561"/>
      <c r="H25" s="669">
        <f>'OTHER DEDUCTION'!B17</f>
        <v>0.0</v>
      </c>
      <c r="I25" s="670"/>
      <c r="J25" s="668" t="s">
        <v>22</v>
      </c>
      <c r="K25" s="686" t="s">
        <v>45</v>
      </c>
      <c r="L25" s="686"/>
      <c r="M25" s="686"/>
      <c r="N25" s="687">
        <f>'OTHER DEDUCTION'!B12</f>
        <v>0.0</v>
      </c>
      <c r="O25" s="688"/>
      <c r="P25" s="684"/>
      <c r="Q25" s="685"/>
      <c r="R25" s="473"/>
    </row>
    <row r="26" spans="8:8" s="478" ht="15.6" customFormat="1" customHeight="1">
      <c r="A26" s="473"/>
      <c r="B26" s="659"/>
      <c r="C26" s="668" t="s">
        <v>23</v>
      </c>
      <c r="D26" s="689" t="str">
        <f>IF('MASTER DATA SHEET'!$C$20="NO","Gen.Provident Fund (GPF)","Gen.Prov.Fund (GPF 2004)")</f>
        <v>Gen.Provident Fund (GPF)</v>
      </c>
      <c r="E26" s="690"/>
      <c r="F26" s="690"/>
      <c r="G26" s="691"/>
      <c r="H26" s="669">
        <f>'GA-55'!N28</f>
        <v>72504.0</v>
      </c>
      <c r="I26" s="670"/>
      <c r="J26" s="668" t="s">
        <v>24</v>
      </c>
      <c r="K26" s="686" t="s">
        <v>46</v>
      </c>
      <c r="L26" s="686"/>
      <c r="M26" s="686"/>
      <c r="N26" s="687">
        <f>'OTHER DEDUCTION'!B19</f>
        <v>0.0</v>
      </c>
      <c r="O26" s="688"/>
      <c r="P26" s="684"/>
      <c r="Q26" s="685"/>
      <c r="R26" s="473"/>
    </row>
    <row r="27" spans="8:8" s="478" ht="15.6" customFormat="1" customHeight="1">
      <c r="A27" s="473"/>
      <c r="B27" s="659"/>
      <c r="C27" s="668" t="s">
        <v>25</v>
      </c>
      <c r="D27" s="506" t="s">
        <v>592</v>
      </c>
      <c r="E27" s="507"/>
      <c r="F27" s="507"/>
      <c r="G27" s="561"/>
      <c r="H27" s="687">
        <f>'GA-55'!U28</f>
        <v>700.0</v>
      </c>
      <c r="I27" s="688"/>
      <c r="J27" s="668" t="s">
        <v>26</v>
      </c>
      <c r="K27" s="686" t="s">
        <v>118</v>
      </c>
      <c r="L27" s="686"/>
      <c r="M27" s="686"/>
      <c r="N27" s="687">
        <f>'OTHER DEDUCTION'!B20</f>
        <v>0.0</v>
      </c>
      <c r="O27" s="688"/>
      <c r="P27" s="684"/>
      <c r="Q27" s="685"/>
      <c r="R27" s="473"/>
    </row>
    <row r="28" spans="8:8" s="478" ht="15.6" customFormat="1" customHeight="1">
      <c r="A28" s="473"/>
      <c r="B28" s="659"/>
      <c r="C28" s="668" t="s">
        <v>27</v>
      </c>
      <c r="D28" s="506" t="s">
        <v>438</v>
      </c>
      <c r="E28" s="507"/>
      <c r="F28" s="507"/>
      <c r="G28" s="561"/>
      <c r="H28" s="687">
        <f>'OTHER DEDUCTION'!B13</f>
        <v>0.0</v>
      </c>
      <c r="I28" s="688"/>
      <c r="J28" s="668" t="s">
        <v>28</v>
      </c>
      <c r="K28" s="497" t="s">
        <v>119</v>
      </c>
      <c r="L28" s="497"/>
      <c r="M28" s="497"/>
      <c r="N28" s="687">
        <f>'OTHER DEDUCTION'!B11</f>
        <v>0.0</v>
      </c>
      <c r="O28" s="688"/>
      <c r="P28" s="684"/>
      <c r="Q28" s="685"/>
      <c r="R28" s="473"/>
    </row>
    <row r="29" spans="8:8" s="478" ht="15.6" customFormat="1" customHeight="1">
      <c r="A29" s="473"/>
      <c r="B29" s="659"/>
      <c r="C29" s="668" t="s">
        <v>29</v>
      </c>
      <c r="D29" s="497" t="s">
        <v>120</v>
      </c>
      <c r="E29" s="497"/>
      <c r="F29" s="497"/>
      <c r="G29" s="497"/>
      <c r="H29" s="687">
        <f>'OTHER DEDUCTION'!B8</f>
        <v>0.0</v>
      </c>
      <c r="I29" s="688"/>
      <c r="J29" s="668" t="s">
        <v>56</v>
      </c>
      <c r="K29" s="497" t="s">
        <v>60</v>
      </c>
      <c r="L29" s="497"/>
      <c r="M29" s="497"/>
      <c r="N29" s="687">
        <f>'OTHER DEDUCTION'!E7</f>
        <v>0.0</v>
      </c>
      <c r="O29" s="688"/>
      <c r="P29" s="684"/>
      <c r="Q29" s="685"/>
      <c r="R29" s="473"/>
    </row>
    <row r="30" spans="8:8" s="478" ht="15.6" customFormat="1" customHeight="1">
      <c r="A30" s="473"/>
      <c r="B30" s="659"/>
      <c r="C30" s="668" t="s">
        <v>14</v>
      </c>
      <c r="D30" s="497" t="s">
        <v>57</v>
      </c>
      <c r="E30" s="497"/>
      <c r="F30" s="497"/>
      <c r="G30" s="497"/>
      <c r="H30" s="687">
        <f>'OTHER DEDUCTION'!B18</f>
        <v>0.0</v>
      </c>
      <c r="I30" s="688"/>
      <c r="J30" s="668" t="s">
        <v>58</v>
      </c>
      <c r="K30" s="517" t="s">
        <v>276</v>
      </c>
      <c r="L30" s="518"/>
      <c r="M30" s="519"/>
      <c r="N30" s="692">
        <f>SUM(H21:I30)+SUM(N21:O29)</f>
        <v>157204.0</v>
      </c>
      <c r="O30" s="693"/>
      <c r="P30" s="684"/>
      <c r="Q30" s="685"/>
      <c r="R30" s="473"/>
    </row>
    <row r="31" spans="8:8" s="478" ht="15.6" customFormat="1" customHeight="1">
      <c r="A31" s="473"/>
      <c r="B31" s="659"/>
      <c r="C31" s="502" t="s">
        <v>264</v>
      </c>
      <c r="D31" s="502"/>
      <c r="E31" s="502"/>
      <c r="F31" s="502"/>
      <c r="G31" s="502"/>
      <c r="H31" s="502"/>
      <c r="I31" s="502"/>
      <c r="J31" s="502"/>
      <c r="K31" s="502"/>
      <c r="L31" s="502"/>
      <c r="M31" s="502"/>
      <c r="N31" s="502"/>
      <c r="O31" s="502"/>
      <c r="P31" s="655">
        <f>IF(N30&lt;150001,ROUND(N30,0),150000)</f>
        <v>150000.0</v>
      </c>
      <c r="Q31" s="656"/>
      <c r="R31" s="473"/>
    </row>
    <row r="32" spans="8:8" s="478" ht="15.6" customFormat="1" customHeight="1">
      <c r="A32" s="473"/>
      <c r="B32" s="659"/>
      <c r="C32" s="694" t="s">
        <v>274</v>
      </c>
      <c r="D32" s="695"/>
      <c r="E32" s="695"/>
      <c r="F32" s="695"/>
      <c r="G32" s="695"/>
      <c r="H32" s="695"/>
      <c r="I32" s="695"/>
      <c r="J32" s="695"/>
      <c r="K32" s="695"/>
      <c r="L32" s="695"/>
      <c r="M32" s="695"/>
      <c r="N32" s="695"/>
      <c r="O32" s="696"/>
      <c r="P32" s="697">
        <v>0.0</v>
      </c>
      <c r="Q32" s="698"/>
      <c r="R32" s="473"/>
    </row>
    <row r="33" spans="8:8" s="478" ht="15.6" customFormat="1" customHeight="1">
      <c r="A33" s="473"/>
      <c r="B33" s="659"/>
      <c r="C33" s="554" t="s">
        <v>93</v>
      </c>
      <c r="D33" s="555"/>
      <c r="E33" s="555"/>
      <c r="F33" s="555"/>
      <c r="G33" s="555"/>
      <c r="H33" s="555"/>
      <c r="I33" s="555"/>
      <c r="J33" s="555"/>
      <c r="K33" s="555"/>
      <c r="L33" s="555"/>
      <c r="M33" s="555"/>
      <c r="N33" s="555"/>
      <c r="O33" s="556"/>
      <c r="P33" s="653">
        <f>IF('OTHER DEDUCTION'!E10&gt;=50000,50000,'OTHER DEDUCTION'!E10)</f>
        <v>0.0</v>
      </c>
      <c r="Q33" s="654"/>
      <c r="R33" s="473"/>
    </row>
    <row r="34" spans="8:8" s="478" ht="15.6" customFormat="1" customHeight="1">
      <c r="A34" s="473"/>
      <c r="B34" s="660"/>
      <c r="C34" s="557" t="s">
        <v>263</v>
      </c>
      <c r="D34" s="558"/>
      <c r="E34" s="558"/>
      <c r="F34" s="558"/>
      <c r="G34" s="558"/>
      <c r="H34" s="558"/>
      <c r="I34" s="558"/>
      <c r="J34" s="558"/>
      <c r="K34" s="558"/>
      <c r="L34" s="558"/>
      <c r="M34" s="558"/>
      <c r="N34" s="558"/>
      <c r="O34" s="559"/>
      <c r="P34" s="655">
        <f>SUM(P31:Q33)</f>
        <v>150000.0</v>
      </c>
      <c r="Q34" s="656"/>
      <c r="R34" s="473"/>
    </row>
    <row r="35" spans="8:8" s="478" ht="15.6" customFormat="1" customHeight="1">
      <c r="A35" s="473"/>
      <c r="B35" s="657">
        <v>12.0</v>
      </c>
      <c r="C35" s="699" t="s">
        <v>47</v>
      </c>
      <c r="D35" s="699"/>
      <c r="E35" s="699"/>
      <c r="F35" s="699"/>
      <c r="G35" s="699"/>
      <c r="H35" s="699"/>
      <c r="I35" s="699"/>
      <c r="J35" s="699"/>
      <c r="K35" s="699"/>
      <c r="L35" s="699"/>
      <c r="M35" s="699"/>
      <c r="N35" s="699"/>
      <c r="O35" s="699"/>
      <c r="P35" s="699"/>
      <c r="Q35" s="700"/>
      <c r="R35" s="473"/>
    </row>
    <row r="36" spans="8:8" s="478" ht="15.6" customFormat="1" customHeight="1">
      <c r="A36" s="473"/>
      <c r="B36" s="659"/>
      <c r="C36" s="701" t="s">
        <v>13</v>
      </c>
      <c r="D36" s="702" t="s">
        <v>593</v>
      </c>
      <c r="E36" s="703"/>
      <c r="F36" s="703"/>
      <c r="G36" s="703"/>
      <c r="H36" s="703"/>
      <c r="I36" s="703"/>
      <c r="J36" s="703"/>
      <c r="K36" s="703"/>
      <c r="L36" s="703"/>
      <c r="M36" s="703"/>
      <c r="N36" s="703"/>
      <c r="O36" s="704"/>
      <c r="P36" s="653">
        <f>'OTHER DEDUCTION'!E11</f>
        <v>0.0</v>
      </c>
      <c r="Q36" s="654"/>
      <c r="R36" s="473"/>
    </row>
    <row r="37" spans="8:8" s="478" ht="15.6" customFormat="1" customHeight="1">
      <c r="A37" s="473"/>
      <c r="B37" s="659"/>
      <c r="C37" s="668" t="s">
        <v>15</v>
      </c>
      <c r="D37" s="702" t="s">
        <v>594</v>
      </c>
      <c r="E37" s="703"/>
      <c r="F37" s="703"/>
      <c r="G37" s="703"/>
      <c r="H37" s="703"/>
      <c r="I37" s="703"/>
      <c r="J37" s="703"/>
      <c r="K37" s="703"/>
      <c r="L37" s="703"/>
      <c r="M37" s="703"/>
      <c r="N37" s="703"/>
      <c r="O37" s="704"/>
      <c r="P37" s="653">
        <f>'OTHER DEDUCTION'!E12</f>
        <v>0.0</v>
      </c>
      <c r="Q37" s="654"/>
      <c r="R37" s="473"/>
    </row>
    <row r="38" spans="8:8" s="478" ht="15.6" customFormat="1" customHeight="1">
      <c r="A38" s="473"/>
      <c r="B38" s="659"/>
      <c r="C38" s="668" t="s">
        <v>17</v>
      </c>
      <c r="D38" s="702" t="s">
        <v>595</v>
      </c>
      <c r="E38" s="703"/>
      <c r="F38" s="703"/>
      <c r="G38" s="703"/>
      <c r="H38" s="703"/>
      <c r="I38" s="703"/>
      <c r="J38" s="703"/>
      <c r="K38" s="703"/>
      <c r="L38" s="703"/>
      <c r="M38" s="703"/>
      <c r="N38" s="703"/>
      <c r="O38" s="704"/>
      <c r="P38" s="653">
        <f>'OTHER DEDUCTION'!E13</f>
        <v>0.0</v>
      </c>
      <c r="Q38" s="654"/>
      <c r="R38" s="473"/>
    </row>
    <row r="39" spans="8:8" s="478" ht="15.6" customFormat="1" customHeight="1">
      <c r="A39" s="473"/>
      <c r="B39" s="659"/>
      <c r="C39" s="668" t="s">
        <v>19</v>
      </c>
      <c r="D39" s="702" t="s">
        <v>596</v>
      </c>
      <c r="E39" s="703"/>
      <c r="F39" s="703"/>
      <c r="G39" s="703"/>
      <c r="H39" s="703"/>
      <c r="I39" s="703"/>
      <c r="J39" s="703"/>
      <c r="K39" s="703"/>
      <c r="L39" s="703"/>
      <c r="M39" s="703"/>
      <c r="N39" s="703"/>
      <c r="O39" s="704"/>
      <c r="P39" s="653">
        <f>'OTHER DEDUCTION'!E14</f>
        <v>0.0</v>
      </c>
      <c r="Q39" s="654"/>
      <c r="R39" s="473"/>
    </row>
    <row r="40" spans="8:8" s="478" ht="15.6" customFormat="1" customHeight="1">
      <c r="A40" s="473"/>
      <c r="B40" s="659"/>
      <c r="C40" s="668" t="s">
        <v>21</v>
      </c>
      <c r="D40" s="702" t="s">
        <v>597</v>
      </c>
      <c r="E40" s="703"/>
      <c r="F40" s="703"/>
      <c r="G40" s="703"/>
      <c r="H40" s="703"/>
      <c r="I40" s="703"/>
      <c r="J40" s="703"/>
      <c r="K40" s="703"/>
      <c r="L40" s="703"/>
      <c r="M40" s="703"/>
      <c r="N40" s="703"/>
      <c r="O40" s="704"/>
      <c r="P40" s="653">
        <f>'OTHER DEDUCTION'!E15</f>
        <v>0.0</v>
      </c>
      <c r="Q40" s="654"/>
      <c r="R40" s="473"/>
    </row>
    <row r="41" spans="8:8" s="478" ht="15.6" customFormat="1" customHeight="1">
      <c r="A41" s="473"/>
      <c r="B41" s="659"/>
      <c r="C41" s="668" t="s">
        <v>23</v>
      </c>
      <c r="D41" s="702" t="s">
        <v>598</v>
      </c>
      <c r="E41" s="703"/>
      <c r="F41" s="703"/>
      <c r="G41" s="703"/>
      <c r="H41" s="703"/>
      <c r="I41" s="703"/>
      <c r="J41" s="703"/>
      <c r="K41" s="703"/>
      <c r="L41" s="703"/>
      <c r="M41" s="703"/>
      <c r="N41" s="703"/>
      <c r="O41" s="704"/>
      <c r="P41" s="653">
        <f>'OTHER DEDUCTION'!E16</f>
        <v>0.0</v>
      </c>
      <c r="Q41" s="654"/>
      <c r="R41" s="473"/>
    </row>
    <row r="42" spans="8:8" s="478" ht="15.6" customFormat="1" customHeight="1">
      <c r="A42" s="473"/>
      <c r="B42" s="659"/>
      <c r="C42" s="668" t="s">
        <v>25</v>
      </c>
      <c r="D42" s="702" t="s">
        <v>599</v>
      </c>
      <c r="E42" s="703"/>
      <c r="F42" s="703"/>
      <c r="G42" s="703"/>
      <c r="H42" s="703"/>
      <c r="I42" s="703"/>
      <c r="J42" s="703"/>
      <c r="K42" s="703"/>
      <c r="L42" s="703"/>
      <c r="M42" s="703"/>
      <c r="N42" s="703"/>
      <c r="O42" s="704"/>
      <c r="P42" s="653">
        <f>IF('MASTER DATA SHEET'!$C$15="Yes",0,IF('OTHER DEDUCTION'!E4&gt;10000,10000,'OTHER DEDUCTION'!E4))</f>
        <v>0.0</v>
      </c>
      <c r="Q42" s="654"/>
      <c r="R42" s="473"/>
    </row>
    <row r="43" spans="8:8" s="478" ht="15.6" customFormat="1" customHeight="1">
      <c r="A43" s="473"/>
      <c r="B43" s="659"/>
      <c r="C43" s="668" t="s">
        <v>27</v>
      </c>
      <c r="D43" s="702" t="s">
        <v>600</v>
      </c>
      <c r="E43" s="703"/>
      <c r="F43" s="703"/>
      <c r="G43" s="703"/>
      <c r="H43" s="703"/>
      <c r="I43" s="703"/>
      <c r="J43" s="703"/>
      <c r="K43" s="703"/>
      <c r="L43" s="703"/>
      <c r="M43" s="703"/>
      <c r="N43" s="703"/>
      <c r="O43" s="704"/>
      <c r="P43" s="653">
        <f>IF('MASTER DATA SHEET'!$C$15="No",0,IF('OTHER DEDUCTION'!J5&lt;50001,'OTHER DEDUCTION'!J5,50000))</f>
        <v>0.0</v>
      </c>
      <c r="Q43" s="654"/>
      <c r="R43" s="473"/>
    </row>
    <row r="44" spans="8:8" s="478" ht="15.6" customFormat="1" customHeight="1">
      <c r="A44" s="473"/>
      <c r="B44" s="659"/>
      <c r="C44" s="668" t="s">
        <v>29</v>
      </c>
      <c r="D44" s="506" t="s">
        <v>601</v>
      </c>
      <c r="E44" s="507"/>
      <c r="F44" s="507"/>
      <c r="G44" s="507"/>
      <c r="H44" s="507"/>
      <c r="I44" s="507"/>
      <c r="J44" s="507"/>
      <c r="K44" s="507"/>
      <c r="L44" s="507"/>
      <c r="M44" s="507"/>
      <c r="N44" s="507"/>
      <c r="O44" s="561"/>
      <c r="P44" s="653">
        <f>'OTHER DEDUCTION'!E17</f>
        <v>0.0</v>
      </c>
      <c r="Q44" s="654"/>
      <c r="R44" s="473"/>
    </row>
    <row r="45" spans="8:8" s="478" ht="15.6" customFormat="1" customHeight="1">
      <c r="A45" s="473"/>
      <c r="B45" s="659"/>
      <c r="C45" s="668"/>
      <c r="D45" s="705"/>
      <c r="E45" s="705"/>
      <c r="F45" s="705"/>
      <c r="G45" s="705"/>
      <c r="H45" s="705"/>
      <c r="I45" s="705"/>
      <c r="J45" s="705"/>
      <c r="K45" s="705"/>
      <c r="L45" s="705"/>
      <c r="M45" s="705"/>
      <c r="N45" s="705"/>
      <c r="O45" s="706"/>
      <c r="P45" s="707"/>
      <c r="Q45" s="708"/>
      <c r="R45" s="473"/>
    </row>
    <row r="46" spans="8:8" s="478" ht="15.6" customFormat="1" customHeight="1">
      <c r="A46" s="473"/>
      <c r="B46" s="660"/>
      <c r="C46" s="562" t="s">
        <v>271</v>
      </c>
      <c r="D46" s="562"/>
      <c r="E46" s="562"/>
      <c r="F46" s="562"/>
      <c r="G46" s="562"/>
      <c r="H46" s="562"/>
      <c r="I46" s="562"/>
      <c r="J46" s="562"/>
      <c r="K46" s="562"/>
      <c r="L46" s="562"/>
      <c r="M46" s="562"/>
      <c r="N46" s="562"/>
      <c r="O46" s="562"/>
      <c r="P46" s="709">
        <f>SUM(P36:Q44)</f>
        <v>0.0</v>
      </c>
      <c r="Q46" s="710"/>
      <c r="R46" s="473"/>
    </row>
    <row r="47" spans="8:8" s="478" ht="15.6" customFormat="1" customHeight="1">
      <c r="A47" s="473"/>
      <c r="B47" s="650">
        <v>13.0</v>
      </c>
      <c r="C47" s="523" t="s">
        <v>121</v>
      </c>
      <c r="D47" s="523"/>
      <c r="E47" s="523"/>
      <c r="F47" s="523"/>
      <c r="G47" s="523"/>
      <c r="H47" s="523"/>
      <c r="I47" s="523"/>
      <c r="J47" s="523"/>
      <c r="K47" s="523"/>
      <c r="L47" s="523"/>
      <c r="M47" s="523"/>
      <c r="N47" s="523"/>
      <c r="O47" s="523"/>
      <c r="P47" s="651">
        <f>P34+P46</f>
        <v>150000.0</v>
      </c>
      <c r="Q47" s="652"/>
      <c r="R47" s="473"/>
    </row>
    <row r="48" spans="8:8" s="478" ht="15.6" customFormat="1" customHeight="1">
      <c r="A48" s="473"/>
      <c r="B48" s="650">
        <v>14.0</v>
      </c>
      <c r="C48" s="523" t="s">
        <v>122</v>
      </c>
      <c r="D48" s="523"/>
      <c r="E48" s="523"/>
      <c r="F48" s="523"/>
      <c r="G48" s="523"/>
      <c r="H48" s="523"/>
      <c r="I48" s="523"/>
      <c r="J48" s="523"/>
      <c r="K48" s="523"/>
      <c r="L48" s="523"/>
      <c r="M48" s="523"/>
      <c r="N48" s="523"/>
      <c r="O48" s="523"/>
      <c r="P48" s="651">
        <f>(P18-P47)</f>
        <v>1228556.0</v>
      </c>
      <c r="Q48" s="652"/>
      <c r="R48" s="473"/>
    </row>
    <row r="49" spans="8:8" s="478" ht="15.6" customFormat="1" customHeight="1">
      <c r="A49" s="473"/>
      <c r="B49" s="650">
        <v>15.0</v>
      </c>
      <c r="C49" s="545" t="s">
        <v>272</v>
      </c>
      <c r="D49" s="545"/>
      <c r="E49" s="545"/>
      <c r="F49" s="545"/>
      <c r="G49" s="545"/>
      <c r="H49" s="545"/>
      <c r="I49" s="545"/>
      <c r="J49" s="545"/>
      <c r="K49" s="545"/>
      <c r="L49" s="545"/>
      <c r="M49" s="545"/>
      <c r="N49" s="545"/>
      <c r="O49" s="545"/>
      <c r="P49" s="655">
        <f>ROUND(P48,-1)</f>
        <v>1228560.0</v>
      </c>
      <c r="Q49" s="656"/>
      <c r="R49" s="473"/>
    </row>
    <row r="50" spans="8:8" s="478" ht="15.6" customFormat="1" customHeight="1">
      <c r="A50" s="473"/>
      <c r="B50" s="657">
        <v>16.0</v>
      </c>
      <c r="C50" s="523" t="s">
        <v>123</v>
      </c>
      <c r="D50" s="523"/>
      <c r="E50" s="523"/>
      <c r="F50" s="523"/>
      <c r="G50" s="523"/>
      <c r="H50" s="523"/>
      <c r="I50" s="523"/>
      <c r="J50" s="523"/>
      <c r="K50" s="523"/>
      <c r="L50" s="523"/>
      <c r="M50" s="523"/>
      <c r="N50" s="523"/>
      <c r="O50" s="523"/>
      <c r="P50" s="523"/>
      <c r="Q50" s="711"/>
      <c r="R50" s="473"/>
    </row>
    <row r="51" spans="8:8" s="478" ht="15.6" customFormat="1" customHeight="1">
      <c r="A51" s="473"/>
      <c r="B51" s="659"/>
      <c r="C51" s="712" t="s">
        <v>143</v>
      </c>
      <c r="D51" s="712"/>
      <c r="E51" s="712"/>
      <c r="F51" s="712"/>
      <c r="G51" s="712"/>
      <c r="H51" s="712" t="s">
        <v>124</v>
      </c>
      <c r="I51" s="712"/>
      <c r="J51" s="712"/>
      <c r="K51" s="712"/>
      <c r="L51" s="713" t="s">
        <v>40</v>
      </c>
      <c r="M51" s="714"/>
      <c r="N51" s="714"/>
      <c r="O51" s="715"/>
      <c r="P51" s="716"/>
      <c r="Q51" s="717"/>
      <c r="R51" s="473"/>
    </row>
    <row r="52" spans="8:8" s="478" ht="15.6" customFormat="1" customHeight="1">
      <c r="A52" s="473"/>
      <c r="B52" s="659"/>
      <c r="C52" s="718" t="s">
        <v>140</v>
      </c>
      <c r="D52" s="719"/>
      <c r="E52" s="720"/>
      <c r="F52" s="718" t="s">
        <v>30</v>
      </c>
      <c r="G52" s="720"/>
      <c r="H52" s="718" t="s">
        <v>140</v>
      </c>
      <c r="I52" s="719"/>
      <c r="J52" s="720"/>
      <c r="K52" s="576" t="s">
        <v>30</v>
      </c>
      <c r="L52" s="718" t="s">
        <v>142</v>
      </c>
      <c r="M52" s="719"/>
      <c r="N52" s="720"/>
      <c r="O52" s="576" t="s">
        <v>30</v>
      </c>
      <c r="P52" s="653">
        <v>0.0</v>
      </c>
      <c r="Q52" s="654"/>
      <c r="R52" s="473"/>
    </row>
    <row r="53" spans="8:8" s="478" ht="15.6" customFormat="1" customHeight="1">
      <c r="A53" s="473"/>
      <c r="B53" s="659"/>
      <c r="C53" s="575" t="s">
        <v>43</v>
      </c>
      <c r="D53" s="575"/>
      <c r="E53" s="575"/>
      <c r="F53" s="721" t="s">
        <v>30</v>
      </c>
      <c r="G53" s="722"/>
      <c r="H53" s="575" t="s">
        <v>43</v>
      </c>
      <c r="I53" s="575"/>
      <c r="J53" s="575"/>
      <c r="K53" s="579">
        <v>0.05</v>
      </c>
      <c r="L53" s="718" t="s">
        <v>31</v>
      </c>
      <c r="M53" s="719"/>
      <c r="N53" s="720"/>
      <c r="O53" s="579">
        <v>0.05</v>
      </c>
      <c r="P53" s="653">
        <f>ROUND(IF('MASTER DATA SHEET'!$C$15="NO",IF(P49&lt;250001,0,IF(P49&gt;500000,12500,((P49-250000)*0.05))),IF(P49&lt;300001,0,IF(P49&gt;500000,10000,((P49-300000)*0.05)))),0)</f>
        <v>12500.0</v>
      </c>
      <c r="Q53" s="654"/>
      <c r="R53" s="473"/>
    </row>
    <row r="54" spans="8:8" s="478" ht="15.6" customFormat="1" customHeight="1">
      <c r="A54" s="473"/>
      <c r="B54" s="659"/>
      <c r="C54" s="718" t="s">
        <v>32</v>
      </c>
      <c r="D54" s="719"/>
      <c r="E54" s="720"/>
      <c r="F54" s="578">
        <v>0.2</v>
      </c>
      <c r="G54" s="575"/>
      <c r="H54" s="575" t="s">
        <v>32</v>
      </c>
      <c r="I54" s="575"/>
      <c r="J54" s="575"/>
      <c r="K54" s="579">
        <v>0.2</v>
      </c>
      <c r="L54" s="718" t="s">
        <v>32</v>
      </c>
      <c r="M54" s="719"/>
      <c r="N54" s="720"/>
      <c r="O54" s="579">
        <v>0.2</v>
      </c>
      <c r="P54" s="653">
        <f>IF(P49&lt;500001,0,IF(P49&gt;1000000,100000,((P49-500000)*0.2)))</f>
        <v>100000.0</v>
      </c>
      <c r="Q54" s="654"/>
      <c r="R54" s="473"/>
    </row>
    <row r="55" spans="8:8" s="478" ht="15.6" customFormat="1" customHeight="1">
      <c r="A55" s="473"/>
      <c r="B55" s="659"/>
      <c r="C55" s="718" t="s">
        <v>139</v>
      </c>
      <c r="D55" s="719"/>
      <c r="E55" s="720"/>
      <c r="F55" s="578">
        <v>0.3</v>
      </c>
      <c r="G55" s="575"/>
      <c r="H55" s="575" t="s">
        <v>139</v>
      </c>
      <c r="I55" s="575"/>
      <c r="J55" s="575"/>
      <c r="K55" s="579">
        <v>0.3</v>
      </c>
      <c r="L55" s="723" t="s">
        <v>141</v>
      </c>
      <c r="M55" s="724"/>
      <c r="N55" s="725"/>
      <c r="O55" s="579">
        <v>0.3</v>
      </c>
      <c r="P55" s="653">
        <f>IF(P49&lt;1000001,0,((P49-1000000)*0.3))</f>
        <v>68568.0</v>
      </c>
      <c r="Q55" s="654"/>
      <c r="R55" s="473"/>
    </row>
    <row r="56" spans="8:8" s="478" ht="15.6" customFormat="1" customHeight="1">
      <c r="A56" s="473"/>
      <c r="B56" s="659"/>
      <c r="C56" s="726" t="s">
        <v>38</v>
      </c>
      <c r="D56" s="727"/>
      <c r="E56" s="727"/>
      <c r="F56" s="727"/>
      <c r="G56" s="727"/>
      <c r="H56" s="727"/>
      <c r="I56" s="727"/>
      <c r="J56" s="727"/>
      <c r="K56" s="727"/>
      <c r="L56" s="727"/>
      <c r="M56" s="727"/>
      <c r="N56" s="727"/>
      <c r="O56" s="728"/>
      <c r="P56" s="607">
        <f>SUM(P52:Q55)</f>
        <v>181068.0</v>
      </c>
      <c r="Q56" s="608"/>
      <c r="R56" s="473"/>
    </row>
    <row r="57" spans="8:8" s="478" ht="15.6" customFormat="1" customHeight="1">
      <c r="A57" s="473"/>
      <c r="B57" s="659"/>
      <c r="C57" s="729" t="s">
        <v>262</v>
      </c>
      <c r="D57" s="730"/>
      <c r="E57" s="730"/>
      <c r="F57" s="730"/>
      <c r="G57" s="730"/>
      <c r="H57" s="730"/>
      <c r="I57" s="730"/>
      <c r="J57" s="730"/>
      <c r="K57" s="730"/>
      <c r="L57" s="730"/>
      <c r="M57" s="730"/>
      <c r="N57" s="730"/>
      <c r="O57" s="731"/>
      <c r="P57" s="603">
        <f>IF(P49&gt;500000,0,IF(P56&lt;12501,P56,12500))</f>
        <v>0.0</v>
      </c>
      <c r="Q57" s="604"/>
      <c r="R57" s="473"/>
    </row>
    <row r="58" spans="8:8" s="478" ht="15.6" customFormat="1" customHeight="1">
      <c r="A58" s="473"/>
      <c r="B58" s="659"/>
      <c r="C58" s="726" t="s">
        <v>107</v>
      </c>
      <c r="D58" s="727"/>
      <c r="E58" s="727"/>
      <c r="F58" s="727"/>
      <c r="G58" s="727"/>
      <c r="H58" s="727"/>
      <c r="I58" s="727"/>
      <c r="J58" s="727"/>
      <c r="K58" s="727"/>
      <c r="L58" s="727"/>
      <c r="M58" s="727"/>
      <c r="N58" s="727"/>
      <c r="O58" s="728"/>
      <c r="P58" s="607">
        <f>P56-P57</f>
        <v>181068.0</v>
      </c>
      <c r="Q58" s="608"/>
      <c r="R58" s="473"/>
    </row>
    <row r="59" spans="8:8" s="478" ht="15.6" customFormat="1" customHeight="1">
      <c r="A59" s="473"/>
      <c r="B59" s="659"/>
      <c r="C59" s="602" t="s">
        <v>108</v>
      </c>
      <c r="D59" s="602"/>
      <c r="E59" s="602"/>
      <c r="F59" s="602"/>
      <c r="G59" s="602"/>
      <c r="H59" s="602"/>
      <c r="I59" s="602"/>
      <c r="J59" s="602"/>
      <c r="K59" s="602"/>
      <c r="L59" s="602"/>
      <c r="M59" s="602"/>
      <c r="N59" s="602"/>
      <c r="O59" s="602"/>
      <c r="P59" s="603">
        <f>ROUND(P58*0.04,0)</f>
        <v>7243.0</v>
      </c>
      <c r="Q59" s="604"/>
      <c r="R59" s="473"/>
    </row>
    <row r="60" spans="8:8" s="478" ht="15.6" customFormat="1" customHeight="1">
      <c r="A60" s="473"/>
      <c r="B60" s="660"/>
      <c r="C60" s="606" t="s">
        <v>273</v>
      </c>
      <c r="D60" s="606"/>
      <c r="E60" s="606"/>
      <c r="F60" s="606"/>
      <c r="G60" s="606"/>
      <c r="H60" s="606"/>
      <c r="I60" s="606"/>
      <c r="J60" s="606"/>
      <c r="K60" s="606"/>
      <c r="L60" s="606"/>
      <c r="M60" s="606"/>
      <c r="N60" s="606"/>
      <c r="O60" s="606"/>
      <c r="P60" s="655">
        <f>SUM(P58:Q59)</f>
        <v>188311.0</v>
      </c>
      <c r="Q60" s="656"/>
      <c r="R60" s="473"/>
    </row>
    <row r="61" spans="8:8" s="478" ht="15.6" customFormat="1" customHeight="1">
      <c r="A61" s="473"/>
      <c r="B61" s="650">
        <v>17.0</v>
      </c>
      <c r="C61" s="732" t="s">
        <v>125</v>
      </c>
      <c r="D61" s="733"/>
      <c r="E61" s="733"/>
      <c r="F61" s="733"/>
      <c r="G61" s="733"/>
      <c r="H61" s="733"/>
      <c r="I61" s="733"/>
      <c r="J61" s="733"/>
      <c r="K61" s="733"/>
      <c r="L61" s="733"/>
      <c r="M61" s="733"/>
      <c r="N61" s="733"/>
      <c r="O61" s="734"/>
      <c r="P61" s="603">
        <f>'OTHER DEDUCTION'!E18</f>
        <v>0.0</v>
      </c>
      <c r="Q61" s="604"/>
      <c r="R61" s="473"/>
    </row>
    <row r="62" spans="8:8" s="478" ht="15.6" customFormat="1" customHeight="1">
      <c r="A62" s="473"/>
      <c r="B62" s="650">
        <v>18.0</v>
      </c>
      <c r="C62" s="735" t="s">
        <v>41</v>
      </c>
      <c r="D62" s="735"/>
      <c r="E62" s="735"/>
      <c r="F62" s="735"/>
      <c r="G62" s="735"/>
      <c r="H62" s="735"/>
      <c r="I62" s="735"/>
      <c r="J62" s="735"/>
      <c r="K62" s="735"/>
      <c r="L62" s="735"/>
      <c r="M62" s="735"/>
      <c r="N62" s="735"/>
      <c r="O62" s="735"/>
      <c r="P62" s="607">
        <f>P60-P61</f>
        <v>188311.0</v>
      </c>
      <c r="Q62" s="608"/>
      <c r="R62" s="473"/>
    </row>
    <row r="63" spans="8:8" ht="30.0" customHeight="1">
      <c r="A63" s="58"/>
      <c r="B63" s="657">
        <v>19.0</v>
      </c>
      <c r="C63" s="736" t="s">
        <v>33</v>
      </c>
      <c r="D63" s="736"/>
      <c r="E63" s="737"/>
      <c r="F63" s="613" t="s">
        <v>134</v>
      </c>
      <c r="G63" s="613"/>
      <c r="H63" s="613"/>
      <c r="I63" s="613"/>
      <c r="J63" s="614" t="s">
        <v>135</v>
      </c>
      <c r="K63" s="615"/>
      <c r="L63" s="616" t="s">
        <v>136</v>
      </c>
      <c r="M63" s="614" t="s">
        <v>137</v>
      </c>
      <c r="N63" s="615"/>
      <c r="O63" s="738" t="s">
        <v>42</v>
      </c>
      <c r="P63" s="739" t="s">
        <v>126</v>
      </c>
      <c r="Q63" s="740"/>
      <c r="R63" s="58"/>
      <c r="S63" s="471"/>
      <c r="T63" s="471"/>
      <c r="U63" s="471"/>
      <c r="V63" s="471"/>
      <c r="W63" s="471"/>
      <c r="X63" s="471"/>
      <c r="Y63" s="471"/>
      <c r="Z63" s="471"/>
      <c r="AA63" s="471"/>
      <c r="AB63" s="471"/>
      <c r="AC63" s="471"/>
    </row>
    <row r="64" spans="8:8" ht="15.6" customHeight="1">
      <c r="A64" s="58"/>
      <c r="B64" s="660"/>
      <c r="C64" s="741"/>
      <c r="D64" s="741"/>
      <c r="E64" s="742"/>
      <c r="F64" s="620">
        <f>SUM('GA-55'!V8:V14)</f>
        <v>49000.0</v>
      </c>
      <c r="G64" s="620"/>
      <c r="H64" s="620"/>
      <c r="I64" s="620"/>
      <c r="J64" s="620">
        <f>SUM('GA-55'!V15:V17)</f>
        <v>21000.0</v>
      </c>
      <c r="K64" s="620"/>
      <c r="L64" s="621">
        <f>'GA-55'!V18</f>
        <v>7000.0</v>
      </c>
      <c r="M64" s="620">
        <f>'GA-55'!V19</f>
        <v>7000.0</v>
      </c>
      <c r="N64" s="620"/>
      <c r="O64" s="622">
        <f>SUM('GA-55'!V20:V27)+'OTHER DEDUCTION'!E19</f>
        <v>15000.0</v>
      </c>
      <c r="P64" s="623">
        <f>F64+J64+L64+M64+O64</f>
        <v>99000.0</v>
      </c>
      <c r="Q64" s="624"/>
      <c r="R64" s="58"/>
      <c r="S64" s="471"/>
      <c r="T64" s="471"/>
      <c r="U64" s="471"/>
      <c r="V64" s="471"/>
      <c r="W64" s="471"/>
      <c r="X64" s="471"/>
      <c r="Y64" s="471"/>
      <c r="Z64" s="471"/>
      <c r="AA64" s="471"/>
      <c r="AB64" s="471"/>
      <c r="AC64" s="471"/>
    </row>
    <row r="65" spans="8:8" ht="17.25" customHeight="1">
      <c r="A65" s="58"/>
      <c r="B65" s="743" t="str">
        <f>IF(P62&gt;P64,"INCOME TAX PAYABLE (OLD TAX REGIME)",IF(P62&lt;P64,"INCOME TAX REFUNDABLE (OLD TAX REGIME)","INCOME TAX PAYABLE/REFUNDABLE (OLD TAX REGIME)"))</f>
        <v>INCOME TAX PAYABLE (OLD TAX REGIME)</v>
      </c>
      <c r="C65" s="744"/>
      <c r="D65" s="744"/>
      <c r="E65" s="744"/>
      <c r="F65" s="744"/>
      <c r="G65" s="744"/>
      <c r="H65" s="744"/>
      <c r="I65" s="744"/>
      <c r="J65" s="744"/>
      <c r="K65" s="744"/>
      <c r="L65" s="744"/>
      <c r="M65" s="744"/>
      <c r="N65" s="744"/>
      <c r="O65" s="745"/>
      <c r="P65" s="746">
        <f>P62-P64</f>
        <v>89311.0</v>
      </c>
      <c r="Q65" s="747"/>
      <c r="R65" s="58"/>
      <c r="S65" s="471"/>
      <c r="T65" s="471"/>
      <c r="U65" s="471"/>
      <c r="V65" s="471"/>
      <c r="W65" s="471"/>
      <c r="X65" s="471"/>
      <c r="Y65" s="471"/>
      <c r="Z65" s="471"/>
      <c r="AA65" s="471"/>
      <c r="AB65" s="471"/>
      <c r="AC65" s="471"/>
    </row>
    <row r="66" spans="8:8" ht="15.6" customHeight="1">
      <c r="A66" s="58"/>
      <c r="B66" s="630"/>
      <c r="C66" s="630"/>
      <c r="D66" s="630"/>
      <c r="F66" s="630"/>
      <c r="G66" s="630"/>
      <c r="H66" s="630"/>
      <c r="I66" s="630"/>
      <c r="J66" s="630"/>
      <c r="K66" s="630"/>
      <c r="L66" s="630"/>
      <c r="M66" s="630"/>
      <c r="N66" s="630"/>
      <c r="O66" s="630"/>
      <c r="P66" s="631"/>
      <c r="Q66" s="632"/>
      <c r="R66" s="58"/>
      <c r="S66" s="471"/>
      <c r="T66" s="471"/>
      <c r="U66" s="471"/>
      <c r="V66" s="471"/>
      <c r="W66" s="471"/>
      <c r="X66" s="471"/>
      <c r="Y66" s="471"/>
      <c r="Z66" s="471"/>
      <c r="AA66" s="471"/>
      <c r="AB66" s="471"/>
      <c r="AC66" s="471"/>
    </row>
    <row r="67" spans="8:8" ht="15.0">
      <c r="A67" s="58"/>
      <c r="E67" s="748" t="s">
        <v>35</v>
      </c>
      <c r="O67" s="748" t="s">
        <v>36</v>
      </c>
      <c r="R67" s="58"/>
      <c r="S67" s="471"/>
      <c r="T67" s="471"/>
      <c r="U67" s="471"/>
      <c r="V67" s="471"/>
      <c r="W67" s="471"/>
      <c r="X67" s="471"/>
      <c r="Y67" s="471"/>
      <c r="Z67" s="471"/>
      <c r="AA67" s="471"/>
      <c r="AB67" s="471"/>
      <c r="AC67" s="471"/>
    </row>
    <row r="68" spans="8:8" ht="32.25" customHeight="1">
      <c r="A68" s="749"/>
      <c r="B68" s="635" t="s">
        <v>487</v>
      </c>
      <c r="C68" s="636"/>
      <c r="D68" s="636"/>
      <c r="E68" s="636"/>
      <c r="F68" s="636"/>
      <c r="G68" s="636"/>
      <c r="H68" s="636"/>
      <c r="I68" s="636"/>
      <c r="J68" s="636"/>
      <c r="K68" s="636"/>
      <c r="L68" s="636"/>
      <c r="M68" s="636"/>
      <c r="N68" s="636"/>
      <c r="O68" s="636"/>
      <c r="P68" s="636"/>
      <c r="Q68" s="637"/>
      <c r="R68" s="749"/>
      <c r="S68" s="471"/>
      <c r="T68" s="471"/>
      <c r="U68" s="471"/>
      <c r="V68" s="471"/>
      <c r="W68" s="471"/>
      <c r="X68" s="471"/>
      <c r="Y68" s="471"/>
      <c r="Z68" s="471"/>
      <c r="AA68" s="471"/>
      <c r="AB68" s="471"/>
      <c r="AC68" s="471"/>
    </row>
    <row r="69" spans="8:8" ht="15.75" hidden="1" customHeight="1">
      <c r="C69" s="750"/>
      <c r="D69" s="750"/>
      <c r="E69" s="750"/>
      <c r="F69" s="750"/>
      <c r="G69" s="750"/>
      <c r="H69" s="750"/>
      <c r="I69" s="750"/>
      <c r="J69" s="750"/>
      <c r="K69" s="750"/>
      <c r="L69" s="750"/>
      <c r="M69" s="750"/>
      <c r="N69" s="750"/>
      <c r="O69" s="750"/>
      <c r="P69" s="750"/>
      <c r="Q69" s="750"/>
      <c r="S69" s="471"/>
      <c r="T69" s="471"/>
      <c r="U69" s="471"/>
      <c r="V69" s="471"/>
      <c r="W69" s="471"/>
      <c r="X69" s="471"/>
      <c r="Y69" s="471"/>
      <c r="Z69" s="471"/>
      <c r="AA69" s="471"/>
      <c r="AB69" s="471"/>
      <c r="AC69" s="471"/>
    </row>
    <row r="70" spans="8:8" ht="15.75" hidden="1" customHeight="1">
      <c r="C70" s="750"/>
      <c r="D70" s="750"/>
      <c r="E70" s="750"/>
      <c r="F70" s="750"/>
      <c r="G70" s="750"/>
      <c r="H70" s="750"/>
      <c r="I70" s="750"/>
      <c r="J70" s="750"/>
      <c r="K70" s="750"/>
      <c r="L70" s="750"/>
      <c r="M70" s="750"/>
      <c r="N70" s="750"/>
      <c r="O70" s="750"/>
      <c r="P70" s="750"/>
      <c r="Q70" s="750"/>
      <c r="S70" s="471"/>
      <c r="T70" s="471"/>
      <c r="U70" s="471"/>
      <c r="V70" s="471"/>
      <c r="W70" s="471"/>
      <c r="X70" s="471"/>
      <c r="Y70" s="471"/>
      <c r="Z70" s="471"/>
      <c r="AA70" s="471"/>
      <c r="AB70" s="471"/>
      <c r="AC70" s="471"/>
    </row>
    <row r="71" spans="8:8" ht="24.0" hidden="1" customHeight="1">
      <c r="C71" s="750"/>
      <c r="D71" s="750"/>
      <c r="E71" s="750"/>
      <c r="F71" s="750"/>
      <c r="G71" s="750"/>
      <c r="H71" s="750"/>
      <c r="I71" s="750"/>
      <c r="J71" s="750"/>
      <c r="K71" s="750"/>
      <c r="L71" s="750"/>
      <c r="M71" s="750"/>
      <c r="N71" s="750"/>
      <c r="O71" s="750"/>
      <c r="P71" s="750"/>
      <c r="Q71" s="750"/>
      <c r="S71" s="471"/>
      <c r="T71" s="471"/>
      <c r="U71" s="471"/>
      <c r="V71" s="471"/>
      <c r="W71" s="471"/>
      <c r="X71" s="471"/>
      <c r="Y71" s="471"/>
      <c r="Z71" s="471"/>
      <c r="AA71" s="471"/>
      <c r="AB71" s="471"/>
      <c r="AC71" s="471"/>
    </row>
    <row r="72" spans="8:8" ht="15.75" hidden="1" customHeight="1">
      <c r="L72" s="751"/>
      <c r="M72" s="751"/>
      <c r="N72" s="751"/>
      <c r="O72" s="751"/>
      <c r="P72" s="751"/>
      <c r="Q72" s="751"/>
      <c r="S72" s="471"/>
      <c r="T72" s="471"/>
      <c r="U72" s="471"/>
      <c r="V72" s="471"/>
      <c r="W72" s="471"/>
      <c r="X72" s="471"/>
      <c r="Y72" s="471"/>
      <c r="Z72" s="471"/>
      <c r="AA72" s="471"/>
      <c r="AB72" s="471"/>
      <c r="AC72" s="471"/>
    </row>
    <row r="73" spans="8:8" ht="15.75" hidden="1" customHeight="1">
      <c r="L73" s="751"/>
      <c r="M73" s="751"/>
      <c r="N73" s="751"/>
      <c r="O73" s="751"/>
      <c r="P73" s="751"/>
      <c r="Q73" s="751"/>
      <c r="S73" s="471"/>
      <c r="T73" s="471"/>
      <c r="U73" s="471"/>
      <c r="V73" s="471"/>
      <c r="W73" s="471"/>
      <c r="X73" s="471"/>
      <c r="Y73" s="471"/>
      <c r="Z73" s="471"/>
      <c r="AA73" s="471"/>
      <c r="AB73" s="471"/>
      <c r="AC73" s="471"/>
    </row>
    <row r="74" spans="8:8" ht="15.75" hidden="1" customHeight="1">
      <c r="L74" s="751"/>
      <c r="M74" s="751"/>
      <c r="N74" s="751"/>
      <c r="O74" s="751"/>
      <c r="P74" s="751"/>
      <c r="Q74" s="751"/>
      <c r="S74" s="471"/>
      <c r="T74" s="471"/>
      <c r="U74" s="471"/>
      <c r="V74" s="471"/>
      <c r="W74" s="471"/>
      <c r="X74" s="471"/>
      <c r="Y74" s="471"/>
      <c r="Z74" s="471"/>
      <c r="AA74" s="471"/>
      <c r="AB74" s="471"/>
      <c r="AC74" s="471"/>
    </row>
    <row r="75" spans="8:8" ht="15.75" hidden="1" customHeight="1">
      <c r="L75" s="751"/>
      <c r="M75" s="751"/>
      <c r="N75" s="751"/>
      <c r="O75" s="751"/>
      <c r="P75" s="751"/>
      <c r="Q75" s="751"/>
      <c r="S75" s="471"/>
      <c r="T75" s="471"/>
      <c r="U75" s="471"/>
      <c r="V75" s="471"/>
      <c r="W75" s="471"/>
      <c r="X75" s="471"/>
      <c r="Y75" s="471"/>
      <c r="Z75" s="471"/>
      <c r="AA75" s="471"/>
      <c r="AB75" s="471"/>
      <c r="AC75" s="471"/>
    </row>
    <row r="76" spans="8:8" ht="15.75" hidden="1" customHeight="1">
      <c r="L76" s="751"/>
      <c r="M76" s="751"/>
      <c r="N76" s="751"/>
      <c r="O76" s="751"/>
      <c r="P76" s="751"/>
      <c r="Q76" s="751"/>
    </row>
    <row r="77" spans="8:8" hidden="1">
      <c r="D77" s="752"/>
      <c r="E77" s="752"/>
      <c r="F77" s="752"/>
      <c r="G77" s="752"/>
      <c r="H77" s="752"/>
      <c r="I77" s="752"/>
      <c r="J77" s="752"/>
      <c r="L77" s="751"/>
      <c r="M77" s="751"/>
      <c r="N77" s="751"/>
      <c r="O77" s="751"/>
      <c r="P77" s="751"/>
      <c r="Q77" s="751"/>
    </row>
    <row r="78" spans="8:8" hidden="1">
      <c r="L78" s="751"/>
      <c r="M78" s="751"/>
      <c r="N78" s="751"/>
      <c r="O78" s="751"/>
      <c r="P78" s="751"/>
      <c r="Q78" s="751"/>
    </row>
    <row r="79" spans="8:8" hidden="1">
      <c r="A79" s="753"/>
      <c r="B79" s="754"/>
      <c r="C79" s="755"/>
      <c r="D79" s="755"/>
      <c r="E79" s="755"/>
      <c r="F79" s="755"/>
      <c r="G79" s="755"/>
      <c r="H79" s="755"/>
      <c r="I79" s="755"/>
      <c r="J79" s="755"/>
      <c r="K79" s="755"/>
      <c r="L79" s="755"/>
      <c r="M79" s="755"/>
      <c r="N79" s="755"/>
      <c r="O79" s="755"/>
      <c r="P79" s="756"/>
      <c r="Q79" s="757"/>
      <c r="R79" s="753"/>
    </row>
    <row r="80" spans="8:8" hidden="1">
      <c r="A80" s="753"/>
      <c r="B80" s="754"/>
      <c r="C80" s="755"/>
      <c r="D80" s="755"/>
      <c r="E80" s="755"/>
      <c r="F80" s="755"/>
      <c r="G80" s="755"/>
      <c r="H80" s="755"/>
      <c r="I80" s="755"/>
      <c r="J80" s="755"/>
      <c r="K80" s="755"/>
      <c r="L80" s="755"/>
      <c r="M80" s="755"/>
      <c r="N80" s="755"/>
      <c r="O80" s="755"/>
      <c r="P80" s="756"/>
      <c r="Q80" s="757"/>
      <c r="R80" s="753"/>
    </row>
    <row r="81" spans="8:8" hidden="1">
      <c r="A81" s="753"/>
      <c r="B81" s="754"/>
      <c r="C81" s="755"/>
      <c r="D81" s="755"/>
      <c r="E81" s="755"/>
      <c r="F81" s="755"/>
      <c r="G81" s="755"/>
      <c r="H81" s="755"/>
      <c r="I81" s="755"/>
      <c r="J81" s="755"/>
      <c r="K81" s="755"/>
      <c r="L81" s="755"/>
      <c r="M81" s="755"/>
      <c r="N81" s="755"/>
      <c r="O81" s="755"/>
      <c r="P81" s="756"/>
      <c r="Q81" s="757"/>
      <c r="R81" s="753"/>
    </row>
    <row r="82" spans="8:8" hidden="1"/>
    <row r="83" spans="8:8" hidden="1"/>
    <row r="84" spans="8:8" hidden="1"/>
    <row r="85" spans="8:8" hidden="1"/>
    <row r="86" spans="8:8" hidden="1"/>
    <row r="87" spans="8:8" hidden="1"/>
    <row r="88" spans="8:8" hidden="1"/>
    <row r="89" spans="8:8" hidden="1"/>
    <row r="90" spans="8:8" hidden="1"/>
    <row r="91" spans="8:8" hidden="1"/>
    <row r="92" spans="8:8" hidden="1"/>
    <row r="93" spans="8:8" hidden="1"/>
    <row r="94" spans="8:8" hidden="1"/>
    <row r="95" spans="8:8" hidden="1"/>
    <row r="96" spans="8:8" hidden="1"/>
    <row r="97" spans="8:8" hidden="1"/>
    <row r="98" spans="8:8" hidden="1"/>
    <row r="99" spans="8:8" hidden="1"/>
  </sheetData>
  <sheetProtection password="cda0" sheet="1" objects="1" scenarios="1"/>
  <mergeCells count="182">
    <mergeCell ref="B65:O65"/>
    <mergeCell ref="M12:O12"/>
    <mergeCell ref="C63:E64"/>
    <mergeCell ref="D43:O43"/>
    <mergeCell ref="F54:G54"/>
    <mergeCell ref="C47:O47"/>
    <mergeCell ref="K29:M29"/>
    <mergeCell ref="L72:Q78"/>
    <mergeCell ref="P5:Q5"/>
    <mergeCell ref="C17:O17"/>
    <mergeCell ref="N25:O25"/>
    <mergeCell ref="H22:I22"/>
    <mergeCell ref="C12:J12"/>
    <mergeCell ref="N26:O26"/>
    <mergeCell ref="B1:Q1"/>
    <mergeCell ref="D29:G29"/>
    <mergeCell ref="D39:O39"/>
    <mergeCell ref="P55:Q55"/>
    <mergeCell ref="C58:O58"/>
    <mergeCell ref="D30:G30"/>
    <mergeCell ref="C50:Q50"/>
    <mergeCell ref="F53:G53"/>
    <mergeCell ref="P38:Q38"/>
    <mergeCell ref="P60:Q60"/>
    <mergeCell ref="P44:Q44"/>
    <mergeCell ref="P41:Q41"/>
    <mergeCell ref="F64:I64"/>
    <mergeCell ref="P62:Q62"/>
    <mergeCell ref="N28:O28"/>
    <mergeCell ref="C53:E53"/>
    <mergeCell ref="H55:J55"/>
    <mergeCell ref="C31:O31"/>
    <mergeCell ref="L55:N55"/>
    <mergeCell ref="P32:Q32"/>
    <mergeCell ref="P31:Q31"/>
    <mergeCell ref="P33:Q33"/>
    <mergeCell ref="C52:E52"/>
    <mergeCell ref="L53:N53"/>
    <mergeCell ref="D37:O37"/>
    <mergeCell ref="D40:O40"/>
    <mergeCell ref="P34:Q34"/>
    <mergeCell ref="C33:O33"/>
    <mergeCell ref="P56:Q56"/>
    <mergeCell ref="H51:K51"/>
    <mergeCell ref="P49:Q49"/>
    <mergeCell ref="C54:E54"/>
    <mergeCell ref="L54:N54"/>
    <mergeCell ref="P54:Q54"/>
    <mergeCell ref="P64:Q64"/>
    <mergeCell ref="P4:Q4"/>
    <mergeCell ref="D22:G22"/>
    <mergeCell ref="K26:M26"/>
    <mergeCell ref="C3:D3"/>
    <mergeCell ref="H26:I26"/>
    <mergeCell ref="P36:Q36"/>
    <mergeCell ref="H54:J54"/>
    <mergeCell ref="P46:Q46"/>
    <mergeCell ref="L51:O51"/>
    <mergeCell ref="H53:J53"/>
    <mergeCell ref="H52:J52"/>
    <mergeCell ref="J63:K63"/>
    <mergeCell ref="C32:O32"/>
    <mergeCell ref="H24:I24"/>
    <mergeCell ref="P9:Q9"/>
    <mergeCell ref="P7:Q7"/>
    <mergeCell ref="K24:M24"/>
    <mergeCell ref="N21:O22"/>
    <mergeCell ref="P43:Q43"/>
    <mergeCell ref="P51:Q51"/>
    <mergeCell ref="H27:I27"/>
    <mergeCell ref="K23:M23"/>
    <mergeCell ref="P8:Q8"/>
    <mergeCell ref="P57:Q57"/>
    <mergeCell ref="P65:Q65"/>
    <mergeCell ref="C5:O5"/>
    <mergeCell ref="J21:J22"/>
    <mergeCell ref="P15:Q15"/>
    <mergeCell ref="H25:I25"/>
    <mergeCell ref="N30:O30"/>
    <mergeCell ref="D21:G21"/>
    <mergeCell ref="C55:E55"/>
    <mergeCell ref="B68:Q68"/>
    <mergeCell ref="N23:O23"/>
    <mergeCell ref="C9:L9"/>
    <mergeCell ref="M7:O7"/>
    <mergeCell ref="D23:G23"/>
    <mergeCell ref="D26:G26"/>
    <mergeCell ref="H28:I28"/>
    <mergeCell ref="H29:I29"/>
    <mergeCell ref="M8:O8"/>
    <mergeCell ref="H21:I21"/>
    <mergeCell ref="C13:D14"/>
    <mergeCell ref="K25:M25"/>
    <mergeCell ref="M13:O13"/>
    <mergeCell ref="H30:I30"/>
    <mergeCell ref="C48:O48"/>
    <mergeCell ref="D25:G25"/>
    <mergeCell ref="M14:O14"/>
    <mergeCell ref="P21:Q30"/>
    <mergeCell ref="D41:O41"/>
    <mergeCell ref="D42:O42"/>
    <mergeCell ref="F52:G52"/>
    <mergeCell ref="N29:O29"/>
    <mergeCell ref="P52:Q52"/>
    <mergeCell ref="P18:Q18"/>
    <mergeCell ref="P53:Q53"/>
    <mergeCell ref="C34:O34"/>
    <mergeCell ref="L52:N52"/>
    <mergeCell ref="P48:Q48"/>
    <mergeCell ref="C51:G51"/>
    <mergeCell ref="C46:O46"/>
    <mergeCell ref="P61:Q61"/>
    <mergeCell ref="P39:Q39"/>
    <mergeCell ref="P59:Q59"/>
    <mergeCell ref="P40:Q40"/>
    <mergeCell ref="P58:Q58"/>
    <mergeCell ref="C7:L7"/>
    <mergeCell ref="C20:Q20"/>
    <mergeCell ref="C15:O15"/>
    <mergeCell ref="K14:L14"/>
    <mergeCell ref="C16:O16"/>
    <mergeCell ref="H14:J14"/>
    <mergeCell ref="D44:O44"/>
    <mergeCell ref="B12:B14"/>
    <mergeCell ref="C61:O61"/>
    <mergeCell ref="C62:O62"/>
    <mergeCell ref="K21:M22"/>
    <mergeCell ref="E3:J3"/>
    <mergeCell ref="C10:O10"/>
    <mergeCell ref="B19:B34"/>
    <mergeCell ref="K13:L13"/>
    <mergeCell ref="C18:O18"/>
    <mergeCell ref="B50:B60"/>
    <mergeCell ref="F55:G55"/>
    <mergeCell ref="P47:Q47"/>
    <mergeCell ref="C49:O49"/>
    <mergeCell ref="J64:K64"/>
    <mergeCell ref="P17:Q17"/>
    <mergeCell ref="K28:M28"/>
    <mergeCell ref="P42:Q42"/>
    <mergeCell ref="P16:Q16"/>
    <mergeCell ref="C56:O56"/>
    <mergeCell ref="P37:Q37"/>
    <mergeCell ref="D36:O36"/>
    <mergeCell ref="C57:O57"/>
    <mergeCell ref="P10:Q10"/>
    <mergeCell ref="B63:B64"/>
    <mergeCell ref="B2:N2"/>
    <mergeCell ref="H23:I23"/>
    <mergeCell ref="C11:O11"/>
    <mergeCell ref="D24:G24"/>
    <mergeCell ref="C4:O4"/>
    <mergeCell ref="P11:Q11"/>
    <mergeCell ref="C8:L8"/>
    <mergeCell ref="M64:N64"/>
    <mergeCell ref="C60:O60"/>
    <mergeCell ref="N24:O24"/>
    <mergeCell ref="C6:O6"/>
    <mergeCell ref="L3:N3"/>
    <mergeCell ref="K30:M30"/>
    <mergeCell ref="B35:B46"/>
    <mergeCell ref="K27:M27"/>
    <mergeCell ref="B7:B10"/>
    <mergeCell ref="P12:Q14"/>
    <mergeCell ref="N27:O27"/>
    <mergeCell ref="D27:G27"/>
    <mergeCell ref="D28:G28"/>
    <mergeCell ref="C35:Q35"/>
    <mergeCell ref="P3:Q3"/>
    <mergeCell ref="E14:G14"/>
    <mergeCell ref="E13:G13"/>
    <mergeCell ref="K12:L12"/>
    <mergeCell ref="M9:O9"/>
    <mergeCell ref="H13:J13"/>
    <mergeCell ref="P6:Q6"/>
    <mergeCell ref="C19:Q19"/>
    <mergeCell ref="P63:Q63"/>
    <mergeCell ref="D38:O38"/>
    <mergeCell ref="D77:J77"/>
    <mergeCell ref="C59:O59"/>
    <mergeCell ref="M63:N63"/>
    <mergeCell ref="F63:I63"/>
  </mergeCells>
  <conditionalFormatting sqref="P65:Q65">
    <cfRule type="cellIs" operator="greaterThanOrEqual" priority="5" dxfId="12">
      <formula>0</formula>
    </cfRule>
    <cfRule type="cellIs" operator="lessThanOrEqual" priority="3" dxfId="13">
      <formula>0</formula>
    </cfRule>
  </conditionalFormatting>
  <conditionalFormatting sqref="B65:O65">
    <cfRule type="containsText" text="Income Tax Refundable (Old Tax Regime)" operator="containsText" priority="2" dxfId="14">
      <formula>NOT(ISERROR(SEARCH("Income Tax Refundable (Old Tax Regime)",B65)))</formula>
    </cfRule>
    <cfRule type="containsText" text="Income Tax Payable (Old Tax Regime)" operator="containsText" priority="1" dxfId="15">
      <formula>NOT(ISERROR(SEARCH("Income Tax Payable (Old Tax Regime)",B65)))</formula>
    </cfRule>
  </conditionalFormatting>
  <printOptions horizontalCentered="1"/>
  <pageMargins left="0.2755905511811024" right="0.15748031496062992" top="0.2362204724409449" bottom="0.2755905511811024" header="0.1968503937007874" footer="0.2362204724409449"/>
  <pageSetup paperSize="9" scale="79" blackAndWhite="1"/>
  <headerFooter>
    <oddFooter>&amp;C&amp;"Times New Roman,Bold"&amp;11निर्माणकर्ता :-भागीरथ मल अध्यापक L-1 GSSS डसाणा खुर्द मौलासर (डीडवाना-कुचामन)</oddFooter>
  </headerFooter>
  <drawing r:id="rId1"/>
  <legacyDrawing r:id="rId2"/>
</worksheet>
</file>

<file path=xl/worksheets/sheet9.xml><?xml version="1.0" encoding="utf-8"?>
<worksheet xmlns:r="http://schemas.openxmlformats.org/officeDocument/2006/relationships" xmlns="http://schemas.openxmlformats.org/spreadsheetml/2006/main">
  <sheetPr>
    <tabColor rgb="FF00B050"/>
  </sheetPr>
  <dimension ref="A1:AB314"/>
  <sheetViews>
    <sheetView workbookViewId="0" showGridLines="0" showRowColHeaders="0">
      <pane xSplit="1" ySplit="1" topLeftCell="B134" state="frozen" activePane="bottomRight"/>
      <selection pane="bottomRight" activeCell="B2" sqref="B2:M2"/>
    </sheetView>
  </sheetViews>
  <sheetFormatPr defaultRowHeight="12.75" defaultColWidth="0" zeroHeight="1"/>
  <cols>
    <col min="1" max="1" customWidth="1" width="9.140625" style="758"/>
    <col min="2" max="7" customWidth="1" width="10.285156" style="758"/>
    <col min="8" max="8" customWidth="1" width="10.7109375" style="758"/>
    <col min="9" max="9" customWidth="1" width="8.5703125" style="758"/>
    <col min="10" max="10" customWidth="1" width="13.7109375" style="758"/>
    <col min="11" max="11" customWidth="1" width="10.5703125" style="758"/>
    <col min="12" max="12" customWidth="1" width="9.855469" style="758"/>
    <col min="13" max="13" customWidth="1" width="16.425781" style="758"/>
    <col min="14" max="14" customWidth="1" width="4.5703125" style="758"/>
    <col min="15" max="17" hidden="1" customWidth="1" width="9.140625" style="758"/>
    <col min="18" max="18" hidden="1" customWidth="1" width="20.710938" style="758"/>
    <col min="19" max="21" hidden="1" customWidth="1" width="9.140625" style="758"/>
    <col min="22" max="22" hidden="1" customWidth="1" width="4.8554688" style="758"/>
    <col min="23" max="25" hidden="1" customWidth="1" width="9.140625" style="758"/>
    <col min="26" max="26" customWidth="1" width="9.140625" style="758"/>
    <col min="27" max="16384" hidden="1" customWidth="0" width="9.140625" style="758"/>
  </cols>
  <sheetData>
    <row r="1" spans="8:8" ht="26.25">
      <c r="B1" s="759" t="s">
        <v>487</v>
      </c>
      <c r="C1" s="760"/>
      <c r="D1" s="760"/>
      <c r="E1" s="760"/>
      <c r="F1" s="760"/>
      <c r="G1" s="760"/>
      <c r="H1" s="760"/>
      <c r="I1" s="760"/>
      <c r="J1" s="760"/>
      <c r="K1" s="760"/>
      <c r="L1" s="760"/>
      <c r="M1" s="760"/>
    </row>
    <row r="2" spans="8:8" ht="18.0">
      <c r="B2" s="761" t="s">
        <v>288</v>
      </c>
      <c r="C2" s="762"/>
      <c r="D2" s="762"/>
      <c r="E2" s="762"/>
      <c r="F2" s="762"/>
      <c r="G2" s="762"/>
      <c r="H2" s="762"/>
      <c r="I2" s="762"/>
      <c r="J2" s="762"/>
      <c r="K2" s="762"/>
      <c r="L2" s="762"/>
      <c r="M2" s="763"/>
      <c r="N2" s="764"/>
    </row>
    <row r="3" spans="8:8" ht="15.0">
      <c r="B3" s="765" t="s">
        <v>289</v>
      </c>
      <c r="C3" s="766"/>
      <c r="D3" s="766"/>
      <c r="E3" s="766"/>
      <c r="F3" s="766"/>
      <c r="G3" s="766"/>
      <c r="H3" s="766"/>
      <c r="I3" s="766"/>
      <c r="J3" s="766"/>
      <c r="K3" s="766"/>
      <c r="L3" s="766"/>
      <c r="M3" s="767"/>
      <c r="N3" s="764"/>
      <c r="Q3" s="768">
        <f>YEAR('GA-55'!C8)</f>
        <v>2024.0</v>
      </c>
      <c r="R3" s="768">
        <f>Q3+1</f>
        <v>2025.0</v>
      </c>
    </row>
    <row r="4" spans="8:8" ht="15.75">
      <c r="B4" s="769" t="s">
        <v>290</v>
      </c>
      <c r="C4" s="770"/>
      <c r="D4" s="770"/>
      <c r="E4" s="770"/>
      <c r="F4" s="770"/>
      <c r="G4" s="770"/>
      <c r="H4" s="770"/>
      <c r="I4" s="770"/>
      <c r="J4" s="770"/>
      <c r="K4" s="770"/>
      <c r="L4" s="770"/>
      <c r="M4" s="771"/>
      <c r="N4" s="764"/>
      <c r="Q4" s="772">
        <f>YEAR('GA-55'!C19)</f>
        <v>2025.0</v>
      </c>
      <c r="R4" s="772">
        <f>Q4+1-2000</f>
        <v>26.0</v>
      </c>
    </row>
    <row r="5" spans="8:8" ht="15.0">
      <c r="B5" s="769" t="s">
        <v>291</v>
      </c>
      <c r="C5" s="770"/>
      <c r="D5" s="770"/>
      <c r="E5" s="770"/>
      <c r="F5" s="770"/>
      <c r="G5" s="770"/>
      <c r="H5" s="770"/>
      <c r="I5" s="770"/>
      <c r="J5" s="770"/>
      <c r="K5" s="770"/>
      <c r="L5" s="770"/>
      <c r="M5" s="771"/>
      <c r="N5" s="764"/>
      <c r="Q5" s="768" t="str">
        <f>CONCATENATE(R3,"-",R4)</f>
        <v>2025-26</v>
      </c>
      <c r="R5" s="768"/>
    </row>
    <row r="6" spans="8:8">
      <c r="B6" s="773" t="s">
        <v>292</v>
      </c>
      <c r="C6" s="774"/>
      <c r="D6" s="774"/>
      <c r="E6" s="774"/>
      <c r="F6" s="774"/>
      <c r="G6" s="774"/>
      <c r="H6" s="774"/>
      <c r="I6" s="774"/>
      <c r="J6" s="774"/>
      <c r="K6" s="774"/>
      <c r="L6" s="774"/>
      <c r="M6" s="775"/>
      <c r="N6" s="764"/>
    </row>
    <row r="7" spans="8:8">
      <c r="B7" s="776" t="s">
        <v>293</v>
      </c>
      <c r="C7" s="777"/>
      <c r="D7" s="777"/>
      <c r="E7" s="777"/>
      <c r="F7" s="777"/>
      <c r="G7" s="777"/>
      <c r="H7" s="777"/>
      <c r="I7" s="777"/>
      <c r="J7" s="777"/>
      <c r="K7" s="777"/>
      <c r="L7" s="777"/>
      <c r="M7" s="778"/>
      <c r="N7" s="764"/>
    </row>
    <row r="8" spans="8:8" ht="15.0" customHeight="1">
      <c r="B8" s="779" t="str">
        <f>CONCATENATE("Calculation as per","  ",'[2]Old Regime Calc. Report'!W16)</f>
        <v>Calculation as per  </v>
      </c>
      <c r="C8" s="780"/>
      <c r="D8" s="780"/>
      <c r="E8" s="780"/>
      <c r="F8" s="780"/>
      <c r="G8" s="780"/>
      <c r="H8" s="780"/>
      <c r="I8" s="780"/>
      <c r="J8" s="781"/>
      <c r="K8" s="781"/>
      <c r="L8" s="781"/>
      <c r="M8" s="782"/>
      <c r="N8" s="764"/>
    </row>
    <row r="9" spans="8:8" ht="20.25" customHeight="1">
      <c r="B9" s="779"/>
      <c r="C9" s="780"/>
      <c r="D9" s="780"/>
      <c r="E9" s="780"/>
      <c r="F9" s="780"/>
      <c r="G9" s="780"/>
      <c r="H9" s="780"/>
      <c r="I9" s="780"/>
      <c r="J9" s="783" t="s">
        <v>294</v>
      </c>
      <c r="K9" s="784"/>
      <c r="L9" s="785"/>
      <c r="M9" s="786" t="str">
        <f>IF('[2]Basic Data'!P10="A","Under 60 Yrs.",IF('[2]Basic Data'!P10="B","Between 60&amp;80 Yrs.","Above 80 Yrs."))</f>
        <v>Above 80 Yrs.</v>
      </c>
      <c r="N9" s="764"/>
    </row>
    <row r="10" spans="8:8" ht="15.75" customHeight="1">
      <c r="B10" s="787" t="s">
        <v>295</v>
      </c>
      <c r="C10" s="788"/>
      <c r="D10" s="788"/>
      <c r="E10" s="788"/>
      <c r="F10" s="788"/>
      <c r="G10" s="788"/>
      <c r="H10" s="789" t="s">
        <v>296</v>
      </c>
      <c r="I10" s="789"/>
      <c r="J10" s="790"/>
      <c r="K10" s="790"/>
      <c r="L10" s="790"/>
      <c r="M10" s="791"/>
      <c r="N10" s="764"/>
    </row>
    <row r="11" spans="8:8">
      <c r="B11" s="792" t="str">
        <f>CONCATENATE('MASTER DATA SHEET'!C3," ","DDO CODE"," ",'MASTER DATA SHEET'!C8)</f>
        <v> PRINCIPAL,GOVT. SEN. SEC. SCHOOL DASANA KHURD (DEEDWANA-KUCHAMAN) DDO CODE 1234567</v>
      </c>
      <c r="C11" s="793"/>
      <c r="D11" s="793"/>
      <c r="E11" s="793"/>
      <c r="F11" s="793"/>
      <c r="G11" s="794"/>
      <c r="H11" s="795" t="str">
        <f>'MASTER DATA SHEET'!C4</f>
        <v>BHAGIRATH MAL</v>
      </c>
      <c r="I11" s="796"/>
      <c r="J11" s="796"/>
      <c r="K11" s="796"/>
      <c r="L11" s="796"/>
      <c r="M11" s="797"/>
      <c r="N11" s="764"/>
    </row>
    <row r="12" spans="8:8">
      <c r="B12" s="798"/>
      <c r="C12" s="799"/>
      <c r="D12" s="799"/>
      <c r="E12" s="799"/>
      <c r="F12" s="799"/>
      <c r="G12" s="800"/>
      <c r="H12" s="801"/>
      <c r="I12" s="802"/>
      <c r="J12" s="802"/>
      <c r="K12" s="802"/>
      <c r="L12" s="802"/>
      <c r="M12" s="803"/>
      <c r="N12" s="764"/>
    </row>
    <row r="13" spans="8:8">
      <c r="B13" s="798"/>
      <c r="C13" s="799"/>
      <c r="D13" s="799"/>
      <c r="E13" s="799"/>
      <c r="F13" s="799"/>
      <c r="G13" s="800"/>
      <c r="H13" s="801" t="str">
        <f>'MASTER DATA SHEET'!E4</f>
        <v>TEACHER L-1</v>
      </c>
      <c r="I13" s="802"/>
      <c r="J13" s="802"/>
      <c r="K13" s="802"/>
      <c r="L13" s="802"/>
      <c r="M13" s="803"/>
      <c r="N13" s="764"/>
    </row>
    <row r="14" spans="8:8">
      <c r="B14" s="804"/>
      <c r="C14" s="805"/>
      <c r="D14" s="805"/>
      <c r="E14" s="805"/>
      <c r="F14" s="805"/>
      <c r="G14" s="806"/>
      <c r="H14" s="807"/>
      <c r="I14" s="808"/>
      <c r="J14" s="808"/>
      <c r="K14" s="808"/>
      <c r="L14" s="808"/>
      <c r="M14" s="809"/>
      <c r="N14" s="764"/>
    </row>
    <row r="15" spans="8:8" ht="17.25" customHeight="1">
      <c r="B15" s="779" t="s">
        <v>297</v>
      </c>
      <c r="C15" s="780"/>
      <c r="D15" s="810"/>
      <c r="E15" s="811" t="s">
        <v>298</v>
      </c>
      <c r="F15" s="780"/>
      <c r="G15" s="810"/>
      <c r="H15" s="811" t="s">
        <v>299</v>
      </c>
      <c r="I15" s="780"/>
      <c r="J15" s="780"/>
      <c r="K15" s="780"/>
      <c r="L15" s="780"/>
      <c r="M15" s="812"/>
      <c r="N15" s="764"/>
      <c r="R15" s="813">
        <f>I26</f>
        <v>99000.0</v>
      </c>
    </row>
    <row r="16" spans="8:8" ht="17.25" customHeight="1">
      <c r="B16" s="814"/>
      <c r="C16" s="815"/>
      <c r="D16" s="816"/>
      <c r="E16" s="811" t="str">
        <f>'MASTER DATA SHEET'!C7</f>
        <v>BAAAXXXXXA</v>
      </c>
      <c r="F16" s="780"/>
      <c r="G16" s="810"/>
      <c r="H16" s="811" t="str">
        <f>'MASTER DATA SHEET'!C6</f>
        <v>AAAAAXXXXA</v>
      </c>
      <c r="I16" s="780"/>
      <c r="J16" s="780"/>
      <c r="K16" s="780"/>
      <c r="L16" s="780"/>
      <c r="M16" s="812"/>
      <c r="N16" s="764"/>
      <c r="R16" s="813">
        <f>C44</f>
        <v>0.0</v>
      </c>
    </row>
    <row r="17" spans="8:8" ht="17.25" customHeight="1">
      <c r="B17" s="817" t="s">
        <v>300</v>
      </c>
      <c r="C17" s="818"/>
      <c r="D17" s="819"/>
      <c r="E17" s="820"/>
      <c r="F17" s="821"/>
      <c r="G17" s="822"/>
      <c r="H17" s="780" t="s">
        <v>301</v>
      </c>
      <c r="I17" s="780"/>
      <c r="J17" s="780"/>
      <c r="K17" s="811" t="s">
        <v>302</v>
      </c>
      <c r="L17" s="823"/>
      <c r="M17" s="824"/>
      <c r="N17" s="764"/>
      <c r="R17" s="813">
        <f>C55</f>
        <v>0.0</v>
      </c>
    </row>
    <row r="18" spans="8:8" ht="17.25" customHeight="1">
      <c r="B18" s="825" t="s">
        <v>303</v>
      </c>
      <c r="C18" s="826"/>
      <c r="D18" s="827"/>
      <c r="E18" s="828"/>
      <c r="F18" s="829"/>
      <c r="G18" s="830"/>
      <c r="H18" s="811" t="s">
        <v>304</v>
      </c>
      <c r="I18" s="810"/>
      <c r="J18" s="831" t="s">
        <v>305</v>
      </c>
      <c r="K18" s="832" t="str">
        <f>Q5</f>
        <v>2025-26</v>
      </c>
      <c r="L18" s="833"/>
      <c r="M18" s="834"/>
      <c r="N18" s="764"/>
      <c r="R18" s="813">
        <f>SUM(R15:R17)</f>
        <v>99000.0</v>
      </c>
    </row>
    <row r="19" spans="8:8" ht="17.25" customHeight="1">
      <c r="B19" s="835" t="s">
        <v>306</v>
      </c>
      <c r="C19" s="836"/>
      <c r="D19" s="837"/>
      <c r="E19" s="838"/>
      <c r="F19" s="839"/>
      <c r="G19" s="840"/>
      <c r="H19" s="841">
        <f>'GA-55'!C9</f>
        <v>45383.0</v>
      </c>
      <c r="I19" s="842"/>
      <c r="J19" s="843">
        <f>EOMONTH('GA-55'!C19,0)+31</f>
        <v>45747.0</v>
      </c>
      <c r="K19" s="844"/>
      <c r="L19" s="845"/>
      <c r="M19" s="846"/>
      <c r="N19" s="764"/>
    </row>
    <row r="20" spans="8:8" ht="17.25" customHeight="1">
      <c r="B20" s="835" t="s">
        <v>307</v>
      </c>
      <c r="C20" s="836"/>
      <c r="D20" s="836"/>
      <c r="E20" s="847"/>
      <c r="F20" s="847"/>
      <c r="G20" s="847"/>
      <c r="H20" s="848"/>
      <c r="I20" s="848"/>
      <c r="J20" s="848"/>
      <c r="K20" s="848"/>
      <c r="L20" s="848"/>
      <c r="M20" s="849"/>
      <c r="N20" s="764"/>
    </row>
    <row r="21" spans="8:8" ht="53.25" customHeight="1">
      <c r="B21" s="787" t="s">
        <v>308</v>
      </c>
      <c r="C21" s="789"/>
      <c r="D21" s="850" t="s">
        <v>309</v>
      </c>
      <c r="E21" s="850"/>
      <c r="F21" s="850"/>
      <c r="G21" s="851" t="s">
        <v>310</v>
      </c>
      <c r="H21" s="851"/>
      <c r="I21" s="852" t="s">
        <v>311</v>
      </c>
      <c r="J21" s="853"/>
      <c r="K21" s="854"/>
      <c r="L21" s="850" t="s">
        <v>312</v>
      </c>
      <c r="M21" s="855"/>
      <c r="N21" s="764"/>
    </row>
    <row r="22" spans="8:8" ht="15.0" customHeight="1">
      <c r="B22" s="856" t="s">
        <v>313</v>
      </c>
      <c r="C22" s="857"/>
      <c r="D22" s="858"/>
      <c r="E22" s="815"/>
      <c r="F22" s="816"/>
      <c r="G22" s="859"/>
      <c r="H22" s="860"/>
      <c r="I22" s="858">
        <f>R22</f>
        <v>21000.0</v>
      </c>
      <c r="J22" s="815"/>
      <c r="K22" s="816"/>
      <c r="L22" s="861">
        <f>I22</f>
        <v>21000.0</v>
      </c>
      <c r="M22" s="862"/>
      <c r="N22" s="764"/>
      <c r="Q22" s="758">
        <v>1.0</v>
      </c>
      <c r="R22" s="863">
        <f>SUM('GA-55'!V8:V10)</f>
        <v>21000.0</v>
      </c>
    </row>
    <row r="23" spans="8:8" ht="15.0" customHeight="1">
      <c r="B23" s="856" t="s">
        <v>314</v>
      </c>
      <c r="C23" s="857"/>
      <c r="D23" s="858"/>
      <c r="E23" s="815"/>
      <c r="F23" s="816"/>
      <c r="G23" s="859"/>
      <c r="H23" s="860"/>
      <c r="I23" s="858">
        <f>R23</f>
        <v>21000.0</v>
      </c>
      <c r="J23" s="815"/>
      <c r="K23" s="816"/>
      <c r="L23" s="861">
        <f>I23</f>
        <v>21000.0</v>
      </c>
      <c r="M23" s="862"/>
      <c r="N23" s="764"/>
      <c r="Q23" s="758">
        <v>2.0</v>
      </c>
      <c r="R23" s="863">
        <f>SUM('GA-55'!V11:V13)</f>
        <v>21000.0</v>
      </c>
    </row>
    <row r="24" spans="8:8" ht="15.0" customHeight="1">
      <c r="B24" s="856" t="s">
        <v>315</v>
      </c>
      <c r="C24" s="857"/>
      <c r="D24" s="858"/>
      <c r="E24" s="815"/>
      <c r="F24" s="816"/>
      <c r="G24" s="859"/>
      <c r="H24" s="860"/>
      <c r="I24" s="858">
        <f>R24</f>
        <v>21000.0</v>
      </c>
      <c r="J24" s="815"/>
      <c r="K24" s="816"/>
      <c r="L24" s="861">
        <f>I24</f>
        <v>21000.0</v>
      </c>
      <c r="M24" s="864"/>
      <c r="N24" s="764"/>
      <c r="Q24" s="758">
        <v>3.0</v>
      </c>
      <c r="R24" s="863">
        <f>SUM('GA-55'!V14:V16)</f>
        <v>21000.0</v>
      </c>
    </row>
    <row r="25" spans="8:8" ht="15.0" customHeight="1">
      <c r="B25" s="856" t="s">
        <v>316</v>
      </c>
      <c r="C25" s="857"/>
      <c r="D25" s="858"/>
      <c r="E25" s="815"/>
      <c r="F25" s="816"/>
      <c r="G25" s="859"/>
      <c r="H25" s="860"/>
      <c r="I25" s="858">
        <f>R25</f>
        <v>36000.0</v>
      </c>
      <c r="J25" s="815"/>
      <c r="K25" s="816"/>
      <c r="L25" s="861">
        <f>I25</f>
        <v>36000.0</v>
      </c>
      <c r="M25" s="864"/>
      <c r="N25" s="764"/>
      <c r="Q25" s="758">
        <v>4.0</v>
      </c>
      <c r="R25" s="863">
        <f>SUM('GA-55'!V17:V19)+'TAX (NEW REGIME)'!O54</f>
        <v>36000.0</v>
      </c>
    </row>
    <row r="26" spans="8:8" ht="15.0" customHeight="1">
      <c r="B26" s="779" t="s">
        <v>317</v>
      </c>
      <c r="C26" s="810"/>
      <c r="D26" s="811"/>
      <c r="E26" s="780"/>
      <c r="F26" s="810"/>
      <c r="G26" s="865">
        <f>SUM(G22:H25)</f>
        <v>0.0</v>
      </c>
      <c r="H26" s="866"/>
      <c r="I26" s="811">
        <f>SUM(I22:K25)</f>
        <v>99000.0</v>
      </c>
      <c r="J26" s="780"/>
      <c r="K26" s="810"/>
      <c r="L26" s="865">
        <f>SUM(L22:M25)</f>
        <v>99000.0</v>
      </c>
      <c r="M26" s="867"/>
      <c r="N26" s="764"/>
    </row>
    <row r="27" spans="8:8" ht="17.25" customHeight="1">
      <c r="B27" s="868" t="s">
        <v>318</v>
      </c>
      <c r="C27" s="869"/>
      <c r="D27" s="869"/>
      <c r="E27" s="869"/>
      <c r="F27" s="870"/>
      <c r="G27" s="870"/>
      <c r="H27" s="870"/>
      <c r="I27" s="870"/>
      <c r="J27" s="870"/>
      <c r="K27" s="870"/>
      <c r="L27" s="870"/>
      <c r="M27" s="871"/>
      <c r="N27" s="764"/>
    </row>
    <row r="28" spans="8:8">
      <c r="B28" s="872" t="s">
        <v>319</v>
      </c>
      <c r="C28" s="873" t="s">
        <v>320</v>
      </c>
      <c r="D28" s="873"/>
      <c r="E28" s="874"/>
      <c r="F28" s="875" t="s">
        <v>321</v>
      </c>
      <c r="G28" s="876"/>
      <c r="H28" s="876"/>
      <c r="I28" s="876"/>
      <c r="J28" s="877"/>
      <c r="K28" s="877"/>
      <c r="L28" s="876"/>
      <c r="M28" s="878"/>
      <c r="N28" s="764"/>
    </row>
    <row r="29" spans="8:8">
      <c r="B29" s="879"/>
      <c r="C29" s="880" t="s">
        <v>322</v>
      </c>
      <c r="D29" s="880"/>
      <c r="E29" s="880"/>
      <c r="F29" s="881" t="s">
        <v>323</v>
      </c>
      <c r="G29" s="882"/>
      <c r="H29" s="881" t="s">
        <v>324</v>
      </c>
      <c r="I29" s="883"/>
      <c r="J29" s="881" t="s">
        <v>325</v>
      </c>
      <c r="K29" s="883"/>
      <c r="L29" s="884" t="s">
        <v>326</v>
      </c>
      <c r="M29" s="885"/>
      <c r="N29" s="764"/>
    </row>
    <row r="30" spans="8:8">
      <c r="B30" s="879"/>
      <c r="C30" s="886"/>
      <c r="D30" s="886" t="s">
        <v>327</v>
      </c>
      <c r="E30" s="886"/>
      <c r="F30" s="887" t="s">
        <v>328</v>
      </c>
      <c r="G30" s="888"/>
      <c r="H30" s="887" t="s">
        <v>328</v>
      </c>
      <c r="I30" s="888"/>
      <c r="J30" s="887" t="s">
        <v>328</v>
      </c>
      <c r="K30" s="888"/>
      <c r="L30" s="889" t="s">
        <v>329</v>
      </c>
      <c r="M30" s="890"/>
      <c r="N30" s="764"/>
    </row>
    <row r="31" spans="8:8" ht="15.0" customHeight="1">
      <c r="B31" s="891"/>
      <c r="C31" s="892"/>
      <c r="D31" s="892"/>
      <c r="E31" s="892"/>
      <c r="F31" s="893"/>
      <c r="G31" s="894"/>
      <c r="H31" s="895"/>
      <c r="I31" s="896"/>
      <c r="J31" s="895" t="s">
        <v>330</v>
      </c>
      <c r="K31" s="896"/>
      <c r="L31" s="897"/>
      <c r="M31" s="898"/>
      <c r="N31" s="764"/>
    </row>
    <row r="32" spans="8:8" ht="13.5" customHeight="1">
      <c r="B32" s="899">
        <v>1.0</v>
      </c>
      <c r="C32" s="858"/>
      <c r="D32" s="815"/>
      <c r="E32" s="816"/>
      <c r="F32" s="859"/>
      <c r="G32" s="860"/>
      <c r="H32" s="858"/>
      <c r="I32" s="816"/>
      <c r="J32" s="900"/>
      <c r="K32" s="900"/>
      <c r="L32" s="858"/>
      <c r="M32" s="901"/>
      <c r="N32" s="764"/>
    </row>
    <row r="33" spans="8:8" ht="13.5" customHeight="1">
      <c r="B33" s="902">
        <v>2.0</v>
      </c>
      <c r="C33" s="858"/>
      <c r="D33" s="815"/>
      <c r="E33" s="816"/>
      <c r="F33" s="859"/>
      <c r="G33" s="860"/>
      <c r="H33" s="858"/>
      <c r="I33" s="816"/>
      <c r="J33" s="900"/>
      <c r="K33" s="900"/>
      <c r="L33" s="858"/>
      <c r="M33" s="901"/>
      <c r="N33" s="764"/>
    </row>
    <row r="34" spans="8:8" ht="13.5" customHeight="1">
      <c r="B34" s="902">
        <v>3.0</v>
      </c>
      <c r="C34" s="858"/>
      <c r="D34" s="815"/>
      <c r="E34" s="816"/>
      <c r="F34" s="859"/>
      <c r="G34" s="860"/>
      <c r="H34" s="858"/>
      <c r="I34" s="816"/>
      <c r="J34" s="900"/>
      <c r="K34" s="900"/>
      <c r="L34" s="858"/>
      <c r="M34" s="901"/>
      <c r="N34" s="764"/>
    </row>
    <row r="35" spans="8:8" ht="13.5" customHeight="1">
      <c r="B35" s="902">
        <v>4.0</v>
      </c>
      <c r="C35" s="858"/>
      <c r="D35" s="815"/>
      <c r="E35" s="816"/>
      <c r="F35" s="859"/>
      <c r="G35" s="860"/>
      <c r="H35" s="858"/>
      <c r="I35" s="816"/>
      <c r="J35" s="900"/>
      <c r="K35" s="900"/>
      <c r="L35" s="858"/>
      <c r="M35" s="901"/>
      <c r="N35" s="764"/>
    </row>
    <row r="36" spans="8:8" ht="13.5" customHeight="1">
      <c r="B36" s="902">
        <v>5.0</v>
      </c>
      <c r="C36" s="858"/>
      <c r="D36" s="815"/>
      <c r="E36" s="816"/>
      <c r="F36" s="859"/>
      <c r="G36" s="860"/>
      <c r="H36" s="858"/>
      <c r="I36" s="816"/>
      <c r="J36" s="900"/>
      <c r="K36" s="900"/>
      <c r="L36" s="858"/>
      <c r="M36" s="901"/>
      <c r="N36" s="764"/>
    </row>
    <row r="37" spans="8:8" ht="13.5" customHeight="1">
      <c r="B37" s="902">
        <v>6.0</v>
      </c>
      <c r="C37" s="858"/>
      <c r="D37" s="815"/>
      <c r="E37" s="816"/>
      <c r="F37" s="859"/>
      <c r="G37" s="860"/>
      <c r="H37" s="858"/>
      <c r="I37" s="816"/>
      <c r="J37" s="900"/>
      <c r="K37" s="900"/>
      <c r="L37" s="858"/>
      <c r="M37" s="901"/>
      <c r="N37" s="764"/>
    </row>
    <row r="38" spans="8:8" ht="13.5" customHeight="1">
      <c r="B38" s="902">
        <v>7.0</v>
      </c>
      <c r="C38" s="858"/>
      <c r="D38" s="815"/>
      <c r="E38" s="816"/>
      <c r="F38" s="859"/>
      <c r="G38" s="860"/>
      <c r="H38" s="858"/>
      <c r="I38" s="816"/>
      <c r="J38" s="900"/>
      <c r="K38" s="900"/>
      <c r="L38" s="858"/>
      <c r="M38" s="901"/>
      <c r="N38" s="764"/>
    </row>
    <row r="39" spans="8:8" ht="13.5" customHeight="1">
      <c r="B39" s="902">
        <v>8.0</v>
      </c>
      <c r="C39" s="858"/>
      <c r="D39" s="815"/>
      <c r="E39" s="816"/>
      <c r="F39" s="859"/>
      <c r="G39" s="860"/>
      <c r="H39" s="858"/>
      <c r="I39" s="816"/>
      <c r="J39" s="900"/>
      <c r="K39" s="900"/>
      <c r="L39" s="858"/>
      <c r="M39" s="901"/>
      <c r="N39" s="764"/>
    </row>
    <row r="40" spans="8:8" ht="13.5" customHeight="1">
      <c r="B40" s="902">
        <v>9.0</v>
      </c>
      <c r="C40" s="858"/>
      <c r="D40" s="815"/>
      <c r="E40" s="816"/>
      <c r="F40" s="859"/>
      <c r="G40" s="860"/>
      <c r="H40" s="858"/>
      <c r="I40" s="816"/>
      <c r="J40" s="900"/>
      <c r="K40" s="900"/>
      <c r="L40" s="858"/>
      <c r="M40" s="901"/>
      <c r="N40" s="764"/>
    </row>
    <row r="41" spans="8:8" ht="13.5" customHeight="1">
      <c r="B41" s="902">
        <v>10.0</v>
      </c>
      <c r="C41" s="858"/>
      <c r="D41" s="815"/>
      <c r="E41" s="816"/>
      <c r="F41" s="859"/>
      <c r="G41" s="860"/>
      <c r="H41" s="858"/>
      <c r="I41" s="816"/>
      <c r="J41" s="900"/>
      <c r="K41" s="900"/>
      <c r="L41" s="858"/>
      <c r="M41" s="901"/>
      <c r="N41" s="764"/>
    </row>
    <row r="42" spans="8:8" ht="13.5" customHeight="1">
      <c r="B42" s="902">
        <v>11.0</v>
      </c>
      <c r="C42" s="858"/>
      <c r="D42" s="815"/>
      <c r="E42" s="816"/>
      <c r="F42" s="859"/>
      <c r="G42" s="860"/>
      <c r="H42" s="858"/>
      <c r="I42" s="816"/>
      <c r="J42" s="900"/>
      <c r="K42" s="900"/>
      <c r="L42" s="858"/>
      <c r="M42" s="901"/>
      <c r="N42" s="764"/>
    </row>
    <row r="43" spans="8:8" ht="13.5" customHeight="1">
      <c r="B43" s="902">
        <v>12.0</v>
      </c>
      <c r="C43" s="858"/>
      <c r="D43" s="815"/>
      <c r="E43" s="816"/>
      <c r="F43" s="859"/>
      <c r="G43" s="860"/>
      <c r="H43" s="858"/>
      <c r="I43" s="816"/>
      <c r="J43" s="900"/>
      <c r="K43" s="900"/>
      <c r="L43" s="858"/>
      <c r="M43" s="901"/>
      <c r="N43" s="764"/>
    </row>
    <row r="44" spans="8:8" ht="15.0" customHeight="1">
      <c r="B44" s="891" t="s">
        <v>331</v>
      </c>
      <c r="C44" s="903">
        <f>SUM(C32:E43)</f>
        <v>0.0</v>
      </c>
      <c r="D44" s="904"/>
      <c r="E44" s="857"/>
      <c r="F44" s="861"/>
      <c r="G44" s="905"/>
      <c r="H44" s="903"/>
      <c r="I44" s="857"/>
      <c r="J44" s="906"/>
      <c r="K44" s="906"/>
      <c r="L44" s="903"/>
      <c r="M44" s="907"/>
      <c r="N44" s="764"/>
    </row>
    <row r="45" spans="8:8" ht="5.25" customHeight="1">
      <c r="B45" s="835"/>
      <c r="C45" s="908"/>
      <c r="D45" s="908"/>
      <c r="E45" s="908"/>
      <c r="F45" s="909"/>
      <c r="G45" s="909"/>
      <c r="H45" s="908"/>
      <c r="I45" s="908"/>
      <c r="J45" s="848"/>
      <c r="K45" s="848"/>
      <c r="L45" s="848"/>
      <c r="M45" s="898"/>
      <c r="N45" s="764"/>
    </row>
    <row r="46" spans="8:8" ht="15.0" customHeight="1">
      <c r="B46" s="868" t="s">
        <v>332</v>
      </c>
      <c r="C46" s="869"/>
      <c r="D46" s="869"/>
      <c r="E46" s="869"/>
      <c r="F46" s="870"/>
      <c r="G46" s="870"/>
      <c r="H46" s="870"/>
      <c r="I46" s="870"/>
      <c r="J46" s="870"/>
      <c r="K46" s="870"/>
      <c r="L46" s="870"/>
      <c r="M46" s="871"/>
      <c r="N46" s="764"/>
    </row>
    <row r="47" spans="8:8" ht="15.0" customHeight="1">
      <c r="B47" s="872" t="s">
        <v>319</v>
      </c>
      <c r="C47" s="873" t="s">
        <v>320</v>
      </c>
      <c r="D47" s="873"/>
      <c r="E47" s="874"/>
      <c r="F47" s="875" t="s">
        <v>333</v>
      </c>
      <c r="G47" s="876"/>
      <c r="H47" s="876"/>
      <c r="I47" s="876"/>
      <c r="J47" s="877"/>
      <c r="K47" s="877"/>
      <c r="L47" s="876"/>
      <c r="M47" s="878"/>
      <c r="N47" s="764"/>
    </row>
    <row r="48" spans="8:8" ht="15.0" customHeight="1">
      <c r="B48" s="879"/>
      <c r="C48" s="880" t="s">
        <v>322</v>
      </c>
      <c r="D48" s="880"/>
      <c r="E48" s="880"/>
      <c r="F48" s="881" t="s">
        <v>334</v>
      </c>
      <c r="G48" s="882"/>
      <c r="H48" s="881" t="s">
        <v>335</v>
      </c>
      <c r="I48" s="883"/>
      <c r="J48" s="881" t="s">
        <v>336</v>
      </c>
      <c r="K48" s="883"/>
      <c r="L48" s="884" t="s">
        <v>326</v>
      </c>
      <c r="M48" s="885"/>
      <c r="N48" s="764"/>
    </row>
    <row r="49" spans="8:8" ht="15.0" customHeight="1">
      <c r="B49" s="879"/>
      <c r="C49" s="886"/>
      <c r="D49" s="886" t="s">
        <v>327</v>
      </c>
      <c r="E49" s="886"/>
      <c r="F49" s="887" t="s">
        <v>337</v>
      </c>
      <c r="G49" s="910"/>
      <c r="H49" s="887" t="s">
        <v>39</v>
      </c>
      <c r="I49" s="888"/>
      <c r="J49" s="887" t="s">
        <v>338</v>
      </c>
      <c r="K49" s="888"/>
      <c r="L49" s="889" t="s">
        <v>329</v>
      </c>
      <c r="M49" s="890"/>
      <c r="N49" s="764"/>
    </row>
    <row r="50" spans="8:8" ht="15.0" customHeight="1">
      <c r="B50" s="891"/>
      <c r="C50" s="892"/>
      <c r="D50" s="892"/>
      <c r="E50" s="892"/>
      <c r="F50" s="893"/>
      <c r="G50" s="894"/>
      <c r="H50" s="895" t="s">
        <v>330</v>
      </c>
      <c r="I50" s="896"/>
      <c r="J50" s="911"/>
      <c r="K50" s="912"/>
      <c r="L50" s="897"/>
      <c r="M50" s="898"/>
      <c r="N50" s="764"/>
    </row>
    <row r="51" spans="8:8" ht="15.0" customHeight="1">
      <c r="B51" s="899">
        <v>1.0</v>
      </c>
      <c r="C51" s="903">
        <f>'OTHER DEDUCTION'!F40</f>
        <v>0.0</v>
      </c>
      <c r="D51" s="904"/>
      <c r="E51" s="857"/>
      <c r="F51" s="913">
        <f>'OTHER DEDUCTION'!E40</f>
        <v>0.0</v>
      </c>
      <c r="G51" s="914"/>
      <c r="H51" s="915">
        <f>'OTHER DEDUCTION'!C40</f>
        <v>0.0</v>
      </c>
      <c r="I51" s="916"/>
      <c r="J51" s="917">
        <f>'OTHER DEDUCTION'!D40</f>
        <v>0.0</v>
      </c>
      <c r="K51" s="906"/>
      <c r="L51" s="903">
        <f>IF(C51&gt;0,"Matched",0)</f>
        <v>0.0</v>
      </c>
      <c r="M51" s="907"/>
      <c r="N51" s="764"/>
    </row>
    <row r="52" spans="8:8" ht="15.0" customHeight="1">
      <c r="B52" s="902">
        <v>2.0</v>
      </c>
      <c r="C52" s="903">
        <f>'OTHER DEDUCTION'!F41</f>
        <v>0.0</v>
      </c>
      <c r="D52" s="904"/>
      <c r="E52" s="857"/>
      <c r="F52" s="913">
        <f>'OTHER DEDUCTION'!E41</f>
        <v>0.0</v>
      </c>
      <c r="G52" s="914"/>
      <c r="H52" s="915">
        <f>'OTHER DEDUCTION'!C41</f>
        <v>0.0</v>
      </c>
      <c r="I52" s="916"/>
      <c r="J52" s="917">
        <f>'OTHER DEDUCTION'!D41</f>
        <v>0.0</v>
      </c>
      <c r="K52" s="906"/>
      <c r="L52" s="903">
        <f>IF(C52&gt;0,"Matched",0)</f>
        <v>0.0</v>
      </c>
      <c r="M52" s="907"/>
      <c r="N52" s="764"/>
    </row>
    <row r="53" spans="8:8" ht="15.0" customHeight="1">
      <c r="B53" s="902">
        <v>3.0</v>
      </c>
      <c r="C53" s="903">
        <f>'OTHER DEDUCTION'!F42</f>
        <v>0.0</v>
      </c>
      <c r="D53" s="904"/>
      <c r="E53" s="857"/>
      <c r="F53" s="913">
        <f>'OTHER DEDUCTION'!E42</f>
        <v>0.0</v>
      </c>
      <c r="G53" s="914"/>
      <c r="H53" s="915">
        <f>'OTHER DEDUCTION'!C42</f>
        <v>0.0</v>
      </c>
      <c r="I53" s="916"/>
      <c r="J53" s="917">
        <f>'OTHER DEDUCTION'!D42</f>
        <v>0.0</v>
      </c>
      <c r="K53" s="906"/>
      <c r="L53" s="903">
        <f>IF(C53&gt;0,"Matched",0)</f>
        <v>0.0</v>
      </c>
      <c r="M53" s="907"/>
      <c r="N53" s="764"/>
    </row>
    <row r="54" spans="8:8" ht="15.0" customHeight="1">
      <c r="B54" s="902">
        <v>4.0</v>
      </c>
      <c r="C54" s="903">
        <f>'OTHER DEDUCTION'!F43</f>
        <v>0.0</v>
      </c>
      <c r="D54" s="904"/>
      <c r="E54" s="857"/>
      <c r="F54" s="913">
        <f>'OTHER DEDUCTION'!E43</f>
        <v>0.0</v>
      </c>
      <c r="G54" s="914"/>
      <c r="H54" s="915">
        <f>'OTHER DEDUCTION'!C43</f>
        <v>0.0</v>
      </c>
      <c r="I54" s="916"/>
      <c r="J54" s="917">
        <f>'OTHER DEDUCTION'!D43</f>
        <v>0.0</v>
      </c>
      <c r="K54" s="906"/>
      <c r="L54" s="903">
        <f>IF(C54&gt;0,"Matched",0)</f>
        <v>0.0</v>
      </c>
      <c r="M54" s="907"/>
      <c r="N54" s="764"/>
    </row>
    <row r="55" spans="8:8" ht="15.0" customHeight="1">
      <c r="B55" s="918" t="s">
        <v>331</v>
      </c>
      <c r="C55" s="811">
        <f>SUM(C51:E54)</f>
        <v>0.0</v>
      </c>
      <c r="D55" s="780"/>
      <c r="E55" s="810"/>
      <c r="F55" s="913"/>
      <c r="G55" s="914"/>
      <c r="H55" s="903"/>
      <c r="I55" s="904"/>
      <c r="J55" s="904"/>
      <c r="K55" s="904"/>
      <c r="L55" s="904"/>
      <c r="M55" s="907"/>
      <c r="N55" s="764"/>
    </row>
    <row r="56" spans="8:8" ht="15.0" customHeight="1">
      <c r="B56" s="919" t="s">
        <v>339</v>
      </c>
      <c r="C56" s="920"/>
      <c r="D56" s="920"/>
      <c r="E56" s="920"/>
      <c r="F56" s="920"/>
      <c r="G56" s="920"/>
      <c r="H56" s="920"/>
      <c r="I56" s="920"/>
      <c r="J56" s="920"/>
      <c r="K56" s="920"/>
      <c r="L56" s="920"/>
      <c r="M56" s="921"/>
      <c r="N56" s="764"/>
    </row>
    <row r="57" spans="8:8" ht="15.0" customHeight="1">
      <c r="B57" s="922" t="s">
        <v>340</v>
      </c>
      <c r="C57" s="923" t="str">
        <f>'MASTER DATA SHEET'!E8</f>
        <v>ABCD</v>
      </c>
      <c r="D57" s="923"/>
      <c r="E57" s="923"/>
      <c r="F57" s="818" t="s">
        <v>341</v>
      </c>
      <c r="G57" s="924"/>
      <c r="H57" s="925"/>
      <c r="I57" s="926"/>
      <c r="J57" s="926"/>
      <c r="K57" s="818" t="s">
        <v>342</v>
      </c>
      <c r="L57" s="924"/>
      <c r="M57" s="927"/>
      <c r="N57" s="764"/>
    </row>
    <row r="58" spans="8:8" ht="15.0" customHeight="1">
      <c r="B58" s="928" t="s">
        <v>442</v>
      </c>
      <c r="C58" s="929"/>
      <c r="D58" s="929"/>
      <c r="E58" s="826" t="s">
        <v>343</v>
      </c>
      <c r="F58" s="826"/>
      <c r="G58" s="930"/>
      <c r="H58" s="930"/>
      <c r="I58" s="930"/>
      <c r="J58" s="931">
        <f>'TAX (OLD REGIME)'!P64</f>
        <v>99000.0</v>
      </c>
      <c r="K58" s="932" t="s">
        <v>344</v>
      </c>
      <c r="L58" s="930"/>
      <c r="M58" s="933"/>
      <c r="N58" s="764"/>
    </row>
    <row r="59" spans="8:8" ht="15.0" customHeight="1">
      <c r="B59" s="934"/>
      <c r="C59" s="935"/>
      <c r="D59" s="935"/>
      <c r="E59" s="935"/>
      <c r="F59" s="935"/>
      <c r="G59" s="936" t="s">
        <v>345</v>
      </c>
      <c r="H59" s="937"/>
      <c r="I59" s="937"/>
      <c r="J59" s="937"/>
      <c r="K59" s="937"/>
      <c r="L59" s="937"/>
      <c r="M59" s="938"/>
      <c r="N59" s="764"/>
    </row>
    <row r="60" spans="8:8" ht="15.0" customHeight="1">
      <c r="B60" s="939" t="s">
        <v>346</v>
      </c>
      <c r="C60" s="940"/>
      <c r="D60" s="940"/>
      <c r="E60" s="940"/>
      <c r="F60" s="940"/>
      <c r="G60" s="940"/>
      <c r="H60" s="940"/>
      <c r="I60" s="940"/>
      <c r="J60" s="940"/>
      <c r="K60" s="940"/>
      <c r="L60" s="940"/>
      <c r="M60" s="941"/>
      <c r="N60" s="764"/>
    </row>
    <row r="61" spans="8:8" ht="15.0" customHeight="1">
      <c r="B61" s="942"/>
      <c r="C61" s="943"/>
      <c r="D61" s="943"/>
      <c r="E61" s="943"/>
      <c r="F61" s="943"/>
      <c r="G61" s="943"/>
      <c r="H61" s="943"/>
      <c r="I61" s="943"/>
      <c r="J61" s="943"/>
      <c r="K61" s="943"/>
      <c r="L61" s="943"/>
      <c r="M61" s="944"/>
      <c r="N61" s="764"/>
    </row>
    <row r="62" spans="8:8" ht="11.25" customHeight="1">
      <c r="B62" s="945" t="s">
        <v>347</v>
      </c>
      <c r="C62" s="946"/>
      <c r="D62" s="947"/>
      <c r="E62" s="947"/>
      <c r="F62" s="947"/>
      <c r="G62" s="947"/>
      <c r="H62" s="947"/>
      <c r="I62" s="947"/>
      <c r="J62" s="947"/>
      <c r="K62" s="947"/>
      <c r="L62" s="947"/>
      <c r="M62" s="948"/>
      <c r="N62" s="764"/>
    </row>
    <row r="63" spans="8:8">
      <c r="B63" s="949" t="s">
        <v>348</v>
      </c>
      <c r="C63" s="950"/>
      <c r="D63" s="950"/>
      <c r="E63" s="950"/>
      <c r="F63" s="950"/>
      <c r="G63" s="950"/>
      <c r="H63" s="950"/>
      <c r="I63" s="950"/>
      <c r="J63" s="950"/>
      <c r="K63" s="950"/>
      <c r="L63" s="950"/>
      <c r="M63" s="951"/>
      <c r="N63" s="764"/>
    </row>
    <row r="64" spans="8:8">
      <c r="B64" s="949" t="s">
        <v>349</v>
      </c>
      <c r="C64" s="950"/>
      <c r="D64" s="950"/>
      <c r="E64" s="950"/>
      <c r="F64" s="950"/>
      <c r="G64" s="950"/>
      <c r="H64" s="950"/>
      <c r="I64" s="950"/>
      <c r="J64" s="950"/>
      <c r="K64" s="950"/>
      <c r="L64" s="950"/>
      <c r="M64" s="951"/>
      <c r="N64" s="764"/>
    </row>
    <row r="65" spans="8:8">
      <c r="B65" s="949" t="s">
        <v>350</v>
      </c>
      <c r="C65" s="950"/>
      <c r="D65" s="950"/>
      <c r="E65" s="950"/>
      <c r="F65" s="950"/>
      <c r="G65" s="950"/>
      <c r="H65" s="950"/>
      <c r="I65" s="950"/>
      <c r="J65" s="950"/>
      <c r="K65" s="950"/>
      <c r="L65" s="950"/>
      <c r="M65" s="951"/>
      <c r="N65" s="764"/>
    </row>
    <row r="66" spans="8:8">
      <c r="B66" s="949" t="s">
        <v>351</v>
      </c>
      <c r="C66" s="950"/>
      <c r="D66" s="950"/>
      <c r="E66" s="950"/>
      <c r="F66" s="950"/>
      <c r="G66" s="950"/>
      <c r="H66" s="950"/>
      <c r="I66" s="950"/>
      <c r="J66" s="950"/>
      <c r="K66" s="950"/>
      <c r="L66" s="950"/>
      <c r="M66" s="951"/>
      <c r="N66" s="764"/>
    </row>
    <row r="67" spans="8:8">
      <c r="B67" s="949" t="s">
        <v>352</v>
      </c>
      <c r="C67" s="950"/>
      <c r="D67" s="950"/>
      <c r="E67" s="950"/>
      <c r="F67" s="950"/>
      <c r="G67" s="950"/>
      <c r="H67" s="950"/>
      <c r="I67" s="952"/>
      <c r="J67" s="952"/>
      <c r="K67" s="952"/>
      <c r="L67" s="952"/>
      <c r="M67" s="953"/>
      <c r="N67" s="764"/>
    </row>
    <row r="68" spans="8:8">
      <c r="B68" s="949" t="s">
        <v>353</v>
      </c>
      <c r="C68" s="950"/>
      <c r="D68" s="950"/>
      <c r="E68" s="950"/>
      <c r="F68" s="950"/>
      <c r="G68" s="950"/>
      <c r="H68" s="950"/>
      <c r="I68" s="950"/>
      <c r="J68" s="950"/>
      <c r="K68" s="950"/>
      <c r="L68" s="950"/>
      <c r="M68" s="951"/>
      <c r="N68" s="764"/>
    </row>
    <row r="69" spans="8:8">
      <c r="B69" s="949" t="s">
        <v>354</v>
      </c>
      <c r="C69" s="950"/>
      <c r="D69" s="950"/>
      <c r="E69" s="950"/>
      <c r="F69" s="950"/>
      <c r="G69" s="950"/>
      <c r="H69" s="950"/>
      <c r="I69" s="950"/>
      <c r="J69" s="950"/>
      <c r="K69" s="950"/>
      <c r="L69" s="950"/>
      <c r="M69" s="951"/>
      <c r="N69" s="764"/>
    </row>
    <row r="70" spans="8:8">
      <c r="B70" s="949" t="s">
        <v>355</v>
      </c>
      <c r="C70" s="950"/>
      <c r="D70" s="950"/>
      <c r="E70" s="950"/>
      <c r="F70" s="950"/>
      <c r="G70" s="950"/>
      <c r="H70" s="950"/>
      <c r="I70" s="950"/>
      <c r="J70" s="950"/>
      <c r="K70" s="950"/>
      <c r="L70" s="950"/>
      <c r="M70" s="951"/>
      <c r="N70" s="764"/>
    </row>
    <row r="71" spans="8:8">
      <c r="B71" s="949" t="s">
        <v>356</v>
      </c>
      <c r="C71" s="950"/>
      <c r="D71" s="950"/>
      <c r="E71" s="950"/>
      <c r="F71" s="950"/>
      <c r="G71" s="950"/>
      <c r="H71" s="950"/>
      <c r="I71" s="950"/>
      <c r="J71" s="950"/>
      <c r="K71" s="950"/>
      <c r="L71" s="950"/>
      <c r="M71" s="951"/>
      <c r="N71" s="764"/>
    </row>
    <row r="72" spans="8:8">
      <c r="B72" s="939" t="s">
        <v>357</v>
      </c>
      <c r="C72" s="940"/>
      <c r="D72" s="940"/>
      <c r="E72" s="940"/>
      <c r="F72" s="940"/>
      <c r="G72" s="940"/>
      <c r="H72" s="940"/>
      <c r="I72" s="940"/>
      <c r="J72" s="940"/>
      <c r="K72" s="940"/>
      <c r="L72" s="940"/>
      <c r="M72" s="941"/>
      <c r="N72" s="764"/>
    </row>
    <row r="73" spans="8:8">
      <c r="B73" s="939" t="s">
        <v>358</v>
      </c>
      <c r="C73" s="940"/>
      <c r="D73" s="940"/>
      <c r="E73" s="940"/>
      <c r="F73" s="940"/>
      <c r="G73" s="826"/>
      <c r="H73" s="826"/>
      <c r="I73" s="826"/>
      <c r="J73" s="826"/>
      <c r="K73" s="826"/>
      <c r="L73" s="826"/>
      <c r="M73" s="954"/>
      <c r="N73" s="764"/>
    </row>
    <row r="74" spans="8:8">
      <c r="B74" s="955" t="s">
        <v>359</v>
      </c>
      <c r="C74" s="826"/>
      <c r="D74" s="826"/>
      <c r="E74" s="826"/>
      <c r="F74" s="826"/>
      <c r="G74" s="952"/>
      <c r="H74" s="952"/>
      <c r="I74" s="952"/>
      <c r="J74" s="952"/>
      <c r="K74" s="952"/>
      <c r="L74" s="952"/>
      <c r="M74" s="953"/>
      <c r="N74" s="764"/>
    </row>
    <row r="75" spans="8:8" ht="3.75" customHeight="1">
      <c r="B75" s="956"/>
      <c r="C75" s="957"/>
      <c r="D75" s="957"/>
      <c r="E75" s="957"/>
      <c r="F75" s="957"/>
      <c r="G75" s="957"/>
      <c r="H75" s="957"/>
      <c r="I75" s="957"/>
      <c r="J75" s="957"/>
      <c r="K75" s="957"/>
      <c r="L75" s="957"/>
      <c r="M75" s="958"/>
      <c r="N75" s="764"/>
    </row>
    <row r="76" spans="8:8">
      <c r="B76" s="959" t="s">
        <v>360</v>
      </c>
      <c r="C76" s="960"/>
      <c r="D76" s="960"/>
      <c r="E76" s="960"/>
      <c r="F76" s="960"/>
      <c r="G76" s="960"/>
      <c r="H76" s="960"/>
      <c r="I76" s="960"/>
      <c r="J76" s="960"/>
      <c r="K76" s="960"/>
      <c r="L76" s="960"/>
      <c r="M76" s="961"/>
      <c r="N76" s="764"/>
    </row>
    <row r="77" spans="8:8" ht="15.75">
      <c r="B77" s="962" t="s">
        <v>361</v>
      </c>
      <c r="C77" s="963"/>
      <c r="D77" s="963"/>
      <c r="E77" s="963"/>
      <c r="F77" s="963"/>
      <c r="G77" s="963"/>
      <c r="H77" s="963"/>
      <c r="I77" s="963"/>
      <c r="J77" s="963"/>
      <c r="K77" s="963"/>
      <c r="L77" s="963"/>
      <c r="M77" s="964"/>
      <c r="N77" s="764"/>
    </row>
    <row r="78" spans="8:8" ht="13.5" customHeight="1">
      <c r="B78" s="965" t="s">
        <v>362</v>
      </c>
      <c r="C78" s="966"/>
      <c r="D78" s="967"/>
      <c r="E78" s="967"/>
      <c r="F78" s="967"/>
      <c r="G78" s="967"/>
      <c r="H78" s="967"/>
      <c r="I78" s="967"/>
      <c r="J78" s="968"/>
      <c r="K78" s="969"/>
      <c r="L78" s="970"/>
      <c r="M78" s="971"/>
      <c r="N78" s="764"/>
    </row>
    <row r="79" spans="8:8" ht="13.5" customHeight="1">
      <c r="B79" s="972"/>
      <c r="C79" s="936" t="s">
        <v>363</v>
      </c>
      <c r="D79" s="936"/>
      <c r="E79" s="936"/>
      <c r="F79" s="936"/>
      <c r="G79" s="936"/>
      <c r="H79" s="967"/>
      <c r="I79" s="967"/>
      <c r="J79" s="973">
        <f>'TAX (NEW REGIME)'!P4</f>
        <v>1512112.0</v>
      </c>
      <c r="K79" s="968"/>
      <c r="L79" s="970"/>
      <c r="M79" s="971"/>
      <c r="N79" s="764"/>
    </row>
    <row r="80" spans="8:8" ht="13.5" customHeight="1">
      <c r="B80" s="972"/>
      <c r="C80" s="936" t="s">
        <v>364</v>
      </c>
      <c r="D80" s="936"/>
      <c r="E80" s="936"/>
      <c r="F80" s="936"/>
      <c r="G80" s="936"/>
      <c r="H80" s="967"/>
      <c r="I80" s="967"/>
      <c r="J80" s="973"/>
      <c r="K80" s="968"/>
      <c r="L80" s="970"/>
      <c r="M80" s="971"/>
      <c r="N80" s="764"/>
    </row>
    <row r="81" spans="8:8" ht="13.5" customHeight="1">
      <c r="B81" s="972"/>
      <c r="C81" s="936" t="s">
        <v>365</v>
      </c>
      <c r="D81" s="936"/>
      <c r="E81" s="936"/>
      <c r="F81" s="936"/>
      <c r="G81" s="936"/>
      <c r="H81" s="967"/>
      <c r="I81" s="967"/>
      <c r="J81" s="968"/>
      <c r="K81" s="968"/>
      <c r="L81" s="970"/>
      <c r="M81" s="971"/>
      <c r="N81" s="764"/>
    </row>
    <row r="82" spans="8:8" ht="13.5" customHeight="1">
      <c r="B82" s="972"/>
      <c r="C82" s="936" t="s">
        <v>366</v>
      </c>
      <c r="D82" s="936"/>
      <c r="E82" s="936"/>
      <c r="F82" s="936"/>
      <c r="G82" s="936"/>
      <c r="H82" s="967"/>
      <c r="I82" s="967"/>
      <c r="J82" s="973"/>
      <c r="K82" s="968"/>
      <c r="L82" s="970"/>
      <c r="M82" s="971"/>
      <c r="N82" s="764"/>
    </row>
    <row r="83" spans="8:8" ht="13.5" customHeight="1">
      <c r="B83" s="972"/>
      <c r="C83" s="936" t="s">
        <v>365</v>
      </c>
      <c r="D83" s="936"/>
      <c r="E83" s="936"/>
      <c r="F83" s="936"/>
      <c r="G83" s="936"/>
      <c r="H83" s="967"/>
      <c r="I83" s="967"/>
      <c r="J83" s="968"/>
      <c r="K83" s="968"/>
      <c r="L83" s="970"/>
      <c r="M83" s="971"/>
      <c r="N83" s="764"/>
    </row>
    <row r="84" spans="8:8" ht="13.5" customHeight="1">
      <c r="B84" s="965"/>
      <c r="C84" s="974" t="s">
        <v>367</v>
      </c>
      <c r="D84" s="974"/>
      <c r="E84" s="974"/>
      <c r="F84" s="974"/>
      <c r="G84" s="974"/>
      <c r="H84" s="975"/>
      <c r="I84" s="975"/>
      <c r="J84" s="976"/>
      <c r="K84" s="977">
        <f>+J83+J81+J79</f>
        <v>1512112.0</v>
      </c>
      <c r="L84" s="978"/>
      <c r="M84" s="971"/>
      <c r="N84" s="764"/>
    </row>
    <row r="85" spans="8:8" ht="13.5" customHeight="1">
      <c r="B85" s="972"/>
      <c r="C85" s="967"/>
      <c r="D85" s="967"/>
      <c r="E85" s="967"/>
      <c r="F85" s="967"/>
      <c r="G85" s="967"/>
      <c r="H85" s="967"/>
      <c r="I85" s="967"/>
      <c r="J85" s="968"/>
      <c r="K85" s="968"/>
      <c r="L85" s="970"/>
      <c r="M85" s="971"/>
      <c r="N85" s="764"/>
    </row>
    <row r="86" spans="8:8" ht="13.5" customHeight="1">
      <c r="B86" s="965" t="s">
        <v>368</v>
      </c>
      <c r="C86" s="967"/>
      <c r="D86" s="967"/>
      <c r="E86" s="967"/>
      <c r="F86" s="967"/>
      <c r="G86" s="967"/>
      <c r="H86" s="967"/>
      <c r="I86" s="967"/>
      <c r="J86" s="968"/>
      <c r="K86" s="968"/>
      <c r="L86" s="970"/>
      <c r="M86" s="971"/>
      <c r="N86" s="764"/>
    </row>
    <row r="87" spans="8:8" ht="13.5" customHeight="1">
      <c r="B87" s="979" t="s">
        <v>369</v>
      </c>
      <c r="C87" s="980"/>
      <c r="D87" s="980"/>
      <c r="E87" s="980"/>
      <c r="F87" s="980"/>
      <c r="G87" s="980"/>
      <c r="H87" s="980"/>
      <c r="I87" s="967"/>
      <c r="J87" s="973">
        <v>0.0</v>
      </c>
      <c r="K87" s="968"/>
      <c r="L87" s="970"/>
      <c r="M87" s="971"/>
      <c r="N87" s="764"/>
    </row>
    <row r="88" spans="8:8" ht="13.5" customHeight="1">
      <c r="B88" s="979" t="s">
        <v>370</v>
      </c>
      <c r="C88" s="980"/>
      <c r="D88" s="980"/>
      <c r="E88" s="980"/>
      <c r="F88" s="980"/>
      <c r="G88" s="980"/>
      <c r="H88" s="980"/>
      <c r="I88" s="967"/>
      <c r="J88" s="981"/>
      <c r="K88" s="968"/>
      <c r="L88" s="970"/>
      <c r="M88" s="971"/>
      <c r="N88" s="764"/>
    </row>
    <row r="89" spans="8:8" ht="13.5" customHeight="1">
      <c r="B89" s="982" t="s">
        <v>371</v>
      </c>
      <c r="C89" s="983"/>
      <c r="D89" s="983"/>
      <c r="E89" s="983"/>
      <c r="F89" s="983"/>
      <c r="G89" s="983"/>
      <c r="H89" s="983"/>
      <c r="I89" s="983"/>
      <c r="J89" s="984"/>
      <c r="K89" s="985">
        <f>+K84-J86-J87-J88</f>
        <v>1512112.0</v>
      </c>
      <c r="L89" s="986"/>
      <c r="M89" s="971"/>
      <c r="N89" s="764"/>
    </row>
    <row r="90" spans="8:8" ht="13.5" customHeight="1">
      <c r="B90" s="972"/>
      <c r="C90" s="967"/>
      <c r="D90" s="967"/>
      <c r="E90" s="967"/>
      <c r="F90" s="967"/>
      <c r="G90" s="967"/>
      <c r="H90" s="967"/>
      <c r="I90" s="967"/>
      <c r="J90" s="968"/>
      <c r="K90" s="968"/>
      <c r="L90" s="970"/>
      <c r="M90" s="971"/>
      <c r="N90" s="764"/>
    </row>
    <row r="91" spans="8:8" ht="13.5" customHeight="1">
      <c r="B91" s="965" t="s">
        <v>372</v>
      </c>
      <c r="C91" s="967"/>
      <c r="D91" s="967"/>
      <c r="E91" s="967"/>
      <c r="F91" s="967"/>
      <c r="G91" s="967"/>
      <c r="H91" s="967"/>
      <c r="I91" s="967"/>
      <c r="J91" s="968"/>
      <c r="K91" s="968"/>
      <c r="L91" s="970"/>
      <c r="M91" s="971"/>
      <c r="N91" s="764"/>
      <c r="R91" s="987">
        <f>IF('TAX (OLD REGIME)'!W1="TAX(NEW REGIEM)",0,'TAX (OLD REGIME)'!M7)</f>
        <v>50000.0</v>
      </c>
    </row>
    <row r="92" spans="8:8" ht="13.5" customHeight="1">
      <c r="B92" s="972"/>
      <c r="C92" s="936" t="s">
        <v>373</v>
      </c>
      <c r="D92" s="936"/>
      <c r="E92" s="936"/>
      <c r="F92" s="936"/>
      <c r="G92" s="936" t="s">
        <v>374</v>
      </c>
      <c r="H92" s="988">
        <f>'TAX (NEW REGIME)'!M7</f>
        <v>75000.0</v>
      </c>
      <c r="I92" s="989"/>
      <c r="J92" s="968"/>
      <c r="K92" s="968"/>
      <c r="L92" s="970"/>
      <c r="M92" s="971"/>
      <c r="N92" s="764"/>
      <c r="R92" s="987">
        <f>IF('TAX (OLD REGIME)'!W2="TAX(NEW REGIEM)",0,'TAX (OLD REGIME)'!M8+'TAX (OLD REGIME)'!M9)</f>
        <v>0.0</v>
      </c>
    </row>
    <row r="93" spans="8:8" ht="13.5" customHeight="1">
      <c r="B93" s="972"/>
      <c r="C93" s="936" t="s">
        <v>375</v>
      </c>
      <c r="D93" s="936"/>
      <c r="E93" s="936"/>
      <c r="F93" s="936"/>
      <c r="G93" s="936" t="s">
        <v>374</v>
      </c>
      <c r="H93" s="988">
        <f>'TAX (OLD REGIME)'!M8</f>
        <v>0.0</v>
      </c>
      <c r="I93" s="936"/>
      <c r="J93" s="968"/>
      <c r="K93" s="968"/>
      <c r="L93" s="970"/>
      <c r="M93" s="971"/>
      <c r="N93" s="764"/>
    </row>
    <row r="94" spans="8:8" ht="13.5" customHeight="1">
      <c r="B94" s="972"/>
      <c r="C94" s="936" t="s">
        <v>376</v>
      </c>
      <c r="D94" s="936"/>
      <c r="E94" s="936"/>
      <c r="F94" s="936"/>
      <c r="G94" s="936" t="s">
        <v>374</v>
      </c>
      <c r="H94" s="988">
        <f>'TAX (OLD REGIME)'!M9</f>
        <v>0.0</v>
      </c>
      <c r="I94" s="936"/>
      <c r="J94" s="968"/>
      <c r="K94" s="968"/>
      <c r="L94" s="970"/>
      <c r="M94" s="971"/>
      <c r="N94" s="764"/>
    </row>
    <row r="95" spans="8:8" ht="13.5" customHeight="1">
      <c r="B95" s="965" t="s">
        <v>377</v>
      </c>
      <c r="C95" s="967"/>
      <c r="D95" s="967"/>
      <c r="E95" s="967"/>
      <c r="F95" s="967"/>
      <c r="G95" s="967"/>
      <c r="H95" s="967"/>
      <c r="I95" s="967"/>
      <c r="J95" s="990">
        <f>+H92+H93+H94</f>
        <v>75000.0</v>
      </c>
      <c r="K95" s="968"/>
      <c r="L95" s="970"/>
      <c r="M95" s="971"/>
      <c r="N95" s="764"/>
    </row>
    <row r="96" spans="8:8" ht="13.5" customHeight="1">
      <c r="B96" s="972"/>
      <c r="C96" s="967"/>
      <c r="D96" s="967"/>
      <c r="E96" s="967"/>
      <c r="F96" s="967"/>
      <c r="G96" s="967"/>
      <c r="H96" s="967"/>
      <c r="I96" s="967"/>
      <c r="J96" s="968"/>
      <c r="K96" s="968"/>
      <c r="L96" s="970"/>
      <c r="M96" s="971"/>
      <c r="N96" s="764"/>
    </row>
    <row r="97" spans="8:8" ht="13.5" customHeight="1">
      <c r="B97" s="965" t="s">
        <v>378</v>
      </c>
      <c r="C97" s="975"/>
      <c r="D97" s="975"/>
      <c r="E97" s="975"/>
      <c r="F97" s="975"/>
      <c r="G97" s="975"/>
      <c r="H97" s="975"/>
      <c r="I97" s="975"/>
      <c r="J97" s="976"/>
      <c r="K97" s="976"/>
      <c r="L97" s="991"/>
      <c r="M97" s="992">
        <f>IF(AND((K89&gt;50000)),(K89-J95),0)</f>
        <v>1437112.0</v>
      </c>
      <c r="N97" s="764"/>
    </row>
    <row r="98" spans="8:8" ht="13.5" customHeight="1">
      <c r="B98" s="965"/>
      <c r="C98" s="967"/>
      <c r="D98" s="967"/>
      <c r="E98" s="967"/>
      <c r="F98" s="967"/>
      <c r="G98" s="967"/>
      <c r="H98" s="967"/>
      <c r="I98" s="967"/>
      <c r="J98" s="968"/>
      <c r="K98" s="968"/>
      <c r="L98" s="970"/>
      <c r="M98" s="993"/>
      <c r="N98" s="764"/>
    </row>
    <row r="99" spans="8:8" ht="13.5" customHeight="1">
      <c r="B99" s="965" t="s">
        <v>379</v>
      </c>
      <c r="C99" s="967"/>
      <c r="D99" s="967"/>
      <c r="E99" s="967"/>
      <c r="F99" s="967"/>
      <c r="G99" s="967"/>
      <c r="H99" s="967"/>
      <c r="I99" s="967"/>
      <c r="J99" s="968"/>
      <c r="K99" s="968"/>
      <c r="L99" s="970"/>
      <c r="M99" s="994">
        <f>'TAX (OLD REGIME)'!M12</f>
        <v>0.0</v>
      </c>
      <c r="N99" s="764"/>
    </row>
    <row r="100" spans="8:8" ht="13.5" customHeight="1">
      <c r="B100" s="965"/>
      <c r="C100" s="967" t="s">
        <v>380</v>
      </c>
      <c r="D100" s="967"/>
      <c r="E100" s="967"/>
      <c r="F100" s="967"/>
      <c r="G100" s="967"/>
      <c r="H100" s="967"/>
      <c r="I100" s="967"/>
      <c r="J100" s="968"/>
      <c r="K100" s="968"/>
      <c r="L100" s="970"/>
      <c r="M100" s="994" t="str">
        <f>'[2]Old Regime Calc. Report'!L13</f>
        <v/>
      </c>
      <c r="N100" s="764"/>
    </row>
    <row r="101" spans="8:8" ht="3.75" customHeight="1">
      <c r="B101" s="965"/>
      <c r="C101" s="967"/>
      <c r="D101" s="967"/>
      <c r="E101" s="967"/>
      <c r="F101" s="967"/>
      <c r="G101" s="967"/>
      <c r="H101" s="967"/>
      <c r="I101" s="967"/>
      <c r="J101" s="968"/>
      <c r="K101" s="968"/>
      <c r="L101" s="970"/>
      <c r="M101" s="993"/>
      <c r="N101" s="764"/>
    </row>
    <row r="102" spans="8:8" ht="15.0" customHeight="1">
      <c r="B102" s="982" t="s">
        <v>381</v>
      </c>
      <c r="C102" s="983"/>
      <c r="D102" s="983"/>
      <c r="E102" s="983"/>
      <c r="F102" s="983"/>
      <c r="G102" s="983"/>
      <c r="H102" s="983"/>
      <c r="I102" s="983"/>
      <c r="J102" s="984"/>
      <c r="K102" s="995"/>
      <c r="L102" s="996"/>
      <c r="M102" s="997" t="e">
        <f>+M97+M99-M100</f>
        <v>#VALUE!</v>
      </c>
      <c r="N102" s="764"/>
    </row>
    <row r="103" spans="8:8" ht="15.0" customHeight="1">
      <c r="B103" s="998"/>
      <c r="C103" s="999"/>
      <c r="D103" s="999"/>
      <c r="E103" s="999"/>
      <c r="F103" s="999"/>
      <c r="G103" s="999"/>
      <c r="H103" s="1000"/>
      <c r="I103" s="1001"/>
      <c r="J103" s="999"/>
      <c r="K103" s="970"/>
      <c r="L103" s="967"/>
      <c r="M103" s="1002"/>
      <c r="N103" s="764"/>
    </row>
    <row r="104" spans="8:8" ht="15.0" customHeight="1">
      <c r="B104" s="1003" t="s">
        <v>382</v>
      </c>
      <c r="C104" s="1004"/>
      <c r="D104" s="1004"/>
      <c r="E104" s="1004"/>
      <c r="F104" s="967"/>
      <c r="G104" s="970"/>
      <c r="H104" s="968"/>
      <c r="I104" s="970"/>
      <c r="J104" s="967"/>
      <c r="K104" s="970"/>
      <c r="L104" s="967"/>
      <c r="M104" s="1002"/>
      <c r="N104" s="764"/>
    </row>
    <row r="105" spans="8:8" ht="13.5" customHeight="1">
      <c r="B105" s="1005" t="s">
        <v>383</v>
      </c>
      <c r="C105" s="967" t="s">
        <v>384</v>
      </c>
      <c r="D105" s="967"/>
      <c r="E105" s="967"/>
      <c r="F105" s="967"/>
      <c r="G105" s="991"/>
      <c r="H105" s="976" t="s">
        <v>385</v>
      </c>
      <c r="I105" s="975"/>
      <c r="J105" s="1006" t="s">
        <v>386</v>
      </c>
      <c r="K105" s="1007"/>
      <c r="L105" s="976" t="s">
        <v>387</v>
      </c>
      <c r="M105" s="1008" t="s">
        <v>388</v>
      </c>
      <c r="N105" s="764"/>
    </row>
    <row r="106" spans="8:8" ht="13.5" customHeight="1">
      <c r="B106" s="1009" t="s">
        <v>389</v>
      </c>
      <c r="C106" s="967" t="s">
        <v>390</v>
      </c>
      <c r="D106" s="967"/>
      <c r="E106" s="967"/>
      <c r="F106" s="967"/>
      <c r="G106" s="970"/>
      <c r="H106" s="1010"/>
      <c r="I106" s="1011"/>
      <c r="J106" s="1010"/>
      <c r="K106" s="1011"/>
      <c r="L106" s="1010"/>
      <c r="M106" s="1012"/>
      <c r="N106" s="764"/>
    </row>
    <row r="107" spans="8:8" ht="13.5" customHeight="1">
      <c r="B107" s="1013">
        <v>1.0</v>
      </c>
      <c r="C107" s="967" t="s">
        <v>13</v>
      </c>
      <c r="D107" s="1014" t="s">
        <v>391</v>
      </c>
      <c r="E107" s="1015"/>
      <c r="F107" s="1015"/>
      <c r="G107" s="970" t="s">
        <v>374</v>
      </c>
      <c r="H107" s="1016">
        <v>0.0</v>
      </c>
      <c r="I107" s="1017"/>
      <c r="J107" s="1016">
        <f t="shared" si="0" ref="J107:J112">+H107</f>
        <v>0.0</v>
      </c>
      <c r="K107" s="1017"/>
      <c r="L107" s="1016">
        <f t="shared" si="1" ref="L107:L112">J107</f>
        <v>0.0</v>
      </c>
      <c r="M107" s="1018"/>
      <c r="N107" s="764"/>
    </row>
    <row r="108" spans="8:8" ht="13.5" customHeight="1">
      <c r="B108" s="1013">
        <v>2.0</v>
      </c>
      <c r="C108" s="967" t="s">
        <v>15</v>
      </c>
      <c r="D108" s="1014" t="s">
        <v>391</v>
      </c>
      <c r="E108" s="1015"/>
      <c r="F108" s="1015"/>
      <c r="G108" s="970" t="s">
        <v>374</v>
      </c>
      <c r="H108" s="1016">
        <v>0.0</v>
      </c>
      <c r="I108" s="1017"/>
      <c r="J108" s="1016">
        <f t="shared" si="0"/>
        <v>0.0</v>
      </c>
      <c r="K108" s="1017"/>
      <c r="L108" s="1016">
        <f t="shared" si="1"/>
        <v>0.0</v>
      </c>
      <c r="M108" s="1018"/>
      <c r="N108" s="764"/>
    </row>
    <row r="109" spans="8:8" ht="13.5" customHeight="1">
      <c r="B109" s="1013">
        <v>3.0</v>
      </c>
      <c r="C109" s="967" t="s">
        <v>17</v>
      </c>
      <c r="D109" s="1014" t="s">
        <v>391</v>
      </c>
      <c r="E109" s="1015"/>
      <c r="F109" s="1015"/>
      <c r="G109" s="970" t="s">
        <v>374</v>
      </c>
      <c r="H109" s="1016">
        <v>0.0</v>
      </c>
      <c r="I109" s="1017"/>
      <c r="J109" s="1016">
        <f t="shared" si="0"/>
        <v>0.0</v>
      </c>
      <c r="K109" s="1017"/>
      <c r="L109" s="1016">
        <f t="shared" si="1"/>
        <v>0.0</v>
      </c>
      <c r="M109" s="1018"/>
      <c r="N109" s="764"/>
    </row>
    <row r="110" spans="8:8" ht="13.5" customHeight="1">
      <c r="B110" s="1013">
        <v>4.0</v>
      </c>
      <c r="C110" s="967" t="s">
        <v>19</v>
      </c>
      <c r="D110" s="1014" t="s">
        <v>391</v>
      </c>
      <c r="E110" s="1015"/>
      <c r="F110" s="1015"/>
      <c r="G110" s="970" t="s">
        <v>374</v>
      </c>
      <c r="H110" s="1016" t="str">
        <f>_xlfn.IFERROR(VLOOKUP(B110,$Q$133:$S$151,3,0),"0")</f>
        <v>0</v>
      </c>
      <c r="I110" s="1017"/>
      <c r="J110" s="1016" t="str">
        <f t="shared" si="0"/>
        <v>0</v>
      </c>
      <c r="K110" s="1017"/>
      <c r="L110" s="1016" t="str">
        <f t="shared" si="1"/>
        <v>0</v>
      </c>
      <c r="M110" s="1018"/>
      <c r="N110" s="764"/>
    </row>
    <row r="111" spans="8:8" ht="13.5" customHeight="1">
      <c r="B111" s="1013">
        <v>5.0</v>
      </c>
      <c r="C111" s="967" t="s">
        <v>21</v>
      </c>
      <c r="D111" s="1014" t="s">
        <v>391</v>
      </c>
      <c r="E111" s="1015"/>
      <c r="F111" s="1015"/>
      <c r="G111" s="970" t="s">
        <v>374</v>
      </c>
      <c r="H111" s="1016" t="str">
        <f>_xlfn.IFERROR(VLOOKUP(B111,$Q$133:$S$151,3,0),"0")</f>
        <v>0</v>
      </c>
      <c r="I111" s="1017"/>
      <c r="J111" s="1016" t="str">
        <f t="shared" si="0"/>
        <v>0</v>
      </c>
      <c r="K111" s="1017"/>
      <c r="L111" s="1016" t="str">
        <f t="shared" si="1"/>
        <v>0</v>
      </c>
      <c r="M111" s="1018"/>
      <c r="N111" s="764"/>
    </row>
    <row r="112" spans="8:8" ht="13.5" customHeight="1">
      <c r="B112" s="1013">
        <v>6.0</v>
      </c>
      <c r="C112" s="967" t="s">
        <v>23</v>
      </c>
      <c r="D112" s="1014" t="s">
        <v>391</v>
      </c>
      <c r="E112" s="1015"/>
      <c r="F112" s="1015"/>
      <c r="G112" s="970" t="s">
        <v>374</v>
      </c>
      <c r="H112" s="1016" t="str">
        <f>_xlfn.IFERROR(VLOOKUP(B112,$Q$133:$S$151,3,0),"0")</f>
        <v>0</v>
      </c>
      <c r="I112" s="1017"/>
      <c r="J112" s="1016" t="str">
        <f t="shared" si="0"/>
        <v>0</v>
      </c>
      <c r="K112" s="1017"/>
      <c r="L112" s="1016" t="str">
        <f t="shared" si="1"/>
        <v>0</v>
      </c>
      <c r="M112" s="1018"/>
      <c r="N112" s="764"/>
    </row>
    <row r="113" spans="8:8" ht="15.0" customHeight="1">
      <c r="B113" s="1019" t="s">
        <v>392</v>
      </c>
      <c r="C113" s="1020"/>
      <c r="D113" s="1020"/>
      <c r="E113" s="1020"/>
      <c r="F113" s="1020"/>
      <c r="G113" s="1021"/>
      <c r="H113" s="1022"/>
      <c r="I113" s="1023"/>
      <c r="J113" s="1024"/>
      <c r="K113" s="1023"/>
      <c r="L113" s="1025"/>
      <c r="M113" s="1026">
        <f>IF(SUM(L107:M112)&gt;150000,150000,SUM(L107:M112))</f>
        <v>0.0</v>
      </c>
      <c r="N113" s="764"/>
    </row>
    <row r="114" spans="8:8" ht="15.0" customHeight="1">
      <c r="B114" s="965"/>
      <c r="C114" s="967"/>
      <c r="D114" s="967"/>
      <c r="E114" s="967"/>
      <c r="F114" s="967"/>
      <c r="G114" s="970"/>
      <c r="H114" s="1022"/>
      <c r="I114" s="1023"/>
      <c r="J114" s="1024"/>
      <c r="K114" s="1023"/>
      <c r="L114" s="1025"/>
      <c r="M114" s="1027"/>
      <c r="N114" s="764"/>
    </row>
    <row r="115" spans="8:8" ht="15.0" customHeight="1">
      <c r="B115" s="965"/>
      <c r="C115" s="967"/>
      <c r="D115" s="967"/>
      <c r="E115" s="967"/>
      <c r="F115" s="967"/>
      <c r="G115" s="970"/>
      <c r="H115" s="1022"/>
      <c r="I115" s="1023"/>
      <c r="J115" s="1024"/>
      <c r="K115" s="1023"/>
      <c r="L115" s="1025"/>
      <c r="M115" s="1027"/>
      <c r="N115" s="764"/>
    </row>
    <row r="116" spans="8:8" ht="15.0" customHeight="1">
      <c r="B116" s="1028" t="s">
        <v>393</v>
      </c>
      <c r="C116" s="847" t="s">
        <v>394</v>
      </c>
      <c r="D116" s="847"/>
      <c r="E116" s="847"/>
      <c r="F116" s="847"/>
      <c r="G116" s="1029" t="s">
        <v>374</v>
      </c>
      <c r="H116" s="1016">
        <f>'TAX (OLD REGIME)'!P33</f>
        <v>0.0</v>
      </c>
      <c r="I116" s="1017"/>
      <c r="J116" s="1016">
        <f>+H116</f>
        <v>0.0</v>
      </c>
      <c r="K116" s="1017"/>
      <c r="L116" s="1030">
        <f>IF(J116&gt;50000,50000,J116)</f>
        <v>0.0</v>
      </c>
      <c r="M116" s="1031"/>
      <c r="N116" s="764"/>
    </row>
    <row r="117" spans="8:8" ht="3.0" customHeight="1">
      <c r="B117" s="1032"/>
      <c r="C117" s="1033"/>
      <c r="D117" s="1033"/>
      <c r="E117" s="1033"/>
      <c r="F117" s="1033"/>
      <c r="G117" s="1033"/>
      <c r="H117" s="909"/>
      <c r="I117" s="909"/>
      <c r="J117" s="909"/>
      <c r="K117" s="909"/>
      <c r="L117" s="1034"/>
      <c r="M117" s="1035"/>
      <c r="N117" s="764"/>
    </row>
    <row r="118" spans="8:8" ht="15.0" customHeight="1">
      <c r="B118" s="1036" t="s">
        <v>395</v>
      </c>
      <c r="C118" s="967" t="s">
        <v>396</v>
      </c>
      <c r="D118" s="967"/>
      <c r="E118" s="967"/>
      <c r="F118" s="967"/>
      <c r="G118" s="967"/>
      <c r="H118" s="1022"/>
      <c r="I118" s="1024"/>
      <c r="J118" s="1022"/>
      <c r="K118" s="1037"/>
      <c r="L118" s="1024"/>
      <c r="M118" s="1038"/>
      <c r="N118" s="764"/>
    </row>
    <row r="119" spans="8:8" ht="13.5" customHeight="1">
      <c r="B119" s="1005"/>
      <c r="C119" s="967"/>
      <c r="D119" s="967"/>
      <c r="E119" s="967"/>
      <c r="F119" s="967"/>
      <c r="G119" s="967"/>
      <c r="H119" s="976" t="s">
        <v>385</v>
      </c>
      <c r="I119" s="975"/>
      <c r="J119" s="1006" t="s">
        <v>386</v>
      </c>
      <c r="K119" s="1007"/>
      <c r="L119" s="976" t="s">
        <v>387</v>
      </c>
      <c r="M119" s="1008" t="s">
        <v>388</v>
      </c>
      <c r="N119" s="764"/>
    </row>
    <row r="120" spans="8:8" ht="13.5" customHeight="1">
      <c r="B120" s="1039">
        <v>1.0</v>
      </c>
      <c r="C120" s="967" t="s">
        <v>13</v>
      </c>
      <c r="D120" s="1040" t="str">
        <f t="shared" si="2" ref="D120:D125">_xlfn.IFERROR(VLOOKUP(B107,$R$154:$Y$161,8,0),"--")</f>
        <v>--</v>
      </c>
      <c r="E120" s="1040"/>
      <c r="F120" s="1040"/>
      <c r="G120" s="967" t="s">
        <v>374</v>
      </c>
      <c r="H120" s="1016" t="str">
        <f t="shared" si="3" ref="H120:H125">_xlfn.IFERROR(VLOOKUP(B107,$Q$154:$X$161,3,0),"0")</f>
        <v>0</v>
      </c>
      <c r="I120" s="1017"/>
      <c r="J120" s="1016" t="str">
        <f t="shared" si="4" ref="J120:J125">+H120</f>
        <v>0</v>
      </c>
      <c r="K120" s="1017"/>
      <c r="L120" s="1016" t="str">
        <f t="shared" si="5" ref="L120:L125">J120</f>
        <v>0</v>
      </c>
      <c r="M120" s="1018"/>
      <c r="N120" s="764"/>
    </row>
    <row r="121" spans="8:8" ht="13.5" customHeight="1">
      <c r="B121" s="1039">
        <v>2.0</v>
      </c>
      <c r="C121" s="967" t="s">
        <v>15</v>
      </c>
      <c r="D121" s="1041" t="str">
        <f t="shared" si="2"/>
        <v>--</v>
      </c>
      <c r="E121" s="1041"/>
      <c r="F121" s="1041"/>
      <c r="G121" s="967" t="s">
        <v>374</v>
      </c>
      <c r="H121" s="1016" t="str">
        <f t="shared" si="3"/>
        <v>0</v>
      </c>
      <c r="I121" s="1017"/>
      <c r="J121" s="1016" t="str">
        <f t="shared" si="4"/>
        <v>0</v>
      </c>
      <c r="K121" s="1017"/>
      <c r="L121" s="1016" t="str">
        <f t="shared" si="5"/>
        <v>0</v>
      </c>
      <c r="M121" s="1018"/>
      <c r="N121" s="764"/>
    </row>
    <row r="122" spans="8:8" ht="13.5" customHeight="1">
      <c r="B122" s="1039">
        <v>3.0</v>
      </c>
      <c r="C122" s="967" t="s">
        <v>17</v>
      </c>
      <c r="D122" s="1041" t="str">
        <f t="shared" si="2"/>
        <v>--</v>
      </c>
      <c r="E122" s="1041"/>
      <c r="F122" s="1041"/>
      <c r="G122" s="967" t="s">
        <v>374</v>
      </c>
      <c r="H122" s="1016" t="str">
        <f t="shared" si="3"/>
        <v>0</v>
      </c>
      <c r="I122" s="1017"/>
      <c r="J122" s="1016" t="str">
        <f t="shared" si="4"/>
        <v>0</v>
      </c>
      <c r="K122" s="1017"/>
      <c r="L122" s="1016" t="str">
        <f t="shared" si="5"/>
        <v>0</v>
      </c>
      <c r="M122" s="1018"/>
      <c r="N122" s="764"/>
    </row>
    <row r="123" spans="8:8" ht="13.5" customHeight="1">
      <c r="B123" s="1039">
        <v>4.0</v>
      </c>
      <c r="C123" s="967" t="s">
        <v>19</v>
      </c>
      <c r="D123" s="1041" t="str">
        <f t="shared" si="2"/>
        <v>--</v>
      </c>
      <c r="E123" s="1041"/>
      <c r="F123" s="1041"/>
      <c r="G123" s="967" t="s">
        <v>374</v>
      </c>
      <c r="H123" s="1016" t="str">
        <f t="shared" si="3"/>
        <v>0</v>
      </c>
      <c r="I123" s="1017"/>
      <c r="J123" s="1016" t="str">
        <f t="shared" si="4"/>
        <v>0</v>
      </c>
      <c r="K123" s="1017"/>
      <c r="L123" s="1016" t="str">
        <f t="shared" si="5"/>
        <v>0</v>
      </c>
      <c r="M123" s="1018"/>
      <c r="N123" s="764"/>
    </row>
    <row r="124" spans="8:8" ht="13.5" customHeight="1">
      <c r="B124" s="1039">
        <v>5.0</v>
      </c>
      <c r="C124" s="967" t="s">
        <v>21</v>
      </c>
      <c r="D124" s="1041" t="str">
        <f t="shared" si="2"/>
        <v>--</v>
      </c>
      <c r="E124" s="1041"/>
      <c r="F124" s="1041"/>
      <c r="G124" s="967" t="s">
        <v>374</v>
      </c>
      <c r="H124" s="1016" t="str">
        <f t="shared" si="3"/>
        <v>0</v>
      </c>
      <c r="I124" s="1017"/>
      <c r="J124" s="1016" t="str">
        <f t="shared" si="4"/>
        <v>0</v>
      </c>
      <c r="K124" s="1017"/>
      <c r="L124" s="1016" t="str">
        <f t="shared" si="5"/>
        <v>0</v>
      </c>
      <c r="M124" s="1018"/>
      <c r="N124" s="764"/>
    </row>
    <row r="125" spans="8:8" ht="13.5" customHeight="1">
      <c r="B125" s="1039">
        <v>6.0</v>
      </c>
      <c r="C125" s="967" t="s">
        <v>23</v>
      </c>
      <c r="D125" s="1041" t="str">
        <f t="shared" si="2"/>
        <v>--</v>
      </c>
      <c r="E125" s="1041"/>
      <c r="F125" s="1041"/>
      <c r="G125" s="967" t="s">
        <v>374</v>
      </c>
      <c r="H125" s="1016" t="str">
        <f t="shared" si="3"/>
        <v>0</v>
      </c>
      <c r="I125" s="1017"/>
      <c r="J125" s="1016" t="str">
        <f t="shared" si="4"/>
        <v>0</v>
      </c>
      <c r="K125" s="1017"/>
      <c r="L125" s="1016" t="str">
        <f t="shared" si="5"/>
        <v>0</v>
      </c>
      <c r="M125" s="1018"/>
      <c r="N125" s="764"/>
    </row>
    <row r="126" spans="8:8" ht="17.25" customHeight="1">
      <c r="B126" s="1042" t="s">
        <v>397</v>
      </c>
      <c r="C126" s="1043"/>
      <c r="D126" s="1043"/>
      <c r="E126" s="1043"/>
      <c r="F126" s="1043"/>
      <c r="G126" s="1044"/>
      <c r="H126" s="1022"/>
      <c r="I126" s="1023"/>
      <c r="J126" s="1024"/>
      <c r="K126" s="1023"/>
      <c r="L126" s="1025"/>
      <c r="M126" s="1045">
        <f>IF(SUM(L120:M125)&gt;150000,150000,SUM(L120:M125))</f>
        <v>0.0</v>
      </c>
      <c r="N126" s="764"/>
    </row>
    <row r="127" spans="8:8" ht="15.0" customHeight="1">
      <c r="B127" s="1042"/>
      <c r="C127" s="1043"/>
      <c r="D127" s="1043"/>
      <c r="E127" s="1043"/>
      <c r="F127" s="1043"/>
      <c r="G127" s="1044"/>
      <c r="H127" s="1022"/>
      <c r="I127" s="1023"/>
      <c r="J127" s="1024"/>
      <c r="K127" s="1023"/>
      <c r="L127" s="1025"/>
      <c r="M127" s="1045"/>
      <c r="N127" s="764"/>
    </row>
    <row r="128" spans="8:8" ht="15.0" customHeight="1">
      <c r="B128" s="1046" t="s">
        <v>398</v>
      </c>
      <c r="C128" s="1047"/>
      <c r="D128" s="1047"/>
      <c r="E128" s="1047"/>
      <c r="F128" s="1047"/>
      <c r="G128" s="1048"/>
      <c r="H128" s="1049"/>
      <c r="I128" s="1048"/>
      <c r="J128" s="1049"/>
      <c r="K128" s="1048"/>
      <c r="L128" s="1050">
        <f>M113+L116+M126</f>
        <v>0.0</v>
      </c>
      <c r="M128" s="1051">
        <f>SUM(K106:K113)</f>
        <v>0.0</v>
      </c>
      <c r="N128" s="764"/>
    </row>
    <row r="129" spans="8:8" ht="15.0" customHeight="1">
      <c r="B129" s="965"/>
      <c r="C129" s="967"/>
      <c r="D129" s="967"/>
      <c r="E129" s="967"/>
      <c r="F129" s="967"/>
      <c r="G129" s="970"/>
      <c r="H129" s="968"/>
      <c r="I129" s="970"/>
      <c r="J129" s="968"/>
      <c r="K129" s="970"/>
      <c r="L129" s="1010"/>
      <c r="M129" s="1012"/>
      <c r="N129" s="764"/>
    </row>
    <row r="130" spans="8:8" ht="15.0" customHeight="1">
      <c r="B130" s="1052" t="s">
        <v>399</v>
      </c>
      <c r="C130" s="1053"/>
      <c r="D130" s="1053"/>
      <c r="E130" s="1053"/>
      <c r="F130" s="1053"/>
      <c r="G130" s="1054"/>
      <c r="H130" s="968"/>
      <c r="I130" s="970"/>
      <c r="J130" s="968"/>
      <c r="K130" s="970"/>
      <c r="L130" s="967"/>
      <c r="M130" s="1055">
        <f>'TAX (NEW REGIME)'!P37</f>
        <v>1437110.0</v>
      </c>
      <c r="N130" s="764"/>
    </row>
    <row r="131" spans="8:8" ht="11.25" customHeight="1">
      <c r="B131" s="965"/>
      <c r="C131" s="967"/>
      <c r="D131" s="967"/>
      <c r="E131" s="967"/>
      <c r="F131" s="967"/>
      <c r="G131" s="970"/>
      <c r="H131" s="968"/>
      <c r="I131" s="970"/>
      <c r="J131" s="968"/>
      <c r="K131" s="970"/>
      <c r="L131" s="967"/>
      <c r="M131" s="1056"/>
      <c r="N131" s="764"/>
    </row>
    <row r="132" spans="8:8" ht="15.0" customHeight="1">
      <c r="B132" s="965" t="s">
        <v>400</v>
      </c>
      <c r="C132" s="967"/>
      <c r="D132" s="967"/>
      <c r="E132" s="967"/>
      <c r="F132" s="967"/>
      <c r="G132" s="970"/>
      <c r="H132" s="968"/>
      <c r="I132" s="970"/>
      <c r="J132" s="968"/>
      <c r="K132" s="970"/>
      <c r="L132" s="967"/>
      <c r="M132" s="1057">
        <f>'TAX (NEW REGIME)'!P46</f>
        <v>127422.0</v>
      </c>
      <c r="N132" s="764"/>
    </row>
    <row r="133" spans="8:8" ht="15.0" customHeight="1">
      <c r="B133" s="1058" t="s">
        <v>401</v>
      </c>
      <c r="C133" s="967"/>
      <c r="D133" s="967"/>
      <c r="E133" s="967"/>
      <c r="F133" s="967"/>
      <c r="G133" s="967"/>
      <c r="H133" s="968"/>
      <c r="I133" s="970"/>
      <c r="J133" s="967"/>
      <c r="K133" s="970"/>
      <c r="L133" s="967"/>
      <c r="M133" s="1057">
        <f>'TAX (NEW REGIME)'!P47</f>
        <v>0.0</v>
      </c>
      <c r="N133" s="764"/>
      <c r="P133" s="1059" t="s">
        <v>13</v>
      </c>
      <c r="Q133" s="1060">
        <f>W133</f>
        <v>1.0</v>
      </c>
      <c r="R133" s="1061" t="str">
        <f>VLOOKUP(P133,'TAX (OLD REGIME)'!C21:I29,2,0)</f>
        <v>jkT; chek ¼SI)</v>
      </c>
      <c r="S133" s="1062">
        <f>VLOOKUP(P133,'TAX (OLD REGIME)'!C21:I29,6,0)</f>
        <v>84000.0</v>
      </c>
      <c r="T133" s="1063"/>
      <c r="U133" s="1064">
        <f>IF(S133&gt;0,1,0)</f>
        <v>1.0</v>
      </c>
      <c r="V133" s="758">
        <f>U133</f>
        <v>1.0</v>
      </c>
      <c r="W133" s="758">
        <f>IF(V133&gt;V119,1,0)</f>
        <v>1.0</v>
      </c>
    </row>
    <row r="134" spans="8:8" ht="15.0" customHeight="1">
      <c r="B134" s="965" t="s">
        <v>402</v>
      </c>
      <c r="C134" s="967"/>
      <c r="D134" s="967"/>
      <c r="E134" s="967"/>
      <c r="F134" s="967"/>
      <c r="G134" s="967"/>
      <c r="H134" s="968"/>
      <c r="I134" s="970"/>
      <c r="J134" s="967"/>
      <c r="K134" s="970"/>
      <c r="L134" s="967"/>
      <c r="M134" s="1056">
        <f>IF((M132-M133)&gt;0,(M132-M133),0)</f>
        <v>127422.0</v>
      </c>
      <c r="N134" s="764"/>
      <c r="P134" s="1059" t="s">
        <v>15</v>
      </c>
      <c r="Q134" s="1060">
        <f t="shared" si="6" ref="Q134:Q150">W134</f>
        <v>0.0</v>
      </c>
      <c r="R134" s="1061" t="str">
        <f>VLOOKUP(P134,'TAX (OLD REGIME)'!C22:I30,2,0)</f>
        <v>thou chek izhfe;e ¼LIC)</v>
      </c>
      <c r="S134" s="1062">
        <f>VLOOKUP(P134,'TAX (OLD REGIME)'!C22:I30,6,0)</f>
        <v>0.0</v>
      </c>
      <c r="U134" s="1064">
        <f t="shared" si="7" ref="U134:U151">IF(S134&gt;0,1,0)</f>
        <v>0.0</v>
      </c>
      <c r="V134" s="758">
        <f t="shared" si="8" ref="V134:V140">U134+V133</f>
        <v>1.0</v>
      </c>
      <c r="W134" s="758">
        <f>IF(V134&gt;V133,1+V133,0)</f>
        <v>0.0</v>
      </c>
    </row>
    <row r="135" spans="8:8" ht="15.0" customHeight="1">
      <c r="B135" s="965" t="s">
        <v>403</v>
      </c>
      <c r="C135" s="967"/>
      <c r="D135" s="967"/>
      <c r="E135" s="967"/>
      <c r="F135" s="967"/>
      <c r="G135" s="967"/>
      <c r="H135" s="968"/>
      <c r="I135" s="970"/>
      <c r="J135" s="967"/>
      <c r="K135" s="970"/>
      <c r="L135" s="967"/>
      <c r="M135" s="1056">
        <f>ROUND(M134*4%,0)</f>
        <v>5097.0</v>
      </c>
      <c r="N135" s="764"/>
      <c r="P135" s="1059" t="s">
        <v>17</v>
      </c>
      <c r="Q135" s="1060">
        <f t="shared" si="6"/>
        <v>0.0</v>
      </c>
      <c r="R135" s="1061" t="str">
        <f>VLOOKUP(P135,'TAX (OLD REGIME)'!C23:I31,2,0)</f>
        <v>jk"Vªh; cpr i= ¼NSC)</v>
      </c>
      <c r="S135" s="1062">
        <f>VLOOKUP(P135,'TAX (OLD REGIME)'!C23:I31,6,0)</f>
        <v>0.0</v>
      </c>
      <c r="U135" s="1064">
        <f t="shared" si="7"/>
        <v>0.0</v>
      </c>
      <c r="V135" s="758">
        <f t="shared" si="8"/>
        <v>1.0</v>
      </c>
      <c r="W135" s="758">
        <f t="shared" si="9" ref="W135:W151">IF(V135&gt;V134,1+V134,0)</f>
        <v>0.0</v>
      </c>
    </row>
    <row r="136" spans="8:8" ht="15.0" customHeight="1">
      <c r="B136" s="965" t="s">
        <v>404</v>
      </c>
      <c r="C136" s="967"/>
      <c r="D136" s="967"/>
      <c r="E136" s="967"/>
      <c r="F136" s="967"/>
      <c r="G136" s="967"/>
      <c r="H136" s="968"/>
      <c r="I136" s="970"/>
      <c r="J136" s="967"/>
      <c r="K136" s="970"/>
      <c r="L136" s="967"/>
      <c r="M136" s="1056">
        <f>M134+M135</f>
        <v>132519.0</v>
      </c>
      <c r="N136" s="764"/>
      <c r="P136" s="1059" t="s">
        <v>19</v>
      </c>
      <c r="Q136" s="1060">
        <f t="shared" si="6"/>
        <v>0.0</v>
      </c>
      <c r="R136" s="1061" t="str">
        <f>VLOOKUP(P136,'TAX (OLD REGIME)'!C24:I32,2,0)</f>
        <v>yksd Hkfo"; fuf/k ¼PPF)</v>
      </c>
      <c r="S136" s="1062">
        <f>VLOOKUP(P136,'TAX (OLD REGIME)'!C24:I32,6,0)</f>
        <v>0.0</v>
      </c>
      <c r="U136" s="1064">
        <f t="shared" si="7"/>
        <v>0.0</v>
      </c>
      <c r="V136" s="758">
        <f t="shared" si="8"/>
        <v>1.0</v>
      </c>
      <c r="W136" s="758">
        <f t="shared" si="9"/>
        <v>0.0</v>
      </c>
    </row>
    <row r="137" spans="8:8" ht="15.0" customHeight="1">
      <c r="B137" s="965" t="s">
        <v>405</v>
      </c>
      <c r="C137" s="967"/>
      <c r="D137" s="967"/>
      <c r="E137" s="967"/>
      <c r="F137" s="967"/>
      <c r="G137" s="967"/>
      <c r="H137" s="968"/>
      <c r="I137" s="970"/>
      <c r="J137" s="967"/>
      <c r="K137" s="970"/>
      <c r="L137" s="967"/>
      <c r="M137" s="1056">
        <f>'TAX (OLD REGIME)'!P61</f>
        <v>0.0</v>
      </c>
      <c r="N137" s="764"/>
      <c r="P137" s="1059" t="s">
        <v>21</v>
      </c>
      <c r="Q137" s="1060">
        <f t="shared" si="6"/>
        <v>0.0</v>
      </c>
      <c r="R137" s="1061" t="str">
        <f>VLOOKUP(P137,'TAX (OLD REGIME)'!C25:I33,2,0)</f>
        <v>jk"Vªh; cpr Ldhe ¼NSS)</v>
      </c>
      <c r="S137" s="1062">
        <f>VLOOKUP(P137,'TAX (OLD REGIME)'!C25:I33,6,0)</f>
        <v>0.0</v>
      </c>
      <c r="U137" s="1064">
        <f t="shared" si="7"/>
        <v>0.0</v>
      </c>
      <c r="V137" s="758">
        <f t="shared" si="8"/>
        <v>1.0</v>
      </c>
      <c r="W137" s="758">
        <f>IF(V137&gt;V136,1+V136,0)</f>
        <v>0.0</v>
      </c>
    </row>
    <row r="138" spans="8:8" ht="15.0" customHeight="1">
      <c r="B138" s="1065" t="s">
        <v>406</v>
      </c>
      <c r="C138" s="1066"/>
      <c r="D138" s="1066"/>
      <c r="E138" s="1066"/>
      <c r="F138" s="1066"/>
      <c r="G138" s="1067"/>
      <c r="H138" s="968"/>
      <c r="I138" s="970"/>
      <c r="J138" s="967"/>
      <c r="K138" s="970"/>
      <c r="L138" s="967"/>
      <c r="M138" s="1056">
        <f>M136-M137</f>
        <v>132519.0</v>
      </c>
      <c r="N138" s="764"/>
      <c r="P138" s="1059" t="s">
        <v>23</v>
      </c>
      <c r="Q138" s="1060">
        <f t="shared" si="6"/>
        <v>2.0</v>
      </c>
      <c r="R138" s="1068" t="str">
        <f>VLOOKUP(P138,'TAX (OLD REGIME)'!C26:I34,2,0)</f>
        <v>Gen.Provident Fund (GPF)</v>
      </c>
      <c r="S138" s="1062">
        <f>VLOOKUP(P138,'TAX (OLD REGIME)'!C26:I34,6,0)</f>
        <v>72504.0</v>
      </c>
      <c r="U138" s="1064">
        <f t="shared" si="7"/>
        <v>1.0</v>
      </c>
      <c r="V138" s="758">
        <f t="shared" si="8"/>
        <v>2.0</v>
      </c>
      <c r="W138" s="758">
        <f t="shared" si="9"/>
        <v>2.0</v>
      </c>
    </row>
    <row r="139" spans="8:8" ht="15.0" customHeight="1">
      <c r="B139" s="1065"/>
      <c r="C139" s="1066"/>
      <c r="D139" s="1066"/>
      <c r="E139" s="1066"/>
      <c r="F139" s="1066"/>
      <c r="G139" s="1067"/>
      <c r="H139" s="968"/>
      <c r="I139" s="970"/>
      <c r="J139" s="1006" t="s">
        <v>407</v>
      </c>
      <c r="K139" s="1007"/>
      <c r="L139" s="967"/>
      <c r="M139" s="1069">
        <f>ROUND(M138,-1)</f>
        <v>132520.0</v>
      </c>
      <c r="N139" s="764"/>
      <c r="P139" s="1059" t="s">
        <v>25</v>
      </c>
      <c r="Q139" s="1060">
        <f t="shared" si="6"/>
        <v>3.0</v>
      </c>
      <c r="R139" s="1061" t="str">
        <f>VLOOKUP(P139,'TAX (OLD REGIME)'!C27:I35,2,0)</f>
        <v>lkewfgd chek izhfe;e ¼ G.Ins.)</v>
      </c>
      <c r="S139" s="1062">
        <f>VLOOKUP(P139,'TAX (OLD REGIME)'!C27:I35,6,0)</f>
        <v>700.0</v>
      </c>
      <c r="U139" s="1064">
        <f>IF(S139&gt;0,1,0)</f>
        <v>1.0</v>
      </c>
      <c r="V139" s="758">
        <f t="shared" si="8"/>
        <v>3.0</v>
      </c>
      <c r="W139" s="758">
        <f>IF(V139&gt;V138,1+V138,0)</f>
        <v>3.0</v>
      </c>
    </row>
    <row r="140" spans="8:8" ht="15.0" customHeight="1">
      <c r="B140" s="965" t="s">
        <v>408</v>
      </c>
      <c r="C140" s="967"/>
      <c r="D140" s="967"/>
      <c r="E140" s="967"/>
      <c r="F140" s="967"/>
      <c r="G140" s="967"/>
      <c r="H140" s="968"/>
      <c r="I140" s="970"/>
      <c r="J140" s="967"/>
      <c r="K140" s="970"/>
      <c r="L140" s="967"/>
      <c r="M140" s="1056">
        <f>'TAX (OLD REGIME)'!P64</f>
        <v>99000.0</v>
      </c>
      <c r="N140" s="764"/>
      <c r="P140" s="1059" t="s">
        <v>27</v>
      </c>
      <c r="Q140" s="1060">
        <f t="shared" si="6"/>
        <v>3.0</v>
      </c>
      <c r="R140" s="1061" t="str">
        <f>VLOOKUP(P140,'TAX (OLD REGIME)'!C28:I36,2,0)</f>
        <v>UPLI@okf"kZd Iyku</v>
      </c>
      <c r="S140" s="1062">
        <f>VLOOKUP(P140,'TAX (OLD REGIME)'!C28:I36,6,0)</f>
        <v>0.0</v>
      </c>
      <c r="U140" s="1064">
        <f t="shared" si="7"/>
        <v>0.0</v>
      </c>
      <c r="V140" s="758">
        <f t="shared" si="8"/>
        <v>3.0</v>
      </c>
      <c r="W140" s="758">
        <f>IF(V140&gt;V138,1+V138,0)</f>
        <v>3.0</v>
      </c>
    </row>
    <row r="141" spans="8:8" ht="15.0" customHeight="1">
      <c r="B141" s="982" t="s">
        <v>409</v>
      </c>
      <c r="C141" s="983"/>
      <c r="D141" s="983"/>
      <c r="E141" s="983"/>
      <c r="F141" s="983"/>
      <c r="G141" s="983"/>
      <c r="H141" s="984"/>
      <c r="I141" s="996"/>
      <c r="J141" s="1070" t="str">
        <f>IF(M141&gt;0,"(Payble)","Refundable")</f>
        <v>(Payble)</v>
      </c>
      <c r="K141" s="1071"/>
      <c r="L141" s="1072"/>
      <c r="M141" s="1073">
        <f>M139-M140</f>
        <v>33520.0</v>
      </c>
      <c r="N141" s="764"/>
      <c r="P141" s="1059" t="s">
        <v>29</v>
      </c>
      <c r="Q141" s="1060">
        <f t="shared" si="6"/>
        <v>0.0</v>
      </c>
      <c r="R141" s="1061" t="str">
        <f>VLOOKUP(P141,'TAX (OLD REGIME)'!C29:I37,2,0)</f>
        <v>x`g _.k fdLr ¼HBA Premium)</v>
      </c>
      <c r="S141" s="1062">
        <f>VLOOKUP(P141,'TAX (OLD REGIME)'!C29:I37,6,0)</f>
        <v>0.0</v>
      </c>
      <c r="U141" s="1064">
        <f t="shared" si="7"/>
        <v>0.0</v>
      </c>
      <c r="V141" s="758">
        <f t="shared" si="10" ref="V141:V151">U141+V140</f>
        <v>3.0</v>
      </c>
      <c r="W141" s="758">
        <f t="shared" si="9"/>
        <v>0.0</v>
      </c>
    </row>
    <row r="142" spans="8:8" ht="15.0" customHeight="1">
      <c r="B142" s="919" t="s">
        <v>339</v>
      </c>
      <c r="C142" s="920"/>
      <c r="D142" s="920"/>
      <c r="E142" s="920"/>
      <c r="F142" s="920"/>
      <c r="G142" s="920"/>
      <c r="H142" s="920"/>
      <c r="I142" s="920"/>
      <c r="J142" s="920"/>
      <c r="K142" s="920"/>
      <c r="L142" s="920"/>
      <c r="M142" s="1074"/>
      <c r="N142" s="764"/>
      <c r="P142" s="1059" t="s">
        <v>14</v>
      </c>
      <c r="Q142" s="1060">
        <f t="shared" si="6"/>
        <v>0.0</v>
      </c>
      <c r="R142" s="1061" t="str">
        <f>VLOOKUP(P142,'TAX (OLD REGIME)'!C30:I38,2,0)</f>
        <v>lqdU;k le`f) ;kstuk esa tek jkf'k</v>
      </c>
      <c r="S142" s="1062">
        <f>VLOOKUP(P142,'TAX (OLD REGIME)'!C30:I38,6,0)</f>
        <v>0.0</v>
      </c>
      <c r="U142" s="1064">
        <f t="shared" si="7"/>
        <v>0.0</v>
      </c>
      <c r="V142" s="758">
        <f>U142+V141</f>
        <v>3.0</v>
      </c>
      <c r="W142" s="758">
        <f>IF(V142&gt;V141,1+V141,0)</f>
        <v>0.0</v>
      </c>
    </row>
    <row r="143" spans="8:8" ht="15.0" customHeight="1">
      <c r="B143" s="922" t="s">
        <v>340</v>
      </c>
      <c r="C143" s="923" t="str">
        <f>C57</f>
        <v>ABCD</v>
      </c>
      <c r="D143" s="923"/>
      <c r="E143" s="923"/>
      <c r="F143" s="818" t="s">
        <v>341</v>
      </c>
      <c r="G143" s="924"/>
      <c r="H143" s="780">
        <f>H57</f>
        <v>0.0</v>
      </c>
      <c r="I143" s="1075"/>
      <c r="J143" s="1075"/>
      <c r="K143" s="818" t="s">
        <v>342</v>
      </c>
      <c r="L143" s="924"/>
      <c r="M143" s="927"/>
      <c r="N143" s="764"/>
      <c r="P143" s="1059" t="s">
        <v>16</v>
      </c>
      <c r="Q143" s="1060">
        <f t="shared" si="6"/>
        <v>0.0</v>
      </c>
      <c r="R143" s="1061" t="str">
        <f>VLOOKUP(P143,'TAX (OLD REGIME)'!J21:O29,2,0)</f>
        <v>ljdkjh isa'ku ;kstuk esa va'knku ECPF vf/kdre osru dk 10 % /kkjk 80CCD(1) +अन्य कोई नियमो के अंतर्गत हो तो</v>
      </c>
      <c r="S143" s="1062">
        <f>VLOOKUP(P143,'TAX (OLD REGIME)'!J21:O29,5,0)</f>
        <v>0.0</v>
      </c>
      <c r="U143" s="1064">
        <f t="shared" si="7"/>
        <v>0.0</v>
      </c>
      <c r="V143" s="758">
        <f t="shared" si="10"/>
        <v>3.0</v>
      </c>
      <c r="W143" s="758">
        <f t="shared" si="9"/>
        <v>0.0</v>
      </c>
    </row>
    <row r="144" spans="8:8" ht="15.0" customHeight="1">
      <c r="B144" s="1076" t="str">
        <f>B58</f>
        <v>DDO/PRINCIPAL</v>
      </c>
      <c r="C144" s="1077"/>
      <c r="D144" s="1077"/>
      <c r="E144" s="826" t="s">
        <v>410</v>
      </c>
      <c r="F144" s="826"/>
      <c r="G144" s="930"/>
      <c r="H144" s="930"/>
      <c r="I144" s="930"/>
      <c r="J144" s="826"/>
      <c r="K144" s="932"/>
      <c r="L144" s="930"/>
      <c r="M144" s="1078"/>
      <c r="N144" s="764"/>
      <c r="P144" s="1059" t="s">
        <v>18</v>
      </c>
      <c r="Q144" s="1060">
        <f t="shared" si="6"/>
        <v>0.0</v>
      </c>
      <c r="R144" s="1061" t="str">
        <f>VLOOKUP(P144,'TAX (OLD REGIME)'!J23:O31,2,0)</f>
        <v>isa'ku Iyku gsrq va'knku ¼/kkjk 80CCC½</v>
      </c>
      <c r="S144" s="1062">
        <f>VLOOKUP(P144,'TAX (OLD REGIME)'!J23:O31,5,0)</f>
        <v>0.0</v>
      </c>
      <c r="U144" s="1064">
        <f t="shared" si="7"/>
        <v>0.0</v>
      </c>
      <c r="V144" s="758">
        <f t="shared" si="10"/>
        <v>3.0</v>
      </c>
      <c r="W144" s="758">
        <f t="shared" si="9"/>
        <v>0.0</v>
      </c>
    </row>
    <row r="145" spans="8:8" ht="15.0" customHeight="1">
      <c r="B145" s="939" t="s">
        <v>411</v>
      </c>
      <c r="C145" s="940"/>
      <c r="D145" s="940"/>
      <c r="E145" s="940"/>
      <c r="F145" s="940"/>
      <c r="G145" s="940"/>
      <c r="H145" s="940"/>
      <c r="I145" s="940"/>
      <c r="J145" s="940"/>
      <c r="K145" s="940"/>
      <c r="L145" s="940"/>
      <c r="M145" s="941"/>
      <c r="N145" s="764"/>
      <c r="P145" s="1059" t="s">
        <v>20</v>
      </c>
      <c r="Q145" s="1060">
        <f t="shared" si="6"/>
        <v>0.0</v>
      </c>
      <c r="R145" s="1061" t="str">
        <f>VLOOKUP(P145,'TAX (OLD REGIME)'!J24:O32,2,0)</f>
        <v>jk"Vªh; cpr i= ij vnr C;kt</v>
      </c>
      <c r="S145" s="1062">
        <f>VLOOKUP(P145,'TAX (OLD REGIME)'!J24:O32,5,0)</f>
        <v>0.0</v>
      </c>
      <c r="U145" s="1064">
        <f t="shared" si="7"/>
        <v>0.0</v>
      </c>
      <c r="V145" s="758">
        <f t="shared" si="10"/>
        <v>3.0</v>
      </c>
      <c r="W145" s="758">
        <f t="shared" si="9"/>
        <v>0.0</v>
      </c>
    </row>
    <row r="146" spans="8:8" ht="15.0" customHeight="1">
      <c r="B146" s="1079"/>
      <c r="C146" s="1080"/>
      <c r="D146" s="1080"/>
      <c r="E146" s="1080"/>
      <c r="F146" s="1080"/>
      <c r="G146" s="1080"/>
      <c r="H146" s="1080"/>
      <c r="I146" s="1080"/>
      <c r="J146" s="1080"/>
      <c r="K146" s="1080"/>
      <c r="L146" s="1080"/>
      <c r="M146" s="1081"/>
      <c r="N146" s="764"/>
      <c r="P146" s="1059" t="s">
        <v>22</v>
      </c>
      <c r="Q146" s="1060">
        <f t="shared" si="6"/>
        <v>0.0</v>
      </c>
      <c r="R146" s="1061" t="str">
        <f>VLOOKUP(P146,'TAX (OLD REGIME)'!J25:O33,2,0)</f>
        <v>V;w'ku Qhl </v>
      </c>
      <c r="S146" s="1062">
        <f>VLOOKUP(P146,'TAX (OLD REGIME)'!J25:O33,5,0)</f>
        <v>0.0</v>
      </c>
      <c r="U146" s="1064">
        <f t="shared" si="7"/>
        <v>0.0</v>
      </c>
      <c r="V146" s="758">
        <f t="shared" si="10"/>
        <v>3.0</v>
      </c>
      <c r="W146" s="758">
        <f t="shared" si="9"/>
        <v>0.0</v>
      </c>
    </row>
    <row r="147" spans="8:8" ht="8.25" customHeight="1">
      <c r="B147" s="972"/>
      <c r="C147" s="967"/>
      <c r="D147" s="967"/>
      <c r="E147" s="967"/>
      <c r="F147" s="967"/>
      <c r="G147" s="967"/>
      <c r="H147" s="967"/>
      <c r="I147" s="967"/>
      <c r="J147" s="967"/>
      <c r="K147" s="967"/>
      <c r="L147" s="967"/>
      <c r="M147" s="1002"/>
      <c r="N147" s="764"/>
      <c r="P147" s="1059" t="s">
        <v>24</v>
      </c>
      <c r="Q147" s="1060">
        <f t="shared" si="6"/>
        <v>0.0</v>
      </c>
      <c r="R147" s="1061" t="str">
        <f>VLOOKUP(P147,'TAX (OLD REGIME)'!J26:O34,2,0)</f>
        <v>bfDoVh fyad lsfoax Ldhe</v>
      </c>
      <c r="S147" s="1062">
        <f>VLOOKUP(P147,'TAX (OLD REGIME)'!J26:O34,5,0)</f>
        <v>0.0</v>
      </c>
      <c r="U147" s="1064">
        <f t="shared" si="7"/>
        <v>0.0</v>
      </c>
      <c r="V147" s="758">
        <f t="shared" si="10"/>
        <v>3.0</v>
      </c>
      <c r="W147" s="758">
        <f t="shared" si="9"/>
        <v>0.0</v>
      </c>
    </row>
    <row r="148" spans="8:8" ht="9.0" customHeight="1">
      <c r="B148" s="972"/>
      <c r="C148" s="967"/>
      <c r="D148" s="967"/>
      <c r="E148" s="967"/>
      <c r="F148" s="967"/>
      <c r="G148" s="967"/>
      <c r="H148" s="967"/>
      <c r="I148" s="967"/>
      <c r="J148" s="967"/>
      <c r="K148" s="967"/>
      <c r="L148" s="967"/>
      <c r="M148" s="1002"/>
      <c r="N148" s="764"/>
      <c r="P148" s="1059" t="s">
        <v>26</v>
      </c>
      <c r="Q148" s="1060">
        <f t="shared" si="6"/>
        <v>0.0</v>
      </c>
      <c r="R148" s="1061" t="str">
        <f>VLOOKUP(P148,'TAX (OLD REGIME)'!J27:O35,2,0)</f>
        <v>LFkfxr okf"kZdh ¼Defferred Annuty)</v>
      </c>
      <c r="S148" s="1062">
        <f>VLOOKUP(P148,'TAX (OLD REGIME)'!J27:O35,5,0)</f>
        <v>0.0</v>
      </c>
      <c r="U148" s="1064">
        <f t="shared" si="7"/>
        <v>0.0</v>
      </c>
      <c r="V148" s="758">
        <f t="shared" si="10"/>
        <v>3.0</v>
      </c>
      <c r="W148" s="758">
        <f t="shared" si="9"/>
        <v>0.0</v>
      </c>
    </row>
    <row r="149" spans="8:8" ht="3.75" customHeight="1">
      <c r="B149" s="972"/>
      <c r="C149" s="967"/>
      <c r="D149" s="967"/>
      <c r="E149" s="967"/>
      <c r="F149" s="967"/>
      <c r="G149" s="967"/>
      <c r="H149" s="826"/>
      <c r="I149" s="826"/>
      <c r="J149" s="975"/>
      <c r="K149" s="967"/>
      <c r="L149" s="967"/>
      <c r="M149" s="1002"/>
      <c r="N149" s="764"/>
      <c r="P149" s="1059" t="s">
        <v>28</v>
      </c>
      <c r="Q149" s="1060">
        <f t="shared" si="6"/>
        <v>0.0</v>
      </c>
      <c r="R149" s="1061" t="str">
        <f>VLOOKUP(P149,'TAX (OLD REGIME)'!J28:O36,2,0)</f>
        <v>ih-,y-vkbZ- ¼PLI)</v>
      </c>
      <c r="S149" s="1062">
        <f>VLOOKUP(P149,'TAX (OLD REGIME)'!J28:O36,5,0)</f>
        <v>0.0</v>
      </c>
      <c r="U149" s="1064">
        <f t="shared" si="7"/>
        <v>0.0</v>
      </c>
      <c r="V149" s="758">
        <f t="shared" si="10"/>
        <v>3.0</v>
      </c>
      <c r="W149" s="758">
        <f t="shared" si="9"/>
        <v>0.0</v>
      </c>
    </row>
    <row r="150" spans="8:8" ht="15.0" customHeight="1">
      <c r="B150" s="972"/>
      <c r="C150" s="967"/>
      <c r="D150" s="967"/>
      <c r="E150" s="967"/>
      <c r="F150" s="967"/>
      <c r="G150" s="1082" t="s">
        <v>412</v>
      </c>
      <c r="H150" s="1082"/>
      <c r="I150" s="1082"/>
      <c r="J150" s="1082"/>
      <c r="K150" s="1082"/>
      <c r="L150" s="1082"/>
      <c r="M150" s="1083"/>
      <c r="N150" s="764"/>
      <c r="P150" s="1059" t="s">
        <v>56</v>
      </c>
      <c r="Q150" s="1060">
        <f t="shared" si="6"/>
        <v>0.0</v>
      </c>
      <c r="R150" s="1061" t="str">
        <f>VLOOKUP(P150,'TAX (OLD REGIME)'!J29:O37,2,0)</f>
        <v>vU; tek jkf'k ¼/kkjk 80 lh ds vUrxZr½</v>
      </c>
      <c r="S150" s="1062">
        <f>VLOOKUP(P150,'TAX (OLD REGIME)'!J29:O37,5,0)</f>
        <v>0.0</v>
      </c>
      <c r="U150" s="1064">
        <f t="shared" si="7"/>
        <v>0.0</v>
      </c>
      <c r="V150" s="758">
        <f t="shared" si="10"/>
        <v>3.0</v>
      </c>
      <c r="W150" s="758">
        <f t="shared" si="9"/>
        <v>0.0</v>
      </c>
    </row>
    <row r="151" spans="8:8" ht="15.0" customHeight="1">
      <c r="B151" s="972"/>
      <c r="C151" s="967"/>
      <c r="D151" s="967"/>
      <c r="E151" s="967"/>
      <c r="F151" s="967"/>
      <c r="G151" s="1082" t="s">
        <v>413</v>
      </c>
      <c r="H151" s="1082"/>
      <c r="I151" s="1082"/>
      <c r="J151" s="1082"/>
      <c r="K151" s="1082"/>
      <c r="L151" s="1082"/>
      <c r="M151" s="1083"/>
      <c r="N151" s="764"/>
      <c r="P151" s="1084"/>
      <c r="Q151" s="1060"/>
      <c r="R151" s="1061"/>
      <c r="U151" s="1064">
        <f t="shared" si="7"/>
        <v>0.0</v>
      </c>
      <c r="V151" s="758">
        <f t="shared" si="10"/>
        <v>3.0</v>
      </c>
      <c r="W151" s="758">
        <f t="shared" si="9"/>
        <v>0.0</v>
      </c>
    </row>
    <row r="152" spans="8:8" ht="15.0" customHeight="1">
      <c r="B152" s="972" t="s">
        <v>414</v>
      </c>
      <c r="C152" s="1085" t="str">
        <f>'MASTER DATA SHEET'!C3</f>
        <v> PRINCIPAL,GOVT. SEN. SEC. SCHOOL DASANA KHURD (DEEDWANA-KUCHAMAN)</v>
      </c>
      <c r="D152" s="1085"/>
      <c r="E152" s="1085"/>
      <c r="F152" s="1085"/>
      <c r="G152" s="1085"/>
      <c r="H152" s="1086" t="s">
        <v>415</v>
      </c>
      <c r="I152" s="1086"/>
      <c r="J152" s="1082" t="str">
        <f>C143</f>
        <v>ABCD</v>
      </c>
      <c r="K152" s="1082"/>
      <c r="L152" s="967"/>
      <c r="M152" s="1002"/>
      <c r="N152" s="764"/>
    </row>
    <row r="153" spans="8:8" ht="15.0" customHeight="1">
      <c r="B153" s="972" t="s">
        <v>416</v>
      </c>
      <c r="C153" s="1087">
        <f>TODAY()</f>
        <v>45631.0</v>
      </c>
      <c r="D153" s="1087"/>
      <c r="E153" s="1087"/>
      <c r="F153" s="1087"/>
      <c r="G153" s="1088"/>
      <c r="H153" s="1086" t="s">
        <v>417</v>
      </c>
      <c r="I153" s="1086"/>
      <c r="J153" s="1082" t="str">
        <f>B144</f>
        <v>DDO/PRINCIPAL</v>
      </c>
      <c r="K153" s="1082"/>
      <c r="L153" s="967"/>
      <c r="M153" s="1002"/>
      <c r="N153" s="764"/>
    </row>
    <row r="154" spans="8:8" ht="16.5">
      <c r="B154" s="1089"/>
      <c r="C154" s="1090"/>
      <c r="D154" s="1090"/>
      <c r="E154" s="1090"/>
      <c r="F154" s="1090"/>
      <c r="G154" s="1090"/>
      <c r="H154" s="1090"/>
      <c r="I154" s="1090"/>
      <c r="J154" s="1090"/>
      <c r="K154" s="1091"/>
      <c r="L154" s="1090"/>
      <c r="M154" s="1092"/>
      <c r="N154" s="764"/>
      <c r="P154" s="1059" t="s">
        <v>13</v>
      </c>
      <c r="Q154" s="1064">
        <f>W154</f>
        <v>0.0</v>
      </c>
      <c r="R154" s="1061" t="str">
        <f>'TAX (OLD REGIME)'!D36</f>
        <v> /kkjk 80 D fpfdRlk chek izhfe;e ¼Lo;a]ifr@iRuh o cPpksa ds fy, : 25000] ekrk&amp;firk ds fy, : 25,000 lhfu;j flVhtu : 50,000½</v>
      </c>
      <c r="S154" s="987">
        <f>'TAX (OLD REGIME)'!P36</f>
        <v>0.0</v>
      </c>
      <c r="U154" s="1064">
        <f>IF(S154&gt;0,1,0)</f>
        <v>0.0</v>
      </c>
      <c r="V154" s="758">
        <f>U154</f>
        <v>0.0</v>
      </c>
      <c r="W154" s="758">
        <f>IF(V154&gt;V153,1,0)</f>
        <v>0.0</v>
      </c>
      <c r="X154" s="758" t="s">
        <v>418</v>
      </c>
    </row>
    <row r="155" spans="8:8" ht="16.5">
      <c r="B155" s="1093"/>
      <c r="C155" s="1093"/>
      <c r="D155" s="1093"/>
      <c r="E155" s="1093"/>
      <c r="F155" s="1093"/>
      <c r="G155" s="1093"/>
      <c r="H155" s="1093"/>
      <c r="I155" s="1093"/>
      <c r="J155" s="1093"/>
      <c r="K155" s="1093"/>
      <c r="L155" s="1093"/>
      <c r="M155" s="1093"/>
      <c r="N155" s="1094"/>
      <c r="P155" s="1059" t="s">
        <v>15</v>
      </c>
      <c r="Q155" s="1064">
        <f t="shared" si="11" ref="Q155:Q162">W155</f>
        <v>0.0</v>
      </c>
      <c r="R155" s="1061" t="str">
        <f>'TAX (OLD REGIME)'!D37</f>
        <v>/kkjk 80 DD fodykax vkfJrksa ds fpfdRlk mipkj ¼vf/kdre 75,000 rFkk 80% ;k vf/kd fodykaxrk 125,000½</v>
      </c>
      <c r="S155" s="987">
        <f>'TAX (OLD REGIME)'!P37</f>
        <v>0.0</v>
      </c>
      <c r="U155" s="1064">
        <f t="shared" si="12" ref="U155:U162">IF(S155&gt;0,1,0)</f>
        <v>0.0</v>
      </c>
      <c r="V155" s="758">
        <f t="shared" si="13" ref="V155:V162">U155+V154</f>
        <v>0.0</v>
      </c>
      <c r="W155" s="758">
        <f>IF(V155&gt;V154,1+V154,0)</f>
        <v>0.0</v>
      </c>
      <c r="X155" s="758" t="s">
        <v>419</v>
      </c>
    </row>
    <row r="156" spans="8:8" ht="15.75" hidden="1">
      <c r="B156" s="1095"/>
      <c r="C156" s="1095"/>
      <c r="D156" s="1095"/>
      <c r="E156" s="1095"/>
      <c r="F156" s="1095"/>
      <c r="G156" s="1095"/>
      <c r="H156" s="1095"/>
      <c r="I156" s="1095"/>
      <c r="J156" s="1095"/>
      <c r="K156" s="1095"/>
      <c r="L156" s="1095"/>
      <c r="M156" s="1095"/>
      <c r="P156" s="1059" t="s">
        <v>17</v>
      </c>
      <c r="Q156" s="1064">
        <f t="shared" si="11"/>
        <v>0.0</v>
      </c>
      <c r="R156" s="1061" t="str">
        <f>'TAX (OLD REGIME)'!D38</f>
        <v> /kkjk 80 DDB fof'k"V jksaxksa ds mipkj gsrq dVkSrh ¼vf/kdre : 40,000] lhfu;j flVhtu gsrq : 100,000½</v>
      </c>
      <c r="S156" s="987">
        <f>'TAX (OLD REGIME)'!P38</f>
        <v>0.0</v>
      </c>
      <c r="U156" s="1064">
        <f t="shared" si="12"/>
        <v>0.0</v>
      </c>
      <c r="V156" s="758">
        <f t="shared" si="13"/>
        <v>0.0</v>
      </c>
      <c r="W156" s="758">
        <f t="shared" si="14" ref="W156:W162">IF(V156&gt;V155,1+V155,0)</f>
        <v>0.0</v>
      </c>
      <c r="X156" s="758" t="s">
        <v>420</v>
      </c>
    </row>
    <row r="157" spans="8:8" ht="15.75" hidden="1">
      <c r="B157" s="1095"/>
      <c r="C157" s="1095"/>
      <c r="D157" s="1095"/>
      <c r="E157" s="1095"/>
      <c r="F157" s="1095"/>
      <c r="G157" s="1095"/>
      <c r="H157" s="1095"/>
      <c r="I157" s="1095"/>
      <c r="J157" s="1095"/>
      <c r="K157" s="1095"/>
      <c r="L157" s="1095"/>
      <c r="M157" s="1095"/>
      <c r="P157" s="1059" t="s">
        <v>19</v>
      </c>
      <c r="Q157" s="1064">
        <f t="shared" si="11"/>
        <v>0.0</v>
      </c>
      <c r="R157" s="1061" t="str">
        <f>'TAX (OLD REGIME)'!D39</f>
        <v> /kkjk 80 E mPp f'k{kk gsrq fy, _.k dk C;kt</v>
      </c>
      <c r="S157" s="987">
        <f>'TAX (OLD REGIME)'!P39</f>
        <v>0.0</v>
      </c>
      <c r="U157" s="1064">
        <f t="shared" si="12"/>
        <v>0.0</v>
      </c>
      <c r="V157" s="758">
        <f t="shared" si="13"/>
        <v>0.0</v>
      </c>
      <c r="W157" s="758">
        <f t="shared" si="14"/>
        <v>0.0</v>
      </c>
      <c r="X157" s="758" t="s">
        <v>421</v>
      </c>
    </row>
    <row r="158" spans="8:8" ht="15.75" hidden="1">
      <c r="B158" s="1095"/>
      <c r="C158" s="1095"/>
      <c r="D158" s="1095"/>
      <c r="E158" s="1095"/>
      <c r="F158" s="1095"/>
      <c r="G158" s="1095"/>
      <c r="H158" s="1095"/>
      <c r="I158" s="1095"/>
      <c r="J158" s="1095"/>
      <c r="K158" s="1095"/>
      <c r="L158" s="1095"/>
      <c r="M158" s="1095"/>
      <c r="P158" s="1059" t="s">
        <v>21</v>
      </c>
      <c r="Q158" s="1064">
        <f t="shared" si="11"/>
        <v>0.0</v>
      </c>
      <c r="R158" s="1061" t="str">
        <f>'TAX (OLD REGIME)'!D40</f>
        <v>/kkjk 80 G /kekZFkZ laLFkkvksa vkfn dks fn;s nku ¼ d Js.kh esa 100 izfr'kr ,oa [k Js.kh esa 50 izfr'kr½</v>
      </c>
      <c r="S158" s="987">
        <f>'TAX (OLD REGIME)'!P40</f>
        <v>0.0</v>
      </c>
      <c r="U158" s="1064">
        <f t="shared" si="12"/>
        <v>0.0</v>
      </c>
      <c r="V158" s="758">
        <f t="shared" si="13"/>
        <v>0.0</v>
      </c>
      <c r="W158" s="758">
        <f t="shared" si="14"/>
        <v>0.0</v>
      </c>
      <c r="X158" s="758" t="s">
        <v>422</v>
      </c>
    </row>
    <row r="159" spans="8:8" ht="15.75" hidden="1">
      <c r="B159" s="1095"/>
      <c r="C159" s="1095"/>
      <c r="D159" s="1095"/>
      <c r="E159" s="1095"/>
      <c r="F159" s="1095"/>
      <c r="G159" s="1095"/>
      <c r="H159" s="1095"/>
      <c r="I159" s="1095"/>
      <c r="J159" s="1095"/>
      <c r="K159" s="1095"/>
      <c r="L159" s="1095"/>
      <c r="M159" s="1095"/>
      <c r="P159" s="1059" t="s">
        <v>23</v>
      </c>
      <c r="Q159" s="1064">
        <f t="shared" si="11"/>
        <v>0.0</v>
      </c>
      <c r="R159" s="1061" t="str">
        <f>'TAX (OLD REGIME)'!D41</f>
        <v>/kkjk 80 U LFkkbZ :i ls 'kkjhfjd vleFkZrrk dh n'kk esa ¼vf/kdre 75,000 rFkk  vf/kfu;e 1995 ds vuqlkj 125,000½</v>
      </c>
      <c r="S159" s="987">
        <f>'TAX (OLD REGIME)'!P41</f>
        <v>0.0</v>
      </c>
      <c r="U159" s="1064">
        <f t="shared" si="12"/>
        <v>0.0</v>
      </c>
      <c r="V159" s="758">
        <f t="shared" si="13"/>
        <v>0.0</v>
      </c>
      <c r="W159" s="758">
        <f t="shared" si="14"/>
        <v>0.0</v>
      </c>
      <c r="X159" s="758" t="s">
        <v>423</v>
      </c>
    </row>
    <row r="160" spans="8:8" ht="15.75" hidden="1">
      <c r="B160" s="1095"/>
      <c r="C160" s="1095"/>
      <c r="D160" s="1095"/>
      <c r="E160" s="1095"/>
      <c r="F160" s="1095"/>
      <c r="G160" s="1095"/>
      <c r="H160" s="1095"/>
      <c r="I160" s="1095"/>
      <c r="J160" s="1095"/>
      <c r="K160" s="1095"/>
      <c r="L160" s="1095"/>
      <c r="M160" s="1095"/>
      <c r="P160" s="1059" t="s">
        <v>25</v>
      </c>
      <c r="Q160" s="1064">
        <f t="shared" si="11"/>
        <v>0.0</v>
      </c>
      <c r="R160" s="1061" t="str">
        <f>'TAX (OLD REGIME)'!D42</f>
        <v> /kkjk 80 TTA cpr [kkrs ij C;kt dh vf/kdre NwV :- 10,000           U/S 194(IA)</v>
      </c>
      <c r="S160" s="987">
        <f>'TAX (OLD REGIME)'!P42</f>
        <v>0.0</v>
      </c>
      <c r="U160" s="1064">
        <f t="shared" si="12"/>
        <v>0.0</v>
      </c>
      <c r="V160" s="758">
        <f t="shared" si="13"/>
        <v>0.0</v>
      </c>
      <c r="W160" s="758">
        <f t="shared" si="14"/>
        <v>0.0</v>
      </c>
      <c r="X160" s="758" t="s">
        <v>424</v>
      </c>
    </row>
    <row r="161" spans="8:8" ht="15.75" hidden="1">
      <c r="B161" s="1095"/>
      <c r="C161" s="1095"/>
      <c r="D161" s="1095"/>
      <c r="E161" s="1095"/>
      <c r="F161" s="1095"/>
      <c r="G161" s="1095"/>
      <c r="H161" s="1095"/>
      <c r="I161" s="1095"/>
      <c r="J161" s="1095"/>
      <c r="K161" s="1095"/>
      <c r="L161" s="1095"/>
      <c r="M161" s="1095"/>
      <c r="P161" s="1059" t="s">
        <v>27</v>
      </c>
      <c r="Q161" s="1064">
        <f t="shared" si="11"/>
        <v>0.0</v>
      </c>
      <c r="R161" s="1061" t="str">
        <f>'TAX (OLD REGIME)'!D43</f>
        <v>/kkjk 80 TTB - aofj"B ukxfjdksa dks lHkh izdkj ds C;kt ij vf/kdre NwV&amp;  50,000 :-       U/S 194(A)</v>
      </c>
      <c r="S161" s="987">
        <f>'TAX (OLD REGIME)'!P43</f>
        <v>0.0</v>
      </c>
      <c r="U161" s="1064">
        <f t="shared" si="12"/>
        <v>0.0</v>
      </c>
      <c r="V161" s="758">
        <f t="shared" si="13"/>
        <v>0.0</v>
      </c>
      <c r="W161" s="758">
        <f t="shared" si="14"/>
        <v>0.0</v>
      </c>
      <c r="X161" s="758" t="s">
        <v>425</v>
      </c>
    </row>
    <row r="162" spans="8:8" ht="15.75" hidden="1">
      <c r="B162" s="1095"/>
      <c r="C162" s="1095"/>
      <c r="D162" s="1095"/>
      <c r="E162" s="1095"/>
      <c r="F162" s="1095"/>
      <c r="G162" s="1095"/>
      <c r="H162" s="1095"/>
      <c r="I162" s="1095"/>
      <c r="J162" s="1095"/>
      <c r="K162" s="1095"/>
      <c r="L162" s="1095"/>
      <c r="M162" s="1095"/>
      <c r="P162" s="1059" t="s">
        <v>29</v>
      </c>
      <c r="Q162" s="1064">
        <f t="shared" si="11"/>
        <v>0.0</v>
      </c>
      <c r="R162" s="1061" t="str">
        <f>'TAX (OLD REGIME)'!D44</f>
        <v>/kkjk 80 GGC jktuhfrd ikfVZ;ksa gsrq fn;k x;k nku o धारा 80 GGA -अनुमोदित वैज्ञानिक,सामाजिक,ग्रामीण विकास आदि हेतु दिया गया दान</v>
      </c>
      <c r="S162" s="987">
        <f>'TAX (OLD REGIME)'!P44</f>
        <v>0.0</v>
      </c>
      <c r="U162" s="1064">
        <f t="shared" si="12"/>
        <v>0.0</v>
      </c>
      <c r="V162" s="758">
        <f t="shared" si="13"/>
        <v>0.0</v>
      </c>
      <c r="W162" s="758">
        <f t="shared" si="14"/>
        <v>0.0</v>
      </c>
      <c r="X162" s="1096" t="s">
        <v>440</v>
      </c>
    </row>
    <row r="163" spans="8:8">
      <c r="B163" s="1095"/>
      <c r="C163" s="1095"/>
      <c r="D163" s="1095"/>
      <c r="E163" s="1095"/>
      <c r="F163" s="1095"/>
      <c r="G163" s="1095"/>
      <c r="H163" s="1095"/>
      <c r="I163" s="1095"/>
      <c r="J163" s="1095"/>
      <c r="K163" s="1095"/>
      <c r="L163" s="1095"/>
      <c r="M163" s="1095"/>
    </row>
    <row r="164" spans="8:8" hidden="1">
      <c r="B164" s="1095"/>
      <c r="C164" s="1095"/>
      <c r="D164" s="1095"/>
      <c r="E164" s="1095"/>
      <c r="F164" s="1095"/>
      <c r="G164" s="1095"/>
      <c r="H164" s="1095"/>
      <c r="I164" s="1095"/>
      <c r="J164" s="1095"/>
      <c r="K164" s="1095"/>
      <c r="L164" s="1095"/>
      <c r="M164" s="1095"/>
    </row>
    <row r="165" spans="8:8" hidden="1">
      <c r="B165" s="1095"/>
      <c r="C165" s="1095"/>
      <c r="D165" s="1095"/>
      <c r="E165" s="1095"/>
      <c r="F165" s="1095"/>
      <c r="G165" s="1095"/>
      <c r="H165" s="1095"/>
      <c r="I165" s="1095"/>
      <c r="J165" s="1095"/>
      <c r="K165" s="1095"/>
      <c r="L165" s="1095"/>
      <c r="M165" s="1095"/>
    </row>
    <row r="166" spans="8:8" hidden="1">
      <c r="B166" s="1095"/>
      <c r="C166" s="1095"/>
      <c r="D166" s="1095"/>
      <c r="E166" s="1095"/>
      <c r="F166" s="1095"/>
      <c r="G166" s="1095"/>
      <c r="H166" s="1095"/>
      <c r="I166" s="1095"/>
      <c r="J166" s="1095"/>
      <c r="K166" s="1095"/>
      <c r="L166" s="1095"/>
      <c r="M166" s="1095"/>
    </row>
    <row r="167" spans="8:8" hidden="1">
      <c r="B167" s="1095"/>
      <c r="C167" s="1095"/>
      <c r="D167" s="1095"/>
      <c r="E167" s="1095"/>
      <c r="F167" s="1095"/>
      <c r="G167" s="1095"/>
      <c r="H167" s="1095"/>
      <c r="I167" s="1095"/>
      <c r="J167" s="1095"/>
      <c r="K167" s="1095"/>
      <c r="L167" s="1095"/>
      <c r="M167" s="1095"/>
    </row>
    <row r="168" spans="8:8" hidden="1">
      <c r="B168" s="1095"/>
      <c r="C168" s="1095"/>
      <c r="D168" s="1095"/>
      <c r="E168" s="1095"/>
      <c r="F168" s="1095"/>
      <c r="G168" s="1095"/>
      <c r="H168" s="1095"/>
      <c r="I168" s="1095"/>
      <c r="J168" s="1095"/>
      <c r="K168" s="1095"/>
      <c r="L168" s="1095"/>
      <c r="M168" s="1095"/>
    </row>
    <row r="169" spans="8:8" hidden="1">
      <c r="B169" s="1095"/>
      <c r="C169" s="1095"/>
      <c r="D169" s="1095"/>
      <c r="E169" s="1095"/>
      <c r="F169" s="1095"/>
      <c r="G169" s="1095"/>
      <c r="H169" s="1095"/>
      <c r="I169" s="1095"/>
      <c r="J169" s="1095"/>
      <c r="K169" s="1095"/>
      <c r="L169" s="1095"/>
      <c r="M169" s="1095"/>
    </row>
    <row r="170" spans="8:8" hidden="1">
      <c r="B170" s="1095"/>
      <c r="C170" s="1095"/>
      <c r="D170" s="1095"/>
      <c r="E170" s="1095"/>
      <c r="F170" s="1095"/>
      <c r="G170" s="1095"/>
      <c r="H170" s="1095"/>
      <c r="I170" s="1095"/>
      <c r="J170" s="1095"/>
      <c r="K170" s="1095"/>
      <c r="L170" s="1095"/>
      <c r="M170" s="1095"/>
    </row>
    <row r="171" spans="8:8" hidden="1">
      <c r="B171" s="1095"/>
      <c r="C171" s="1095"/>
      <c r="D171" s="1095"/>
      <c r="E171" s="1095"/>
      <c r="F171" s="1095"/>
      <c r="G171" s="1095"/>
      <c r="H171" s="1095"/>
      <c r="I171" s="1095"/>
      <c r="J171" s="1095"/>
      <c r="K171" s="1095"/>
      <c r="L171" s="1095"/>
      <c r="M171" s="1095"/>
    </row>
    <row r="172" spans="8:8" hidden="1">
      <c r="B172" s="1095"/>
      <c r="C172" s="1095"/>
      <c r="D172" s="1095"/>
      <c r="E172" s="1095"/>
      <c r="F172" s="1095"/>
      <c r="G172" s="1095"/>
      <c r="H172" s="1095"/>
      <c r="I172" s="1095"/>
      <c r="J172" s="1095"/>
      <c r="K172" s="1095"/>
      <c r="L172" s="1095"/>
      <c r="M172" s="1095"/>
    </row>
    <row r="173" spans="8:8" hidden="1">
      <c r="B173" s="1095"/>
      <c r="C173" s="1095"/>
      <c r="D173" s="1095"/>
      <c r="E173" s="1095"/>
      <c r="F173" s="1095"/>
      <c r="G173" s="1095"/>
      <c r="H173" s="1095"/>
      <c r="I173" s="1095"/>
      <c r="J173" s="1095"/>
      <c r="K173" s="1095"/>
      <c r="L173" s="1095"/>
      <c r="M173" s="1095"/>
    </row>
    <row r="174" spans="8:8" hidden="1">
      <c r="B174" s="1095"/>
      <c r="C174" s="1095"/>
      <c r="D174" s="1095"/>
      <c r="E174" s="1095"/>
      <c r="F174" s="1095"/>
      <c r="G174" s="1095"/>
      <c r="H174" s="1095"/>
      <c r="I174" s="1095"/>
      <c r="J174" s="1095"/>
      <c r="K174" s="1095"/>
      <c r="L174" s="1095"/>
      <c r="M174" s="1095"/>
    </row>
    <row r="175" spans="8:8" hidden="1">
      <c r="B175" s="1095"/>
      <c r="C175" s="1095"/>
      <c r="D175" s="1095"/>
      <c r="E175" s="1095"/>
      <c r="F175" s="1095"/>
      <c r="G175" s="1095"/>
      <c r="H175" s="1095"/>
      <c r="I175" s="1095"/>
      <c r="J175" s="1095"/>
      <c r="K175" s="1095"/>
      <c r="L175" s="1095"/>
      <c r="M175" s="1095"/>
    </row>
    <row r="176" spans="8:8" hidden="1">
      <c r="B176" s="1095"/>
      <c r="C176" s="1095"/>
      <c r="D176" s="1095"/>
      <c r="E176" s="1095"/>
      <c r="F176" s="1095"/>
      <c r="G176" s="1095"/>
      <c r="H176" s="1095"/>
      <c r="I176" s="1095"/>
      <c r="J176" s="1095"/>
      <c r="K176" s="1095"/>
      <c r="L176" s="1095"/>
      <c r="M176" s="1095"/>
    </row>
    <row r="177" spans="8:8" hidden="1">
      <c r="B177" s="1095"/>
      <c r="C177" s="1095"/>
      <c r="D177" s="1095"/>
      <c r="E177" s="1095"/>
      <c r="F177" s="1095"/>
      <c r="G177" s="1095"/>
      <c r="H177" s="1095"/>
      <c r="I177" s="1095"/>
      <c r="J177" s="1095"/>
      <c r="K177" s="1095"/>
      <c r="L177" s="1095"/>
      <c r="M177" s="1095"/>
    </row>
    <row r="178" spans="8:8" hidden="1">
      <c r="B178" s="1095"/>
      <c r="C178" s="1095"/>
      <c r="D178" s="1095"/>
      <c r="E178" s="1095"/>
      <c r="F178" s="1095"/>
      <c r="G178" s="1095"/>
      <c r="H178" s="1095"/>
      <c r="I178" s="1095"/>
      <c r="J178" s="1095"/>
      <c r="K178" s="1095"/>
      <c r="L178" s="1095"/>
      <c r="M178" s="1095"/>
    </row>
    <row r="179" spans="8:8" hidden="1">
      <c r="B179" s="1095"/>
      <c r="C179" s="1095"/>
      <c r="D179" s="1095"/>
      <c r="E179" s="1095"/>
      <c r="F179" s="1095"/>
      <c r="G179" s="1095"/>
      <c r="H179" s="1095"/>
      <c r="I179" s="1095"/>
      <c r="J179" s="1095"/>
      <c r="K179" s="1095"/>
      <c r="L179" s="1095"/>
      <c r="M179" s="1095"/>
    </row>
    <row r="180" spans="8:8" hidden="1">
      <c r="B180" s="1095"/>
      <c r="C180" s="1095"/>
      <c r="D180" s="1095"/>
      <c r="E180" s="1095"/>
      <c r="F180" s="1095"/>
      <c r="G180" s="1095"/>
      <c r="H180" s="1095"/>
      <c r="I180" s="1095"/>
      <c r="J180" s="1095"/>
      <c r="K180" s="1095"/>
      <c r="L180" s="1095"/>
      <c r="M180" s="1095"/>
    </row>
    <row r="181" spans="8:8" hidden="1">
      <c r="B181" s="1095"/>
      <c r="C181" s="1095"/>
      <c r="D181" s="1095"/>
      <c r="E181" s="1095"/>
      <c r="F181" s="1095"/>
      <c r="G181" s="1095"/>
      <c r="H181" s="1095"/>
      <c r="I181" s="1095"/>
      <c r="J181" s="1095"/>
      <c r="K181" s="1095"/>
      <c r="L181" s="1095"/>
      <c r="M181" s="1095"/>
    </row>
    <row r="182" spans="8:8" hidden="1">
      <c r="B182" s="1095"/>
      <c r="C182" s="1095"/>
      <c r="D182" s="1095"/>
      <c r="E182" s="1095"/>
      <c r="F182" s="1095"/>
      <c r="G182" s="1095"/>
      <c r="H182" s="1095"/>
      <c r="I182" s="1095"/>
      <c r="J182" s="1095"/>
      <c r="K182" s="1095"/>
      <c r="L182" s="1095"/>
      <c r="M182" s="1095"/>
    </row>
    <row r="183" spans="8:8" hidden="1">
      <c r="B183" s="1095"/>
      <c r="C183" s="1095"/>
      <c r="D183" s="1095"/>
      <c r="E183" s="1095"/>
      <c r="F183" s="1095"/>
      <c r="G183" s="1095"/>
      <c r="H183" s="1095"/>
      <c r="I183" s="1095"/>
      <c r="J183" s="1095"/>
      <c r="K183" s="1095"/>
      <c r="L183" s="1095"/>
      <c r="M183" s="1095"/>
    </row>
    <row r="184" spans="8:8" hidden="1">
      <c r="B184" s="1095"/>
      <c r="C184" s="1095"/>
      <c r="D184" s="1095"/>
      <c r="E184" s="1095"/>
      <c r="F184" s="1095"/>
      <c r="G184" s="1095"/>
      <c r="H184" s="1095"/>
      <c r="I184" s="1095"/>
      <c r="J184" s="1095"/>
      <c r="K184" s="1095"/>
      <c r="L184" s="1095"/>
      <c r="M184" s="1095"/>
    </row>
    <row r="185" spans="8:8" hidden="1">
      <c r="B185" s="1095"/>
      <c r="C185" s="1095"/>
      <c r="D185" s="1095"/>
      <c r="E185" s="1095"/>
      <c r="F185" s="1095"/>
      <c r="G185" s="1095"/>
      <c r="H185" s="1095"/>
      <c r="I185" s="1095"/>
      <c r="J185" s="1095"/>
      <c r="K185" s="1095"/>
      <c r="L185" s="1095"/>
      <c r="M185" s="1095"/>
    </row>
    <row r="186" spans="8:8" hidden="1">
      <c r="B186" s="1095"/>
      <c r="C186" s="1095"/>
      <c r="D186" s="1095"/>
      <c r="E186" s="1095"/>
      <c r="F186" s="1095"/>
      <c r="G186" s="1095"/>
      <c r="H186" s="1095"/>
      <c r="I186" s="1095"/>
      <c r="J186" s="1095"/>
      <c r="K186" s="1095"/>
      <c r="L186" s="1095"/>
      <c r="M186" s="1095"/>
    </row>
    <row r="187" spans="8:8" hidden="1">
      <c r="B187" s="1095"/>
      <c r="C187" s="1095"/>
      <c r="D187" s="1095"/>
      <c r="E187" s="1095"/>
      <c r="F187" s="1095"/>
      <c r="G187" s="1095"/>
      <c r="H187" s="1095"/>
      <c r="I187" s="1095"/>
      <c r="J187" s="1095"/>
      <c r="K187" s="1095"/>
      <c r="L187" s="1095"/>
      <c r="M187" s="1095"/>
    </row>
    <row r="188" spans="8:8" hidden="1">
      <c r="B188" s="1095"/>
      <c r="C188" s="1095"/>
      <c r="D188" s="1095"/>
      <c r="E188" s="1095"/>
      <c r="F188" s="1095"/>
      <c r="G188" s="1095"/>
      <c r="H188" s="1095"/>
      <c r="I188" s="1095"/>
      <c r="J188" s="1095"/>
      <c r="K188" s="1095"/>
      <c r="L188" s="1095"/>
      <c r="M188" s="1095"/>
    </row>
    <row r="189" spans="8:8" hidden="1">
      <c r="B189" s="1095"/>
      <c r="C189" s="1095"/>
      <c r="D189" s="1095"/>
      <c r="E189" s="1095"/>
      <c r="F189" s="1095"/>
      <c r="G189" s="1095"/>
      <c r="H189" s="1095"/>
      <c r="I189" s="1095"/>
      <c r="J189" s="1095"/>
      <c r="K189" s="1095"/>
      <c r="L189" s="1095"/>
      <c r="M189" s="1095"/>
    </row>
    <row r="190" spans="8:8" hidden="1">
      <c r="B190" s="1095"/>
      <c r="C190" s="1095"/>
      <c r="D190" s="1095"/>
      <c r="E190" s="1095"/>
      <c r="F190" s="1095"/>
      <c r="G190" s="1095"/>
      <c r="H190" s="1095"/>
      <c r="I190" s="1095"/>
      <c r="J190" s="1095"/>
      <c r="K190" s="1095"/>
      <c r="L190" s="1095"/>
      <c r="M190" s="1095"/>
    </row>
    <row r="191" spans="8:8" hidden="1">
      <c r="B191" s="1095"/>
      <c r="C191" s="1095"/>
      <c r="D191" s="1095"/>
      <c r="E191" s="1095"/>
      <c r="F191" s="1095"/>
      <c r="G191" s="1095"/>
      <c r="H191" s="1095"/>
      <c r="I191" s="1095"/>
      <c r="J191" s="1095"/>
      <c r="K191" s="1095"/>
      <c r="L191" s="1095"/>
      <c r="M191" s="1095"/>
    </row>
    <row r="192" spans="8:8" hidden="1">
      <c r="B192" s="1095"/>
      <c r="C192" s="1095"/>
      <c r="D192" s="1095"/>
      <c r="E192" s="1095"/>
      <c r="F192" s="1095"/>
      <c r="G192" s="1095"/>
      <c r="H192" s="1095"/>
      <c r="I192" s="1095"/>
      <c r="J192" s="1095"/>
      <c r="K192" s="1095"/>
      <c r="L192" s="1095"/>
      <c r="M192" s="1095"/>
    </row>
    <row r="193" spans="8:8" hidden="1">
      <c r="B193" s="1095"/>
      <c r="C193" s="1095"/>
      <c r="D193" s="1095"/>
      <c r="E193" s="1095"/>
      <c r="F193" s="1095"/>
      <c r="G193" s="1095"/>
      <c r="H193" s="1095"/>
      <c r="I193" s="1095"/>
      <c r="J193" s="1095"/>
      <c r="K193" s="1095"/>
      <c r="L193" s="1095"/>
      <c r="M193" s="1095"/>
    </row>
    <row r="194" spans="8:8" hidden="1">
      <c r="B194" s="1095"/>
      <c r="C194" s="1095"/>
      <c r="D194" s="1095"/>
      <c r="E194" s="1095"/>
      <c r="F194" s="1095"/>
      <c r="G194" s="1095"/>
      <c r="H194" s="1095"/>
      <c r="I194" s="1095"/>
      <c r="J194" s="1095"/>
      <c r="K194" s="1095"/>
      <c r="L194" s="1095"/>
      <c r="M194" s="1095"/>
    </row>
    <row r="195" spans="8:8" hidden="1">
      <c r="B195" s="1095"/>
      <c r="C195" s="1095"/>
      <c r="D195" s="1095"/>
      <c r="E195" s="1095"/>
      <c r="F195" s="1095"/>
      <c r="G195" s="1095"/>
      <c r="H195" s="1095"/>
      <c r="I195" s="1095"/>
      <c r="J195" s="1095"/>
      <c r="K195" s="1095"/>
      <c r="L195" s="1095"/>
      <c r="M195" s="1095"/>
    </row>
    <row r="196" spans="8:8" hidden="1">
      <c r="B196" s="1095"/>
      <c r="C196" s="1095"/>
      <c r="D196" s="1095"/>
      <c r="E196" s="1095"/>
      <c r="F196" s="1095"/>
      <c r="G196" s="1095"/>
      <c r="H196" s="1095"/>
      <c r="I196" s="1095"/>
      <c r="J196" s="1095"/>
      <c r="K196" s="1095"/>
      <c r="L196" s="1095"/>
      <c r="M196" s="1095"/>
    </row>
    <row r="197" spans="8:8" hidden="1">
      <c r="B197" s="1095"/>
      <c r="C197" s="1095"/>
      <c r="D197" s="1095"/>
      <c r="E197" s="1095"/>
      <c r="F197" s="1095"/>
      <c r="G197" s="1095"/>
      <c r="H197" s="1095"/>
      <c r="I197" s="1095"/>
      <c r="J197" s="1095"/>
      <c r="K197" s="1095"/>
      <c r="L197" s="1095"/>
      <c r="M197" s="1095"/>
    </row>
    <row r="198" spans="8:8" hidden="1">
      <c r="B198" s="1095"/>
      <c r="C198" s="1095"/>
      <c r="D198" s="1095"/>
      <c r="E198" s="1095"/>
      <c r="F198" s="1095"/>
      <c r="G198" s="1095"/>
      <c r="H198" s="1095"/>
      <c r="I198" s="1095"/>
      <c r="J198" s="1095"/>
      <c r="K198" s="1095"/>
      <c r="L198" s="1095"/>
      <c r="M198" s="1095"/>
    </row>
    <row r="199" spans="8:8" hidden="1">
      <c r="B199" s="1095"/>
      <c r="C199" s="1095"/>
      <c r="D199" s="1095"/>
      <c r="E199" s="1095"/>
      <c r="F199" s="1095"/>
      <c r="G199" s="1095"/>
      <c r="H199" s="1095"/>
      <c r="I199" s="1095"/>
      <c r="J199" s="1095"/>
      <c r="K199" s="1095"/>
      <c r="L199" s="1095"/>
      <c r="M199" s="1095"/>
    </row>
    <row r="200" spans="8:8" hidden="1">
      <c r="B200" s="1095"/>
      <c r="C200" s="1095"/>
      <c r="D200" s="1095"/>
      <c r="E200" s="1095"/>
      <c r="F200" s="1095"/>
      <c r="G200" s="1095"/>
      <c r="H200" s="1095"/>
      <c r="I200" s="1095"/>
      <c r="J200" s="1095"/>
      <c r="K200" s="1095"/>
      <c r="L200" s="1095"/>
      <c r="M200" s="1095"/>
    </row>
    <row r="201" spans="8:8" hidden="1">
      <c r="B201" s="1095"/>
      <c r="C201" s="1095"/>
      <c r="D201" s="1095"/>
      <c r="E201" s="1095"/>
      <c r="F201" s="1095"/>
      <c r="G201" s="1095"/>
      <c r="H201" s="1095"/>
      <c r="I201" s="1095"/>
      <c r="J201" s="1095"/>
      <c r="K201" s="1095"/>
      <c r="L201" s="1095"/>
      <c r="M201" s="1095"/>
    </row>
    <row r="202" spans="8:8" hidden="1">
      <c r="B202" s="1095"/>
      <c r="C202" s="1095"/>
      <c r="D202" s="1095"/>
      <c r="E202" s="1095"/>
      <c r="F202" s="1095"/>
      <c r="G202" s="1095"/>
      <c r="H202" s="1095"/>
      <c r="I202" s="1095"/>
      <c r="J202" s="1095"/>
      <c r="K202" s="1095"/>
      <c r="L202" s="1095"/>
      <c r="M202" s="1095"/>
    </row>
    <row r="203" spans="8:8" hidden="1">
      <c r="B203" s="1095"/>
      <c r="C203" s="1095"/>
      <c r="D203" s="1095"/>
      <c r="E203" s="1095"/>
      <c r="F203" s="1095"/>
      <c r="G203" s="1095"/>
      <c r="H203" s="1095"/>
      <c r="I203" s="1095"/>
      <c r="J203" s="1095"/>
      <c r="K203" s="1095"/>
      <c r="L203" s="1095"/>
      <c r="M203" s="1095"/>
    </row>
    <row r="204" spans="8:8" hidden="1">
      <c r="B204" s="1095"/>
      <c r="C204" s="1095"/>
      <c r="D204" s="1095"/>
      <c r="E204" s="1095"/>
      <c r="F204" s="1095"/>
      <c r="G204" s="1095"/>
      <c r="H204" s="1095"/>
      <c r="I204" s="1095"/>
      <c r="J204" s="1095"/>
      <c r="K204" s="1095"/>
      <c r="L204" s="1095"/>
      <c r="M204" s="1095"/>
    </row>
    <row r="205" spans="8:8" hidden="1">
      <c r="B205" s="1095"/>
      <c r="C205" s="1095"/>
      <c r="D205" s="1095"/>
      <c r="E205" s="1095"/>
      <c r="F205" s="1095"/>
      <c r="G205" s="1095"/>
      <c r="H205" s="1095"/>
      <c r="I205" s="1095"/>
      <c r="J205" s="1095"/>
      <c r="K205" s="1095"/>
      <c r="L205" s="1095"/>
      <c r="M205" s="1095"/>
    </row>
    <row r="206" spans="8:8" hidden="1">
      <c r="B206" s="1095"/>
      <c r="C206" s="1095"/>
      <c r="D206" s="1095"/>
      <c r="E206" s="1095"/>
      <c r="F206" s="1095"/>
      <c r="G206" s="1095"/>
      <c r="H206" s="1095"/>
      <c r="I206" s="1095"/>
      <c r="J206" s="1095"/>
      <c r="K206" s="1095"/>
      <c r="L206" s="1095"/>
      <c r="M206" s="1095"/>
    </row>
    <row r="207" spans="8:8" hidden="1">
      <c r="B207" s="1095"/>
      <c r="C207" s="1095"/>
      <c r="D207" s="1095"/>
      <c r="E207" s="1095"/>
      <c r="F207" s="1095"/>
      <c r="G207" s="1095"/>
      <c r="H207" s="1095"/>
      <c r="I207" s="1095"/>
      <c r="J207" s="1095"/>
      <c r="K207" s="1095"/>
      <c r="L207" s="1095"/>
      <c r="M207" s="1095"/>
    </row>
    <row r="208" spans="8:8" hidden="1">
      <c r="B208" s="1095"/>
      <c r="C208" s="1095"/>
      <c r="D208" s="1095"/>
      <c r="E208" s="1095"/>
      <c r="F208" s="1095"/>
      <c r="G208" s="1095"/>
      <c r="H208" s="1095"/>
      <c r="I208" s="1095"/>
      <c r="J208" s="1095"/>
      <c r="K208" s="1095"/>
      <c r="L208" s="1095"/>
      <c r="M208" s="1095"/>
    </row>
    <row r="209" spans="8:8" hidden="1">
      <c r="B209" s="1095"/>
      <c r="C209" s="1095"/>
      <c r="D209" s="1095"/>
      <c r="E209" s="1095"/>
      <c r="F209" s="1095"/>
      <c r="G209" s="1095"/>
      <c r="H209" s="1095"/>
      <c r="I209" s="1095"/>
      <c r="J209" s="1095"/>
      <c r="K209" s="1095"/>
      <c r="L209" s="1095"/>
      <c r="M209" s="1095"/>
    </row>
    <row r="210" spans="8:8" hidden="1">
      <c r="B210" s="1095"/>
      <c r="C210" s="1095"/>
      <c r="D210" s="1095"/>
      <c r="E210" s="1095"/>
      <c r="F210" s="1095"/>
      <c r="G210" s="1095"/>
      <c r="H210" s="1095"/>
      <c r="I210" s="1095"/>
      <c r="J210" s="1095"/>
      <c r="K210" s="1095"/>
      <c r="L210" s="1095"/>
      <c r="M210" s="1095"/>
    </row>
    <row r="211" spans="8:8" hidden="1">
      <c r="B211" s="1095"/>
      <c r="C211" s="1095"/>
      <c r="D211" s="1095"/>
      <c r="E211" s="1095"/>
      <c r="F211" s="1095"/>
      <c r="G211" s="1095"/>
      <c r="H211" s="1095"/>
      <c r="I211" s="1095"/>
      <c r="J211" s="1095"/>
      <c r="K211" s="1095"/>
      <c r="L211" s="1095"/>
      <c r="M211" s="1095"/>
    </row>
    <row r="212" spans="8:8" hidden="1">
      <c r="B212" s="1095"/>
      <c r="C212" s="1095"/>
      <c r="D212" s="1095"/>
      <c r="E212" s="1095"/>
      <c r="F212" s="1095"/>
      <c r="G212" s="1095"/>
      <c r="H212" s="1095"/>
      <c r="I212" s="1095"/>
      <c r="J212" s="1095"/>
      <c r="K212" s="1095"/>
      <c r="L212" s="1095"/>
      <c r="M212" s="1095"/>
    </row>
    <row r="213" spans="8:8" hidden="1">
      <c r="B213" s="1095"/>
      <c r="C213" s="1095"/>
      <c r="D213" s="1095"/>
      <c r="E213" s="1095"/>
      <c r="F213" s="1095"/>
      <c r="G213" s="1095"/>
      <c r="H213" s="1095"/>
      <c r="I213" s="1095"/>
      <c r="J213" s="1095"/>
      <c r="K213" s="1095"/>
      <c r="L213" s="1095"/>
      <c r="M213" s="1095"/>
    </row>
    <row r="214" spans="8:8" hidden="1">
      <c r="B214" s="1095"/>
      <c r="C214" s="1095"/>
      <c r="D214" s="1095"/>
      <c r="E214" s="1095"/>
      <c r="F214" s="1095"/>
      <c r="G214" s="1095"/>
      <c r="H214" s="1095"/>
      <c r="I214" s="1095"/>
      <c r="J214" s="1095"/>
      <c r="K214" s="1095"/>
      <c r="L214" s="1095"/>
      <c r="M214" s="1095"/>
    </row>
    <row r="215" spans="8:8" hidden="1">
      <c r="B215" s="1095"/>
      <c r="C215" s="1095"/>
      <c r="D215" s="1095"/>
      <c r="E215" s="1095"/>
      <c r="F215" s="1095"/>
      <c r="G215" s="1095"/>
      <c r="H215" s="1095"/>
      <c r="I215" s="1095"/>
      <c r="J215" s="1095"/>
      <c r="K215" s="1095"/>
      <c r="L215" s="1095"/>
      <c r="M215" s="1095"/>
    </row>
    <row r="216" spans="8:8" hidden="1">
      <c r="B216" s="1095"/>
      <c r="C216" s="1095"/>
      <c r="D216" s="1095"/>
      <c r="E216" s="1095"/>
      <c r="F216" s="1095"/>
      <c r="G216" s="1095"/>
      <c r="H216" s="1095"/>
      <c r="I216" s="1095"/>
      <c r="J216" s="1095"/>
      <c r="K216" s="1095"/>
      <c r="L216" s="1095"/>
      <c r="M216" s="1095"/>
    </row>
    <row r="217" spans="8:8" hidden="1">
      <c r="B217" s="1095"/>
      <c r="C217" s="1095"/>
      <c r="D217" s="1095"/>
      <c r="E217" s="1095"/>
      <c r="F217" s="1095"/>
      <c r="G217" s="1095"/>
      <c r="H217" s="1095"/>
      <c r="I217" s="1095"/>
      <c r="J217" s="1095"/>
      <c r="K217" s="1095"/>
      <c r="L217" s="1095"/>
      <c r="M217" s="1095"/>
    </row>
    <row r="218" spans="8:8" hidden="1">
      <c r="B218" s="1095"/>
      <c r="C218" s="1095"/>
      <c r="D218" s="1095"/>
      <c r="E218" s="1095"/>
      <c r="F218" s="1095"/>
      <c r="G218" s="1095"/>
      <c r="H218" s="1095"/>
      <c r="I218" s="1095"/>
      <c r="J218" s="1095"/>
      <c r="K218" s="1095"/>
      <c r="L218" s="1095"/>
      <c r="M218" s="1095"/>
    </row>
    <row r="219" spans="8:8" hidden="1">
      <c r="B219" s="1095"/>
      <c r="C219" s="1095"/>
      <c r="D219" s="1095"/>
      <c r="E219" s="1095"/>
      <c r="F219" s="1095"/>
      <c r="G219" s="1095"/>
      <c r="H219" s="1095"/>
      <c r="I219" s="1095"/>
      <c r="J219" s="1095"/>
      <c r="K219" s="1095"/>
      <c r="L219" s="1095"/>
      <c r="M219" s="1095"/>
    </row>
    <row r="220" spans="8:8" hidden="1">
      <c r="B220" s="1095"/>
      <c r="C220" s="1095"/>
      <c r="D220" s="1095"/>
      <c r="E220" s="1095"/>
      <c r="F220" s="1095"/>
      <c r="G220" s="1095"/>
      <c r="H220" s="1095"/>
      <c r="I220" s="1095"/>
      <c r="J220" s="1095"/>
      <c r="K220" s="1095"/>
      <c r="L220" s="1095"/>
      <c r="M220" s="1095"/>
    </row>
    <row r="221" spans="8:8" hidden="1">
      <c r="B221" s="1095"/>
      <c r="C221" s="1095"/>
      <c r="D221" s="1095"/>
      <c r="E221" s="1095"/>
      <c r="F221" s="1095"/>
      <c r="G221" s="1095"/>
      <c r="H221" s="1095"/>
      <c r="I221" s="1095"/>
      <c r="J221" s="1095"/>
      <c r="K221" s="1095"/>
      <c r="L221" s="1095"/>
      <c r="M221" s="1095"/>
    </row>
    <row r="222" spans="8:8" hidden="1">
      <c r="B222" s="1095"/>
      <c r="C222" s="1095"/>
      <c r="D222" s="1095"/>
      <c r="E222" s="1095"/>
      <c r="F222" s="1095"/>
      <c r="G222" s="1095"/>
      <c r="H222" s="1095"/>
      <c r="I222" s="1095"/>
      <c r="J222" s="1095"/>
      <c r="K222" s="1095"/>
      <c r="L222" s="1095"/>
      <c r="M222" s="1095"/>
    </row>
    <row r="223" spans="8:8" hidden="1">
      <c r="B223" s="1095"/>
      <c r="C223" s="1095"/>
      <c r="D223" s="1095"/>
      <c r="E223" s="1095"/>
      <c r="F223" s="1095"/>
      <c r="G223" s="1095"/>
      <c r="H223" s="1095"/>
      <c r="I223" s="1095"/>
      <c r="J223" s="1095"/>
      <c r="K223" s="1095"/>
      <c r="L223" s="1095"/>
      <c r="M223" s="1095"/>
    </row>
    <row r="224" spans="8:8" hidden="1">
      <c r="B224" s="1095"/>
      <c r="C224" s="1095"/>
      <c r="D224" s="1095"/>
      <c r="E224" s="1095"/>
      <c r="F224" s="1095"/>
      <c r="G224" s="1095"/>
      <c r="H224" s="1095"/>
      <c r="I224" s="1095"/>
      <c r="J224" s="1095"/>
      <c r="K224" s="1095"/>
      <c r="L224" s="1095"/>
      <c r="M224" s="1095"/>
    </row>
    <row r="225" spans="8:8" hidden="1">
      <c r="B225" s="1095"/>
      <c r="C225" s="1095"/>
      <c r="D225" s="1095"/>
      <c r="E225" s="1095"/>
      <c r="F225" s="1095"/>
      <c r="G225" s="1095"/>
      <c r="H225" s="1095"/>
      <c r="I225" s="1095"/>
      <c r="J225" s="1095"/>
      <c r="K225" s="1095"/>
      <c r="L225" s="1095"/>
      <c r="M225" s="1095"/>
    </row>
    <row r="226" spans="8:8" hidden="1">
      <c r="B226" s="1095"/>
      <c r="C226" s="1095"/>
      <c r="D226" s="1095"/>
      <c r="E226" s="1095"/>
      <c r="F226" s="1095"/>
      <c r="G226" s="1095"/>
      <c r="H226" s="1095"/>
      <c r="I226" s="1095"/>
      <c r="J226" s="1095"/>
      <c r="K226" s="1095"/>
      <c r="L226" s="1095"/>
      <c r="M226" s="1095"/>
    </row>
    <row r="227" spans="8:8" hidden="1">
      <c r="B227" s="1095"/>
      <c r="C227" s="1095"/>
      <c r="D227" s="1095"/>
      <c r="E227" s="1095"/>
      <c r="F227" s="1095"/>
      <c r="G227" s="1095"/>
      <c r="H227" s="1095"/>
      <c r="I227" s="1095"/>
      <c r="J227" s="1095"/>
      <c r="K227" s="1095"/>
      <c r="L227" s="1095"/>
      <c r="M227" s="1095"/>
    </row>
    <row r="228" spans="8:8" hidden="1">
      <c r="B228" s="1095"/>
      <c r="C228" s="1095"/>
      <c r="D228" s="1095"/>
      <c r="E228" s="1095"/>
      <c r="F228" s="1095"/>
      <c r="G228" s="1095"/>
      <c r="H228" s="1095"/>
      <c r="I228" s="1095"/>
      <c r="J228" s="1095"/>
      <c r="K228" s="1095"/>
      <c r="L228" s="1095"/>
      <c r="M228" s="1095"/>
    </row>
    <row r="229" spans="8:8" hidden="1">
      <c r="B229" s="1095"/>
      <c r="C229" s="1095"/>
      <c r="D229" s="1095"/>
      <c r="E229" s="1095"/>
      <c r="F229" s="1095"/>
      <c r="G229" s="1095"/>
      <c r="H229" s="1095"/>
      <c r="I229" s="1095"/>
      <c r="J229" s="1095"/>
      <c r="K229" s="1095"/>
      <c r="L229" s="1095"/>
      <c r="M229" s="1095"/>
    </row>
    <row r="230" spans="8:8" hidden="1">
      <c r="B230" s="1095"/>
      <c r="C230" s="1095"/>
      <c r="D230" s="1095"/>
      <c r="E230" s="1095"/>
      <c r="F230" s="1095"/>
      <c r="G230" s="1095"/>
      <c r="H230" s="1095"/>
      <c r="I230" s="1095"/>
      <c r="J230" s="1095"/>
      <c r="K230" s="1095"/>
      <c r="L230" s="1095"/>
      <c r="M230" s="1095"/>
    </row>
    <row r="231" spans="8:8" hidden="1">
      <c r="B231" s="1095"/>
      <c r="C231" s="1095"/>
      <c r="D231" s="1095"/>
      <c r="E231" s="1095"/>
      <c r="F231" s="1095"/>
      <c r="G231" s="1095"/>
      <c r="H231" s="1095"/>
      <c r="I231" s="1095"/>
      <c r="J231" s="1095"/>
      <c r="K231" s="1095"/>
      <c r="L231" s="1095"/>
      <c r="M231" s="1095"/>
    </row>
    <row r="232" spans="8:8" hidden="1">
      <c r="B232" s="1095"/>
      <c r="C232" s="1095"/>
      <c r="D232" s="1095"/>
      <c r="E232" s="1095"/>
      <c r="F232" s="1095"/>
      <c r="G232" s="1095"/>
      <c r="H232" s="1095"/>
      <c r="I232" s="1095"/>
      <c r="J232" s="1095"/>
      <c r="K232" s="1095"/>
      <c r="L232" s="1095"/>
      <c r="M232" s="1095"/>
    </row>
    <row r="233" spans="8:8" hidden="1">
      <c r="B233" s="1095"/>
      <c r="C233" s="1095"/>
      <c r="D233" s="1095"/>
      <c r="E233" s="1095"/>
      <c r="F233" s="1095"/>
      <c r="G233" s="1095"/>
      <c r="H233" s="1095"/>
      <c r="I233" s="1095"/>
      <c r="J233" s="1095"/>
      <c r="K233" s="1095"/>
      <c r="L233" s="1095"/>
      <c r="M233" s="1095"/>
    </row>
    <row r="234" spans="8:8" hidden="1">
      <c r="B234" s="1095"/>
      <c r="C234" s="1095"/>
      <c r="D234" s="1095"/>
      <c r="E234" s="1095"/>
      <c r="F234" s="1095"/>
      <c r="G234" s="1095"/>
      <c r="H234" s="1095"/>
      <c r="I234" s="1095"/>
      <c r="J234" s="1095"/>
      <c r="K234" s="1095"/>
      <c r="L234" s="1095"/>
      <c r="M234" s="1095"/>
    </row>
    <row r="235" spans="8:8" hidden="1">
      <c r="B235" s="1095"/>
      <c r="C235" s="1095"/>
      <c r="D235" s="1095"/>
      <c r="E235" s="1095"/>
      <c r="F235" s="1095"/>
      <c r="G235" s="1095"/>
      <c r="H235" s="1095"/>
      <c r="I235" s="1095"/>
      <c r="J235" s="1095"/>
      <c r="K235" s="1095"/>
      <c r="L235" s="1095"/>
      <c r="M235" s="1095"/>
    </row>
    <row r="236" spans="8:8" hidden="1">
      <c r="B236" s="1095"/>
      <c r="C236" s="1095"/>
      <c r="D236" s="1095"/>
      <c r="E236" s="1095"/>
      <c r="F236" s="1095"/>
      <c r="G236" s="1095"/>
      <c r="H236" s="1095"/>
      <c r="I236" s="1095"/>
      <c r="J236" s="1095"/>
      <c r="K236" s="1095"/>
      <c r="L236" s="1095"/>
      <c r="M236" s="1095"/>
    </row>
    <row r="237" spans="8:8" hidden="1">
      <c r="B237" s="1095"/>
      <c r="C237" s="1095"/>
      <c r="D237" s="1095"/>
      <c r="E237" s="1095"/>
      <c r="F237" s="1095"/>
      <c r="G237" s="1095"/>
      <c r="H237" s="1095"/>
      <c r="I237" s="1095"/>
      <c r="J237" s="1095"/>
      <c r="K237" s="1095"/>
      <c r="L237" s="1095"/>
      <c r="M237" s="1095"/>
    </row>
    <row r="238" spans="8:8" hidden="1">
      <c r="B238" s="1095"/>
      <c r="C238" s="1095"/>
      <c r="D238" s="1095"/>
      <c r="E238" s="1095"/>
      <c r="F238" s="1095"/>
      <c r="G238" s="1095"/>
      <c r="H238" s="1095"/>
      <c r="I238" s="1095"/>
      <c r="J238" s="1095"/>
      <c r="K238" s="1095"/>
      <c r="L238" s="1095"/>
      <c r="M238" s="1095"/>
    </row>
    <row r="239" spans="8:8" hidden="1">
      <c r="B239" s="1095"/>
      <c r="C239" s="1095"/>
      <c r="D239" s="1095"/>
      <c r="E239" s="1095"/>
      <c r="F239" s="1095"/>
      <c r="G239" s="1095"/>
      <c r="H239" s="1095"/>
      <c r="I239" s="1095"/>
      <c r="J239" s="1095"/>
      <c r="K239" s="1095"/>
      <c r="L239" s="1095"/>
      <c r="M239" s="1095"/>
    </row>
    <row r="240" spans="8:8" hidden="1">
      <c r="B240" s="1095"/>
      <c r="C240" s="1095"/>
      <c r="D240" s="1095"/>
      <c r="E240" s="1095"/>
      <c r="F240" s="1095"/>
      <c r="G240" s="1095"/>
      <c r="H240" s="1095"/>
      <c r="I240" s="1095"/>
      <c r="J240" s="1095"/>
      <c r="K240" s="1095"/>
      <c r="L240" s="1095"/>
      <c r="M240" s="1095"/>
    </row>
    <row r="241" spans="8:8" hidden="1">
      <c r="B241" s="1095"/>
      <c r="C241" s="1095"/>
      <c r="D241" s="1095"/>
      <c r="E241" s="1095"/>
      <c r="F241" s="1095"/>
      <c r="G241" s="1095"/>
      <c r="H241" s="1095"/>
      <c r="I241" s="1095"/>
      <c r="J241" s="1095"/>
      <c r="K241" s="1095"/>
      <c r="L241" s="1095"/>
      <c r="M241" s="1095"/>
    </row>
    <row r="242" spans="8:8" hidden="1">
      <c r="B242" s="1095"/>
      <c r="C242" s="1095"/>
      <c r="D242" s="1095"/>
      <c r="E242" s="1095"/>
      <c r="F242" s="1095"/>
      <c r="G242" s="1095"/>
      <c r="H242" s="1095"/>
      <c r="I242" s="1095"/>
      <c r="J242" s="1095"/>
      <c r="K242" s="1095"/>
      <c r="L242" s="1095"/>
      <c r="M242" s="1095"/>
    </row>
    <row r="243" spans="8:8" hidden="1">
      <c r="B243" s="1095"/>
      <c r="C243" s="1095"/>
      <c r="D243" s="1095"/>
      <c r="E243" s="1095"/>
      <c r="F243" s="1095"/>
      <c r="G243" s="1095"/>
      <c r="H243" s="1095"/>
      <c r="I243" s="1095"/>
      <c r="J243" s="1095"/>
      <c r="K243" s="1095"/>
      <c r="L243" s="1095"/>
      <c r="M243" s="1095"/>
    </row>
    <row r="244" spans="8:8" hidden="1">
      <c r="B244" s="1095"/>
      <c r="C244" s="1095"/>
      <c r="D244" s="1095"/>
      <c r="E244" s="1095"/>
      <c r="F244" s="1095"/>
      <c r="G244" s="1095"/>
      <c r="H244" s="1095"/>
      <c r="I244" s="1095"/>
      <c r="J244" s="1095"/>
      <c r="K244" s="1095"/>
      <c r="L244" s="1095"/>
      <c r="M244" s="1095"/>
    </row>
    <row r="245" spans="8:8" hidden="1">
      <c r="B245" s="1095"/>
      <c r="C245" s="1095"/>
      <c r="D245" s="1095"/>
      <c r="E245" s="1095"/>
      <c r="F245" s="1095"/>
      <c r="G245" s="1095"/>
      <c r="H245" s="1095"/>
      <c r="I245" s="1095"/>
      <c r="J245" s="1095"/>
      <c r="K245" s="1095"/>
      <c r="L245" s="1095"/>
      <c r="M245" s="1095"/>
    </row>
    <row r="246" spans="8:8" hidden="1">
      <c r="B246" s="1095"/>
      <c r="C246" s="1095"/>
      <c r="D246" s="1095"/>
      <c r="E246" s="1095"/>
      <c r="F246" s="1095"/>
      <c r="G246" s="1095"/>
      <c r="H246" s="1095"/>
      <c r="I246" s="1095"/>
      <c r="J246" s="1095"/>
      <c r="K246" s="1095"/>
      <c r="L246" s="1095"/>
      <c r="M246" s="1095"/>
    </row>
    <row r="247" spans="8:8" hidden="1">
      <c r="B247" s="1095"/>
      <c r="C247" s="1095"/>
      <c r="D247" s="1095"/>
      <c r="E247" s="1095"/>
      <c r="F247" s="1095"/>
      <c r="G247" s="1095"/>
      <c r="H247" s="1095"/>
      <c r="I247" s="1095"/>
      <c r="J247" s="1095"/>
      <c r="K247" s="1095"/>
      <c r="L247" s="1095"/>
      <c r="M247" s="1095"/>
    </row>
    <row r="248" spans="8:8" hidden="1">
      <c r="B248" s="1095"/>
      <c r="C248" s="1095"/>
      <c r="D248" s="1095"/>
      <c r="E248" s="1095"/>
      <c r="F248" s="1095"/>
      <c r="G248" s="1095"/>
      <c r="H248" s="1095"/>
      <c r="I248" s="1095"/>
      <c r="J248" s="1095"/>
      <c r="K248" s="1095"/>
      <c r="L248" s="1095"/>
      <c r="M248" s="1095"/>
    </row>
    <row r="249" spans="8:8" hidden="1">
      <c r="B249" s="1095"/>
      <c r="C249" s="1095"/>
      <c r="D249" s="1095"/>
      <c r="E249" s="1095"/>
      <c r="F249" s="1095"/>
      <c r="G249" s="1095"/>
      <c r="H249" s="1095"/>
      <c r="I249" s="1095"/>
      <c r="J249" s="1095"/>
      <c r="K249" s="1095"/>
      <c r="L249" s="1095"/>
      <c r="M249" s="1095"/>
    </row>
    <row r="250" spans="8:8" hidden="1">
      <c r="B250" s="1095"/>
      <c r="C250" s="1095"/>
      <c r="D250" s="1095"/>
      <c r="E250" s="1095"/>
      <c r="F250" s="1095"/>
      <c r="G250" s="1095"/>
      <c r="H250" s="1095"/>
      <c r="I250" s="1095"/>
      <c r="J250" s="1095"/>
      <c r="K250" s="1095"/>
      <c r="L250" s="1095"/>
      <c r="M250" s="1095"/>
    </row>
    <row r="251" spans="8:8" hidden="1">
      <c r="B251" s="1095"/>
      <c r="C251" s="1095"/>
      <c r="D251" s="1095"/>
      <c r="E251" s="1095"/>
      <c r="F251" s="1095"/>
      <c r="G251" s="1095"/>
      <c r="H251" s="1095"/>
      <c r="I251" s="1095"/>
      <c r="J251" s="1095"/>
      <c r="K251" s="1095"/>
      <c r="L251" s="1095"/>
      <c r="M251" s="1095"/>
    </row>
    <row r="252" spans="8:8" hidden="1">
      <c r="B252" s="1095"/>
      <c r="C252" s="1095"/>
      <c r="D252" s="1095"/>
      <c r="E252" s="1095"/>
      <c r="F252" s="1095"/>
      <c r="G252" s="1095"/>
      <c r="H252" s="1095"/>
      <c r="I252" s="1095"/>
      <c r="J252" s="1095"/>
      <c r="K252" s="1095"/>
      <c r="L252" s="1095"/>
      <c r="M252" s="1095"/>
    </row>
    <row r="253" spans="8:8" hidden="1">
      <c r="B253" s="1095"/>
      <c r="C253" s="1095"/>
      <c r="D253" s="1095"/>
      <c r="E253" s="1095"/>
      <c r="F253" s="1095"/>
      <c r="G253" s="1095"/>
      <c r="H253" s="1095"/>
      <c r="I253" s="1095"/>
      <c r="J253" s="1095"/>
      <c r="K253" s="1095"/>
      <c r="L253" s="1095"/>
      <c r="M253" s="1095"/>
    </row>
    <row r="254" spans="8:8" hidden="1">
      <c r="B254" s="1095"/>
      <c r="C254" s="1095"/>
      <c r="D254" s="1095"/>
      <c r="E254" s="1095"/>
      <c r="F254" s="1095"/>
      <c r="G254" s="1095"/>
      <c r="H254" s="1095"/>
      <c r="I254" s="1095"/>
      <c r="J254" s="1095"/>
      <c r="K254" s="1095"/>
      <c r="L254" s="1095"/>
      <c r="M254" s="1095"/>
    </row>
    <row r="255" spans="8:8" hidden="1">
      <c r="B255" s="1095"/>
      <c r="C255" s="1095"/>
      <c r="D255" s="1095"/>
      <c r="E255" s="1095"/>
      <c r="F255" s="1095"/>
      <c r="G255" s="1095"/>
      <c r="H255" s="1095"/>
      <c r="I255" s="1095"/>
      <c r="J255" s="1095"/>
      <c r="K255" s="1095"/>
      <c r="L255" s="1095"/>
      <c r="M255" s="1095"/>
    </row>
    <row r="256" spans="8:8" hidden="1">
      <c r="B256" s="1095"/>
      <c r="C256" s="1095"/>
      <c r="D256" s="1095"/>
      <c r="E256" s="1095"/>
      <c r="F256" s="1095"/>
      <c r="G256" s="1095"/>
      <c r="H256" s="1095"/>
      <c r="I256" s="1095"/>
      <c r="J256" s="1095"/>
      <c r="K256" s="1095"/>
      <c r="L256" s="1095"/>
      <c r="M256" s="1095"/>
    </row>
    <row r="257" spans="8:8" hidden="1">
      <c r="B257" s="1095"/>
      <c r="C257" s="1095"/>
      <c r="D257" s="1095"/>
      <c r="E257" s="1095"/>
      <c r="F257" s="1095"/>
      <c r="G257" s="1095"/>
      <c r="H257" s="1095"/>
      <c r="I257" s="1095"/>
      <c r="J257" s="1095"/>
      <c r="K257" s="1095"/>
      <c r="L257" s="1095"/>
      <c r="M257" s="1095"/>
    </row>
    <row r="258" spans="8:8" hidden="1">
      <c r="B258" s="1095"/>
      <c r="C258" s="1095"/>
      <c r="D258" s="1095"/>
      <c r="E258" s="1095"/>
      <c r="F258" s="1095"/>
      <c r="G258" s="1095"/>
      <c r="H258" s="1095"/>
      <c r="I258" s="1095"/>
      <c r="J258" s="1095"/>
      <c r="K258" s="1095"/>
      <c r="L258" s="1095"/>
      <c r="M258" s="1095"/>
    </row>
    <row r="259" spans="8:8" hidden="1">
      <c r="B259" s="1095"/>
      <c r="C259" s="1095"/>
      <c r="D259" s="1095"/>
      <c r="E259" s="1095"/>
      <c r="F259" s="1095"/>
      <c r="G259" s="1095"/>
      <c r="H259" s="1095"/>
      <c r="I259" s="1095"/>
      <c r="J259" s="1095"/>
      <c r="K259" s="1095"/>
      <c r="L259" s="1095"/>
      <c r="M259" s="1095"/>
    </row>
    <row r="260" spans="8:8" hidden="1">
      <c r="B260" s="1095"/>
      <c r="C260" s="1095"/>
      <c r="D260" s="1095"/>
      <c r="E260" s="1095"/>
      <c r="F260" s="1095"/>
      <c r="G260" s="1095"/>
      <c r="H260" s="1095"/>
      <c r="I260" s="1095"/>
      <c r="J260" s="1095"/>
      <c r="K260" s="1095"/>
      <c r="L260" s="1095"/>
      <c r="M260" s="1095"/>
    </row>
    <row r="261" spans="8:8" hidden="1">
      <c r="B261" s="1095"/>
      <c r="C261" s="1095"/>
      <c r="D261" s="1095"/>
      <c r="E261" s="1095"/>
      <c r="F261" s="1095"/>
      <c r="G261" s="1095"/>
      <c r="H261" s="1095"/>
      <c r="I261" s="1095"/>
      <c r="J261" s="1095"/>
      <c r="K261" s="1095"/>
      <c r="L261" s="1095"/>
      <c r="M261" s="1095"/>
    </row>
    <row r="262" spans="8:8" hidden="1">
      <c r="B262" s="1095"/>
      <c r="C262" s="1095"/>
      <c r="D262" s="1095"/>
      <c r="E262" s="1095"/>
      <c r="F262" s="1095"/>
      <c r="G262" s="1095"/>
      <c r="H262" s="1095"/>
      <c r="I262" s="1095"/>
      <c r="J262" s="1095"/>
      <c r="K262" s="1095"/>
      <c r="L262" s="1095"/>
      <c r="M262" s="1095"/>
    </row>
    <row r="263" spans="8:8" hidden="1">
      <c r="B263" s="1095"/>
      <c r="C263" s="1095"/>
      <c r="D263" s="1095"/>
      <c r="E263" s="1095"/>
      <c r="F263" s="1095"/>
      <c r="G263" s="1095"/>
      <c r="H263" s="1095"/>
      <c r="I263" s="1095"/>
      <c r="J263" s="1095"/>
      <c r="K263" s="1095"/>
      <c r="L263" s="1095"/>
      <c r="M263" s="1095"/>
    </row>
    <row r="264" spans="8:8" hidden="1">
      <c r="B264" s="1095"/>
      <c r="C264" s="1095"/>
      <c r="D264" s="1095"/>
      <c r="E264" s="1095"/>
      <c r="F264" s="1095"/>
      <c r="G264" s="1095"/>
      <c r="H264" s="1095"/>
      <c r="I264" s="1095"/>
      <c r="J264" s="1095"/>
      <c r="K264" s="1095"/>
      <c r="L264" s="1095"/>
      <c r="M264" s="1095"/>
    </row>
    <row r="265" spans="8:8" hidden="1">
      <c r="B265" s="1095"/>
      <c r="C265" s="1095"/>
      <c r="D265" s="1095"/>
      <c r="E265" s="1095"/>
      <c r="F265" s="1095"/>
      <c r="G265" s="1095"/>
      <c r="H265" s="1095"/>
      <c r="I265" s="1095"/>
      <c r="J265" s="1095"/>
      <c r="K265" s="1095"/>
      <c r="L265" s="1095"/>
      <c r="M265" s="1095"/>
    </row>
    <row r="266" spans="8:8" hidden="1">
      <c r="B266" s="1095"/>
      <c r="C266" s="1095"/>
      <c r="D266" s="1095"/>
      <c r="E266" s="1095"/>
      <c r="F266" s="1095"/>
      <c r="G266" s="1095"/>
      <c r="H266" s="1095"/>
      <c r="I266" s="1095"/>
      <c r="J266" s="1095"/>
      <c r="K266" s="1095"/>
      <c r="L266" s="1095"/>
      <c r="M266" s="1095"/>
    </row>
    <row r="267" spans="8:8" hidden="1">
      <c r="B267" s="1095"/>
      <c r="C267" s="1095"/>
      <c r="D267" s="1095"/>
      <c r="E267" s="1095"/>
      <c r="F267" s="1095"/>
      <c r="G267" s="1095"/>
      <c r="H267" s="1095"/>
      <c r="I267" s="1095"/>
      <c r="J267" s="1095"/>
      <c r="K267" s="1095"/>
      <c r="L267" s="1095"/>
      <c r="M267" s="1095"/>
    </row>
    <row r="268" spans="8:8" hidden="1">
      <c r="B268" s="1095"/>
      <c r="C268" s="1095"/>
      <c r="D268" s="1095"/>
      <c r="E268" s="1095"/>
      <c r="F268" s="1095"/>
      <c r="G268" s="1095"/>
      <c r="H268" s="1095"/>
      <c r="I268" s="1095"/>
      <c r="J268" s="1095"/>
      <c r="K268" s="1095"/>
      <c r="L268" s="1095"/>
      <c r="M268" s="1095"/>
    </row>
    <row r="269" spans="8:8" hidden="1">
      <c r="B269" s="1095"/>
      <c r="C269" s="1095"/>
      <c r="D269" s="1095"/>
      <c r="E269" s="1095"/>
      <c r="F269" s="1095"/>
      <c r="G269" s="1095"/>
      <c r="H269" s="1095"/>
      <c r="I269" s="1095"/>
      <c r="J269" s="1095"/>
      <c r="K269" s="1095"/>
      <c r="L269" s="1095"/>
      <c r="M269" s="1095"/>
    </row>
    <row r="270" spans="8:8" hidden="1">
      <c r="B270" s="1095"/>
      <c r="C270" s="1095"/>
      <c r="D270" s="1095"/>
      <c r="E270" s="1095"/>
      <c r="F270" s="1095"/>
      <c r="G270" s="1095"/>
      <c r="H270" s="1095"/>
      <c r="I270" s="1095"/>
      <c r="J270" s="1095"/>
      <c r="K270" s="1095"/>
      <c r="L270" s="1095"/>
      <c r="M270" s="1095"/>
    </row>
    <row r="271" spans="8:8" hidden="1">
      <c r="B271" s="1095"/>
      <c r="C271" s="1095"/>
      <c r="D271" s="1095"/>
      <c r="E271" s="1095"/>
      <c r="F271" s="1095"/>
      <c r="G271" s="1095"/>
      <c r="H271" s="1095"/>
      <c r="I271" s="1095"/>
      <c r="J271" s="1095"/>
      <c r="K271" s="1095"/>
      <c r="L271" s="1095"/>
      <c r="M271" s="1095"/>
    </row>
    <row r="272" spans="8:8" hidden="1">
      <c r="B272" s="1095"/>
      <c r="C272" s="1095"/>
      <c r="D272" s="1095"/>
      <c r="E272" s="1095"/>
      <c r="F272" s="1095"/>
      <c r="G272" s="1095"/>
      <c r="H272" s="1095"/>
      <c r="I272" s="1095"/>
      <c r="J272" s="1095"/>
      <c r="K272" s="1095"/>
      <c r="L272" s="1095"/>
      <c r="M272" s="1095"/>
    </row>
    <row r="273" spans="8:8" hidden="1">
      <c r="B273" s="1095"/>
      <c r="C273" s="1095"/>
      <c r="D273" s="1095"/>
      <c r="E273" s="1095"/>
      <c r="F273" s="1095"/>
      <c r="G273" s="1095"/>
      <c r="H273" s="1095"/>
      <c r="I273" s="1095"/>
      <c r="J273" s="1095"/>
      <c r="K273" s="1095"/>
      <c r="L273" s="1095"/>
      <c r="M273" s="1095"/>
    </row>
    <row r="274" spans="8:8" hidden="1">
      <c r="B274" s="1095"/>
      <c r="C274" s="1095"/>
      <c r="D274" s="1095"/>
      <c r="E274" s="1095"/>
      <c r="F274" s="1095"/>
      <c r="G274" s="1095"/>
      <c r="H274" s="1095"/>
      <c r="I274" s="1095"/>
      <c r="J274" s="1095"/>
      <c r="K274" s="1095"/>
      <c r="L274" s="1095"/>
      <c r="M274" s="1095"/>
    </row>
    <row r="275" spans="8:8" hidden="1">
      <c r="B275" s="1095"/>
      <c r="C275" s="1095"/>
      <c r="D275" s="1095"/>
      <c r="E275" s="1095"/>
      <c r="F275" s="1095"/>
      <c r="G275" s="1095"/>
      <c r="H275" s="1095"/>
      <c r="I275" s="1095"/>
      <c r="J275" s="1095"/>
      <c r="K275" s="1095"/>
      <c r="L275" s="1095"/>
      <c r="M275" s="1095"/>
    </row>
    <row r="276" spans="8:8" hidden="1">
      <c r="B276" s="1095"/>
      <c r="C276" s="1095"/>
      <c r="D276" s="1095"/>
      <c r="E276" s="1095"/>
      <c r="F276" s="1095"/>
      <c r="G276" s="1095"/>
      <c r="H276" s="1095"/>
      <c r="I276" s="1095"/>
      <c r="J276" s="1095"/>
      <c r="K276" s="1095"/>
      <c r="L276" s="1095"/>
      <c r="M276" s="1095"/>
    </row>
    <row r="277" spans="8:8" hidden="1">
      <c r="B277" s="1095"/>
      <c r="C277" s="1095"/>
      <c r="D277" s="1095"/>
      <c r="E277" s="1095"/>
      <c r="F277" s="1095"/>
      <c r="G277" s="1095"/>
      <c r="H277" s="1095"/>
      <c r="I277" s="1095"/>
      <c r="J277" s="1095"/>
      <c r="K277" s="1095"/>
      <c r="L277" s="1095"/>
      <c r="M277" s="1095"/>
    </row>
    <row r="278" spans="8:8" hidden="1">
      <c r="B278" s="1095"/>
      <c r="C278" s="1095"/>
      <c r="D278" s="1095"/>
      <c r="E278" s="1095"/>
      <c r="F278" s="1095"/>
      <c r="G278" s="1095"/>
      <c r="H278" s="1095"/>
      <c r="I278" s="1095"/>
      <c r="J278" s="1095"/>
      <c r="K278" s="1095"/>
      <c r="L278" s="1095"/>
      <c r="M278" s="1095"/>
    </row>
    <row r="279" spans="8:8" hidden="1">
      <c r="B279" s="1095"/>
      <c r="C279" s="1095"/>
      <c r="D279" s="1095"/>
      <c r="E279" s="1095"/>
      <c r="F279" s="1095"/>
      <c r="G279" s="1095"/>
      <c r="H279" s="1095"/>
      <c r="I279" s="1095"/>
      <c r="J279" s="1095"/>
      <c r="K279" s="1095"/>
      <c r="L279" s="1095"/>
      <c r="M279" s="1095"/>
    </row>
    <row r="280" spans="8:8" hidden="1">
      <c r="B280" s="1095"/>
      <c r="C280" s="1095"/>
      <c r="D280" s="1095"/>
      <c r="E280" s="1095"/>
      <c r="F280" s="1095"/>
      <c r="G280" s="1095"/>
      <c r="H280" s="1095"/>
      <c r="I280" s="1095"/>
      <c r="J280" s="1095"/>
      <c r="K280" s="1095"/>
      <c r="L280" s="1095"/>
      <c r="M280" s="1095"/>
    </row>
    <row r="281" spans="8:8" hidden="1">
      <c r="B281" s="1095"/>
      <c r="C281" s="1095"/>
      <c r="D281" s="1095"/>
      <c r="E281" s="1095"/>
      <c r="F281" s="1095"/>
      <c r="G281" s="1095"/>
      <c r="H281" s="1095"/>
      <c r="I281" s="1095"/>
      <c r="J281" s="1095"/>
      <c r="K281" s="1095"/>
      <c r="L281" s="1095"/>
      <c r="M281" s="1095"/>
    </row>
    <row r="282" spans="8:8" hidden="1">
      <c r="B282" s="1095"/>
      <c r="C282" s="1095"/>
      <c r="D282" s="1095"/>
      <c r="E282" s="1095"/>
      <c r="F282" s="1095"/>
      <c r="G282" s="1095"/>
      <c r="H282" s="1095"/>
      <c r="I282" s="1095"/>
      <c r="J282" s="1095"/>
      <c r="K282" s="1095"/>
      <c r="L282" s="1095"/>
      <c r="M282" s="1095"/>
    </row>
    <row r="283" spans="8:8" hidden="1">
      <c r="B283" s="1095"/>
      <c r="C283" s="1095"/>
      <c r="D283" s="1095"/>
      <c r="E283" s="1095"/>
      <c r="F283" s="1095"/>
      <c r="G283" s="1095"/>
      <c r="H283" s="1095"/>
      <c r="I283" s="1095"/>
      <c r="J283" s="1095"/>
      <c r="K283" s="1095"/>
      <c r="L283" s="1095"/>
      <c r="M283" s="1095"/>
    </row>
    <row r="284" spans="8:8" hidden="1">
      <c r="B284" s="1095"/>
      <c r="C284" s="1095"/>
      <c r="D284" s="1095"/>
      <c r="E284" s="1095"/>
      <c r="F284" s="1095"/>
      <c r="G284" s="1095"/>
      <c r="H284" s="1095"/>
      <c r="I284" s="1095"/>
      <c r="J284" s="1095"/>
      <c r="K284" s="1095"/>
      <c r="L284" s="1095"/>
      <c r="M284" s="1095"/>
    </row>
    <row r="285" spans="8:8" hidden="1">
      <c r="B285" s="1095"/>
      <c r="C285" s="1095"/>
      <c r="D285" s="1095"/>
      <c r="E285" s="1095"/>
      <c r="F285" s="1095"/>
      <c r="G285" s="1095"/>
      <c r="H285" s="1095"/>
      <c r="I285" s="1095"/>
      <c r="J285" s="1095"/>
      <c r="K285" s="1095"/>
      <c r="L285" s="1095"/>
      <c r="M285" s="1095"/>
    </row>
    <row r="286" spans="8:8" hidden="1">
      <c r="B286" s="1095"/>
      <c r="C286" s="1095"/>
      <c r="D286" s="1095"/>
      <c r="E286" s="1095"/>
      <c r="F286" s="1095"/>
      <c r="G286" s="1095"/>
      <c r="H286" s="1095"/>
      <c r="I286" s="1095"/>
      <c r="J286" s="1095"/>
      <c r="K286" s="1095"/>
      <c r="L286" s="1095"/>
      <c r="M286" s="1095"/>
    </row>
    <row r="287" spans="8:8" hidden="1">
      <c r="B287" s="1095"/>
      <c r="C287" s="1095"/>
      <c r="D287" s="1095"/>
      <c r="E287" s="1095"/>
      <c r="F287" s="1095"/>
      <c r="G287" s="1095"/>
      <c r="H287" s="1095"/>
      <c r="I287" s="1095"/>
      <c r="J287" s="1095"/>
      <c r="K287" s="1095"/>
      <c r="L287" s="1095"/>
      <c r="M287" s="1095"/>
    </row>
    <row r="288" spans="8:8" hidden="1">
      <c r="B288" s="1095"/>
      <c r="C288" s="1095"/>
      <c r="D288" s="1095"/>
      <c r="E288" s="1095"/>
      <c r="F288" s="1095"/>
      <c r="G288" s="1095"/>
      <c r="H288" s="1095"/>
      <c r="I288" s="1095"/>
      <c r="J288" s="1095"/>
      <c r="K288" s="1095"/>
      <c r="L288" s="1095"/>
      <c r="M288" s="1095"/>
    </row>
    <row r="289" spans="8:8" hidden="1">
      <c r="B289" s="1095"/>
      <c r="C289" s="1095"/>
      <c r="D289" s="1095"/>
      <c r="E289" s="1095"/>
      <c r="F289" s="1095"/>
      <c r="G289" s="1095"/>
      <c r="H289" s="1095"/>
      <c r="I289" s="1095"/>
      <c r="J289" s="1095"/>
      <c r="K289" s="1095"/>
      <c r="L289" s="1095"/>
      <c r="M289" s="1095"/>
    </row>
    <row r="290" spans="8:8" hidden="1">
      <c r="B290" s="1095"/>
      <c r="C290" s="1095"/>
      <c r="D290" s="1095"/>
      <c r="E290" s="1095"/>
      <c r="F290" s="1095"/>
      <c r="G290" s="1095"/>
      <c r="H290" s="1095"/>
      <c r="I290" s="1095"/>
      <c r="J290" s="1095"/>
      <c r="K290" s="1095"/>
      <c r="L290" s="1095"/>
      <c r="M290" s="1095"/>
    </row>
    <row r="291" spans="8:8" hidden="1">
      <c r="B291" s="1095"/>
      <c r="C291" s="1095"/>
      <c r="D291" s="1095"/>
      <c r="E291" s="1095"/>
      <c r="F291" s="1095"/>
      <c r="G291" s="1095"/>
      <c r="H291" s="1095"/>
      <c r="I291" s="1095"/>
      <c r="J291" s="1095"/>
      <c r="K291" s="1095"/>
      <c r="L291" s="1095"/>
      <c r="M291" s="1095"/>
    </row>
    <row r="292" spans="8:8" hidden="1">
      <c r="B292" s="1095"/>
      <c r="C292" s="1095"/>
      <c r="D292" s="1095"/>
      <c r="E292" s="1095"/>
      <c r="F292" s="1095"/>
      <c r="G292" s="1095"/>
      <c r="H292" s="1095"/>
      <c r="I292" s="1095"/>
      <c r="J292" s="1095"/>
      <c r="K292" s="1095"/>
      <c r="L292" s="1095"/>
      <c r="M292" s="1095"/>
    </row>
    <row r="293" spans="8:8" hidden="1">
      <c r="B293" s="1095"/>
      <c r="C293" s="1095"/>
      <c r="D293" s="1095"/>
      <c r="E293" s="1095"/>
      <c r="F293" s="1095"/>
      <c r="G293" s="1095"/>
      <c r="H293" s="1095"/>
      <c r="I293" s="1095"/>
      <c r="J293" s="1095"/>
      <c r="K293" s="1095"/>
      <c r="L293" s="1095"/>
      <c r="M293" s="1095"/>
    </row>
    <row r="294" spans="8:8" hidden="1">
      <c r="B294" s="1095"/>
      <c r="C294" s="1095"/>
      <c r="D294" s="1095"/>
      <c r="E294" s="1095"/>
      <c r="F294" s="1095"/>
      <c r="G294" s="1095"/>
      <c r="H294" s="1095"/>
      <c r="I294" s="1095"/>
      <c r="J294" s="1095"/>
      <c r="K294" s="1095"/>
      <c r="L294" s="1095"/>
      <c r="M294" s="1095"/>
    </row>
    <row r="295" spans="8:8" hidden="1">
      <c r="B295" s="1095"/>
      <c r="C295" s="1095"/>
      <c r="D295" s="1095"/>
      <c r="E295" s="1095"/>
      <c r="F295" s="1095"/>
      <c r="G295" s="1095"/>
      <c r="H295" s="1095"/>
      <c r="I295" s="1095"/>
      <c r="J295" s="1095"/>
      <c r="K295" s="1095"/>
      <c r="L295" s="1095"/>
      <c r="M295" s="1095"/>
    </row>
    <row r="296" spans="8:8" hidden="1">
      <c r="B296" s="1095"/>
      <c r="C296" s="1095"/>
      <c r="D296" s="1095"/>
      <c r="E296" s="1095"/>
      <c r="F296" s="1095"/>
      <c r="G296" s="1095"/>
      <c r="H296" s="1095"/>
      <c r="I296" s="1095"/>
      <c r="J296" s="1095"/>
      <c r="K296" s="1095"/>
      <c r="L296" s="1095"/>
      <c r="M296" s="1095"/>
    </row>
    <row r="297" spans="8:8" hidden="1">
      <c r="B297" s="1095"/>
      <c r="C297" s="1095"/>
      <c r="D297" s="1095"/>
      <c r="E297" s="1095"/>
      <c r="F297" s="1095"/>
      <c r="G297" s="1095"/>
      <c r="H297" s="1095"/>
      <c r="I297" s="1095"/>
      <c r="J297" s="1095"/>
      <c r="K297" s="1095"/>
      <c r="L297" s="1095"/>
      <c r="M297" s="1095"/>
    </row>
    <row r="298" spans="8:8" hidden="1">
      <c r="B298" s="1095"/>
      <c r="C298" s="1095"/>
      <c r="D298" s="1095"/>
      <c r="E298" s="1095"/>
      <c r="F298" s="1095"/>
      <c r="G298" s="1095"/>
      <c r="H298" s="1095"/>
      <c r="I298" s="1095"/>
      <c r="J298" s="1095"/>
      <c r="K298" s="1095"/>
      <c r="L298" s="1095"/>
      <c r="M298" s="1095"/>
    </row>
    <row r="299" spans="8:8" hidden="1">
      <c r="B299" s="1095"/>
      <c r="C299" s="1095"/>
      <c r="D299" s="1095"/>
      <c r="E299" s="1095"/>
      <c r="F299" s="1095"/>
      <c r="G299" s="1095"/>
      <c r="H299" s="1095"/>
      <c r="I299" s="1095"/>
      <c r="J299" s="1095"/>
      <c r="K299" s="1095"/>
      <c r="L299" s="1095"/>
      <c r="M299" s="1095"/>
    </row>
    <row r="300" spans="8:8" hidden="1">
      <c r="B300" s="1095"/>
      <c r="C300" s="1095"/>
      <c r="D300" s="1095"/>
      <c r="E300" s="1095"/>
      <c r="F300" s="1095"/>
      <c r="G300" s="1095"/>
      <c r="H300" s="1095"/>
      <c r="I300" s="1095"/>
      <c r="J300" s="1095"/>
      <c r="K300" s="1095"/>
      <c r="L300" s="1095"/>
      <c r="M300" s="1095"/>
    </row>
    <row r="301" spans="8:8" hidden="1">
      <c r="B301" s="1095"/>
      <c r="C301" s="1095"/>
      <c r="D301" s="1095"/>
      <c r="E301" s="1095"/>
      <c r="F301" s="1095"/>
      <c r="G301" s="1095"/>
      <c r="H301" s="1095"/>
      <c r="I301" s="1095"/>
      <c r="J301" s="1095"/>
      <c r="K301" s="1095"/>
      <c r="L301" s="1095"/>
      <c r="M301" s="1095"/>
    </row>
    <row r="302" spans="8:8" hidden="1">
      <c r="B302" s="1095"/>
      <c r="C302" s="1095"/>
      <c r="D302" s="1095"/>
      <c r="E302" s="1095"/>
      <c r="F302" s="1095"/>
      <c r="G302" s="1095"/>
      <c r="H302" s="1095"/>
      <c r="I302" s="1095"/>
      <c r="J302" s="1095"/>
      <c r="K302" s="1095"/>
      <c r="L302" s="1095"/>
      <c r="M302" s="1095"/>
    </row>
    <row r="303" spans="8:8" hidden="1">
      <c r="B303" s="1095"/>
      <c r="C303" s="1095"/>
      <c r="D303" s="1095"/>
      <c r="E303" s="1095"/>
      <c r="F303" s="1095"/>
      <c r="G303" s="1095"/>
      <c r="H303" s="1095"/>
      <c r="I303" s="1095"/>
      <c r="J303" s="1095"/>
      <c r="K303" s="1095"/>
      <c r="L303" s="1095"/>
      <c r="M303" s="1095"/>
    </row>
    <row r="304" spans="8:8" hidden="1">
      <c r="B304" s="1095"/>
      <c r="C304" s="1095"/>
      <c r="D304" s="1095"/>
      <c r="E304" s="1095"/>
      <c r="F304" s="1095"/>
      <c r="G304" s="1095"/>
      <c r="H304" s="1095"/>
      <c r="I304" s="1095"/>
      <c r="J304" s="1095"/>
      <c r="K304" s="1095"/>
      <c r="L304" s="1095"/>
      <c r="M304" s="1095"/>
    </row>
    <row r="305" spans="8:8" hidden="1">
      <c r="B305" s="1095"/>
      <c r="C305" s="1095"/>
      <c r="D305" s="1095"/>
      <c r="E305" s="1095"/>
      <c r="F305" s="1095"/>
      <c r="G305" s="1095"/>
      <c r="H305" s="1095"/>
      <c r="I305" s="1095"/>
      <c r="J305" s="1095"/>
      <c r="K305" s="1095"/>
      <c r="L305" s="1095"/>
      <c r="M305" s="1095"/>
    </row>
    <row r="306" spans="8:8" hidden="1">
      <c r="B306" s="1095"/>
      <c r="C306" s="1095"/>
      <c r="D306" s="1095"/>
      <c r="E306" s="1095"/>
      <c r="F306" s="1095"/>
      <c r="G306" s="1095"/>
      <c r="H306" s="1095"/>
      <c r="I306" s="1095"/>
      <c r="J306" s="1095"/>
      <c r="K306" s="1095"/>
      <c r="L306" s="1095"/>
      <c r="M306" s="1095"/>
    </row>
    <row r="307" spans="8:8" hidden="1">
      <c r="B307" s="1095"/>
      <c r="C307" s="1095"/>
      <c r="D307" s="1095"/>
      <c r="E307" s="1095"/>
      <c r="F307" s="1095"/>
      <c r="G307" s="1095"/>
      <c r="H307" s="1095"/>
      <c r="I307" s="1095"/>
      <c r="J307" s="1095"/>
      <c r="K307" s="1095"/>
      <c r="L307" s="1095"/>
      <c r="M307" s="1095"/>
    </row>
    <row r="308" spans="8:8" hidden="1">
      <c r="B308" s="1095"/>
      <c r="C308" s="1095"/>
      <c r="D308" s="1095"/>
      <c r="E308" s="1095"/>
      <c r="F308" s="1095"/>
      <c r="G308" s="1095"/>
      <c r="H308" s="1095"/>
      <c r="I308" s="1095"/>
      <c r="J308" s="1095"/>
      <c r="K308" s="1095"/>
      <c r="L308" s="1095"/>
      <c r="M308" s="1095"/>
    </row>
    <row r="309" spans="8:8" hidden="1">
      <c r="B309" s="1095"/>
      <c r="C309" s="1095"/>
      <c r="D309" s="1095"/>
      <c r="E309" s="1095"/>
      <c r="F309" s="1095"/>
      <c r="G309" s="1095"/>
      <c r="H309" s="1095"/>
      <c r="I309" s="1095"/>
      <c r="J309" s="1095"/>
      <c r="K309" s="1095"/>
      <c r="L309" s="1095"/>
      <c r="M309" s="1095"/>
    </row>
    <row r="310" spans="8:8" hidden="1">
      <c r="B310" s="1095"/>
      <c r="C310" s="1095"/>
      <c r="D310" s="1095"/>
      <c r="E310" s="1095"/>
      <c r="F310" s="1095"/>
      <c r="G310" s="1095"/>
      <c r="H310" s="1095"/>
      <c r="I310" s="1095"/>
      <c r="J310" s="1095"/>
      <c r="K310" s="1095"/>
      <c r="L310" s="1095"/>
      <c r="M310" s="1095"/>
    </row>
    <row r="311" spans="8:8" hidden="1">
      <c r="B311" s="1095"/>
      <c r="C311" s="1095"/>
      <c r="D311" s="1095"/>
      <c r="E311" s="1095"/>
      <c r="F311" s="1095"/>
      <c r="G311" s="1095"/>
      <c r="H311" s="1095"/>
      <c r="I311" s="1095"/>
      <c r="J311" s="1095"/>
      <c r="K311" s="1095"/>
      <c r="L311" s="1095"/>
      <c r="M311" s="1095"/>
    </row>
    <row r="312" spans="8:8" hidden="1">
      <c r="B312" s="1095"/>
      <c r="C312" s="1095"/>
      <c r="D312" s="1095"/>
      <c r="E312" s="1095"/>
      <c r="F312" s="1095"/>
      <c r="G312" s="1095"/>
      <c r="H312" s="1095"/>
      <c r="I312" s="1095"/>
      <c r="J312" s="1095"/>
      <c r="K312" s="1095"/>
      <c r="L312" s="1095"/>
      <c r="M312" s="1095"/>
    </row>
    <row r="313" spans="8:8" hidden="1">
      <c r="B313" s="1095"/>
      <c r="C313" s="1095"/>
      <c r="D313" s="1095"/>
      <c r="E313" s="1095"/>
      <c r="F313" s="1095"/>
      <c r="G313" s="1095"/>
      <c r="H313" s="1095"/>
      <c r="I313" s="1095"/>
      <c r="J313" s="1095"/>
      <c r="K313" s="1095"/>
      <c r="L313" s="1095"/>
      <c r="M313" s="1095"/>
    </row>
    <row r="314" spans="8:8" hidden="1">
      <c r="B314" s="1095"/>
      <c r="C314" s="1095"/>
      <c r="D314" s="1095"/>
      <c r="E314" s="1095"/>
      <c r="F314" s="1095"/>
      <c r="G314" s="1095"/>
      <c r="H314" s="1095"/>
      <c r="I314" s="1095"/>
      <c r="J314" s="1095"/>
      <c r="K314" s="1095"/>
      <c r="L314" s="1095"/>
      <c r="M314" s="1095"/>
    </row>
  </sheetData>
  <sheetProtection password="cda0" sheet="1" objects="1" scenarios="1"/>
  <mergeCells count="283">
    <mergeCell ref="L123:M123"/>
    <mergeCell ref="G151:M151"/>
    <mergeCell ref="B138:G139"/>
    <mergeCell ref="J153:K153"/>
    <mergeCell ref="H152:I152"/>
    <mergeCell ref="C48:E48"/>
    <mergeCell ref="H43:I43"/>
    <mergeCell ref="J52:K52"/>
    <mergeCell ref="N2:N155"/>
    <mergeCell ref="J110:K110"/>
    <mergeCell ref="C47:E47"/>
    <mergeCell ref="K17:M17"/>
    <mergeCell ref="B69:M69"/>
    <mergeCell ref="H110:I110"/>
    <mergeCell ref="B67:H67"/>
    <mergeCell ref="C44:E44"/>
    <mergeCell ref="B5:M5"/>
    <mergeCell ref="K84:L84"/>
    <mergeCell ref="C153:F153"/>
    <mergeCell ref="B142:M142"/>
    <mergeCell ref="D108:F108"/>
    <mergeCell ref="L120:M120"/>
    <mergeCell ref="H121:I121"/>
    <mergeCell ref="H106:I106"/>
    <mergeCell ref="D120:F120"/>
    <mergeCell ref="D22:F22"/>
    <mergeCell ref="B104:E104"/>
    <mergeCell ref="H122:I122"/>
    <mergeCell ref="L108:M108"/>
    <mergeCell ref="B88:H88"/>
    <mergeCell ref="L106:M106"/>
    <mergeCell ref="D110:F110"/>
    <mergeCell ref="K89:L89"/>
    <mergeCell ref="B73:F73"/>
    <mergeCell ref="B72:M72"/>
    <mergeCell ref="H123:I123"/>
    <mergeCell ref="B145:M145"/>
    <mergeCell ref="J152:K152"/>
    <mergeCell ref="L124:M124"/>
    <mergeCell ref="D123:F123"/>
    <mergeCell ref="J108:K108"/>
    <mergeCell ref="B113:G113"/>
    <mergeCell ref="B128:G128"/>
    <mergeCell ref="L121:M121"/>
    <mergeCell ref="H108:I108"/>
    <mergeCell ref="J119:K119"/>
    <mergeCell ref="H116:I116"/>
    <mergeCell ref="L110:M110"/>
    <mergeCell ref="J123:K123"/>
    <mergeCell ref="L26:M26"/>
    <mergeCell ref="C43:E43"/>
    <mergeCell ref="J34:K34"/>
    <mergeCell ref="H50:I50"/>
    <mergeCell ref="L43:M43"/>
    <mergeCell ref="J51:K51"/>
    <mergeCell ref="F42:G42"/>
    <mergeCell ref="L40:M40"/>
    <mergeCell ref="J128:K128"/>
    <mergeCell ref="B10:G10"/>
    <mergeCell ref="L30:M30"/>
    <mergeCell ref="H36:I36"/>
    <mergeCell ref="F37:G37"/>
    <mergeCell ref="F43:G43"/>
    <mergeCell ref="J50:K50"/>
    <mergeCell ref="H52:I52"/>
    <mergeCell ref="C50:E50"/>
    <mergeCell ref="F55:G55"/>
    <mergeCell ref="H41:I41"/>
    <mergeCell ref="C34:E34"/>
    <mergeCell ref="J9:K9"/>
    <mergeCell ref="J36:K36"/>
    <mergeCell ref="G25:H25"/>
    <mergeCell ref="F29:G29"/>
    <mergeCell ref="I24:K24"/>
    <mergeCell ref="G26:H26"/>
    <mergeCell ref="H34:I34"/>
    <mergeCell ref="B15:D15"/>
    <mergeCell ref="H13:M14"/>
    <mergeCell ref="I22:K22"/>
    <mergeCell ref="C52:E52"/>
    <mergeCell ref="L54:M54"/>
    <mergeCell ref="F48:G48"/>
    <mergeCell ref="D24:F24"/>
    <mergeCell ref="J35:K35"/>
    <mergeCell ref="I23:K23"/>
    <mergeCell ref="B130:G130"/>
    <mergeCell ref="B23:C23"/>
    <mergeCell ref="H37:I37"/>
    <mergeCell ref="I26:K26"/>
    <mergeCell ref="G23:H23"/>
    <mergeCell ref="L24:M24"/>
    <mergeCell ref="H19:I19"/>
    <mergeCell ref="B46:M46"/>
    <mergeCell ref="C54:E54"/>
    <mergeCell ref="H54:I54"/>
    <mergeCell ref="C53:E53"/>
    <mergeCell ref="H57:J57"/>
    <mergeCell ref="L51:M51"/>
    <mergeCell ref="B126:G127"/>
    <mergeCell ref="B7:M7"/>
    <mergeCell ref="J43:K43"/>
    <mergeCell ref="J30:K30"/>
    <mergeCell ref="F40:G40"/>
    <mergeCell ref="F34:G34"/>
    <mergeCell ref="L39:M39"/>
    <mergeCell ref="F30:G30"/>
    <mergeCell ref="B9:I9"/>
    <mergeCell ref="B6:M6"/>
    <mergeCell ref="J48:K48"/>
    <mergeCell ref="B66:M66"/>
    <mergeCell ref="B59:F59"/>
    <mergeCell ref="B56:M56"/>
    <mergeCell ref="B87:H87"/>
    <mergeCell ref="J120:K120"/>
    <mergeCell ref="L111:M111"/>
    <mergeCell ref="H124:I124"/>
    <mergeCell ref="B155:M155"/>
    <mergeCell ref="L129:M129"/>
    <mergeCell ref="G150:M150"/>
    <mergeCell ref="C143:E143"/>
    <mergeCell ref="J141:K141"/>
    <mergeCell ref="H143:J143"/>
    <mergeCell ref="H128:I128"/>
    <mergeCell ref="B65:M65"/>
    <mergeCell ref="G22:H22"/>
    <mergeCell ref="B58:D58"/>
    <mergeCell ref="H55:M55"/>
    <mergeCell ref="L22:M22"/>
    <mergeCell ref="C51:E51"/>
    <mergeCell ref="B11:G14"/>
    <mergeCell ref="F54:G54"/>
    <mergeCell ref="L122:M122"/>
    <mergeCell ref="D109:F109"/>
    <mergeCell ref="H111:I111"/>
    <mergeCell ref="D111:F111"/>
    <mergeCell ref="D112:F112"/>
    <mergeCell ref="H112:I112"/>
    <mergeCell ref="H30:I30"/>
    <mergeCell ref="L107:M107"/>
    <mergeCell ref="J122:K122"/>
    <mergeCell ref="J49:K49"/>
    <mergeCell ref="L53:M53"/>
    <mergeCell ref="D107:F107"/>
    <mergeCell ref="L116:M116"/>
    <mergeCell ref="D122:F122"/>
    <mergeCell ref="J109:K109"/>
    <mergeCell ref="D121:F121"/>
    <mergeCell ref="J121:K121"/>
    <mergeCell ref="B68:M68"/>
    <mergeCell ref="L112:M112"/>
    <mergeCell ref="H51:I51"/>
    <mergeCell ref="H120:I120"/>
    <mergeCell ref="H107:I107"/>
    <mergeCell ref="H109:I109"/>
    <mergeCell ref="J112:K112"/>
    <mergeCell ref="F53:G53"/>
    <mergeCell ref="B71:M71"/>
    <mergeCell ref="D124:F124"/>
    <mergeCell ref="F49:G49"/>
    <mergeCell ref="J107:K107"/>
    <mergeCell ref="L37:M37"/>
    <mergeCell ref="J116:K116"/>
    <mergeCell ref="C40:E40"/>
    <mergeCell ref="B63:M63"/>
    <mergeCell ref="J124:K124"/>
    <mergeCell ref="C57:E57"/>
    <mergeCell ref="J125:K125"/>
    <mergeCell ref="L109:M109"/>
    <mergeCell ref="L41:M41"/>
    <mergeCell ref="C37:E37"/>
    <mergeCell ref="H35:I35"/>
    <mergeCell ref="H39:I39"/>
    <mergeCell ref="H38:I38"/>
    <mergeCell ref="H48:I48"/>
    <mergeCell ref="B8:M8"/>
    <mergeCell ref="C55:E55"/>
    <mergeCell ref="G24:H24"/>
    <mergeCell ref="L52:M52"/>
    <mergeCell ref="F44:G44"/>
    <mergeCell ref="J53:K53"/>
    <mergeCell ref="H44:I44"/>
    <mergeCell ref="F47:M47"/>
    <mergeCell ref="I25:K25"/>
    <mergeCell ref="F52:G52"/>
    <mergeCell ref="L48:M48"/>
    <mergeCell ref="J54:K54"/>
    <mergeCell ref="C152:G152"/>
    <mergeCell ref="L125:M125"/>
    <mergeCell ref="D125:F125"/>
    <mergeCell ref="H125:I125"/>
    <mergeCell ref="J139:K139"/>
    <mergeCell ref="M126:M127"/>
    <mergeCell ref="J111:K111"/>
    <mergeCell ref="B76:M76"/>
    <mergeCell ref="E17:G19"/>
    <mergeCell ref="J106:K106"/>
    <mergeCell ref="B62:C62"/>
    <mergeCell ref="B60:M61"/>
    <mergeCell ref="H53:I53"/>
    <mergeCell ref="B77:M77"/>
    <mergeCell ref="B70:M70"/>
    <mergeCell ref="L128:M128"/>
    <mergeCell ref="B144:D144"/>
    <mergeCell ref="H153:I153"/>
    <mergeCell ref="J105:K105"/>
    <mergeCell ref="C32:E32"/>
    <mergeCell ref="H11:M12"/>
    <mergeCell ref="B64:M64"/>
    <mergeCell ref="B3:M3"/>
    <mergeCell ref="B2:M2"/>
    <mergeCell ref="C42:E42"/>
    <mergeCell ref="B4:M4"/>
    <mergeCell ref="C41:E41"/>
    <mergeCell ref="L25:M25"/>
    <mergeCell ref="H17:J17"/>
    <mergeCell ref="B22:C22"/>
    <mergeCell ref="B1:M1"/>
    <mergeCell ref="J40:K40"/>
    <mergeCell ref="H32:I32"/>
    <mergeCell ref="F35:G35"/>
    <mergeCell ref="L35:M35"/>
    <mergeCell ref="H31:I31"/>
    <mergeCell ref="H49:I49"/>
    <mergeCell ref="L49:M49"/>
    <mergeCell ref="F51:G51"/>
    <mergeCell ref="J31:K31"/>
    <mergeCell ref="H18:I18"/>
    <mergeCell ref="D25:F25"/>
    <mergeCell ref="F32:G32"/>
    <mergeCell ref="G21:H21"/>
    <mergeCell ref="B27:M27"/>
    <mergeCell ref="C38:E38"/>
    <mergeCell ref="B26:C26"/>
    <mergeCell ref="B24:C24"/>
    <mergeCell ref="B25:C25"/>
    <mergeCell ref="H10:M10"/>
    <mergeCell ref="C35:E35"/>
    <mergeCell ref="J41:K41"/>
    <mergeCell ref="E15:G15"/>
    <mergeCell ref="H33:I33"/>
    <mergeCell ref="I21:K21"/>
    <mergeCell ref="B21:C21"/>
    <mergeCell ref="H15:M15"/>
    <mergeCell ref="B16:D16"/>
    <mergeCell ref="F38:G38"/>
    <mergeCell ref="L33:M33"/>
    <mergeCell ref="L42:M42"/>
    <mergeCell ref="J39:K39"/>
    <mergeCell ref="J44:K44"/>
    <mergeCell ref="L44:M44"/>
    <mergeCell ref="L38:M38"/>
    <mergeCell ref="F41:G41"/>
    <mergeCell ref="C33:E33"/>
    <mergeCell ref="H42:I42"/>
    <mergeCell ref="J33:K33"/>
    <mergeCell ref="L34:M34"/>
    <mergeCell ref="C39:E39"/>
    <mergeCell ref="J38:K38"/>
    <mergeCell ref="F28:M28"/>
    <mergeCell ref="C36:E36"/>
    <mergeCell ref="L29:M29"/>
    <mergeCell ref="J32:K32"/>
    <mergeCell ref="H29:I29"/>
    <mergeCell ref="J29:K29"/>
    <mergeCell ref="D26:F26"/>
    <mergeCell ref="J37:K37"/>
    <mergeCell ref="D21:F21"/>
    <mergeCell ref="L21:M21"/>
    <mergeCell ref="L23:M23"/>
    <mergeCell ref="E16:G16"/>
    <mergeCell ref="H16:M16"/>
    <mergeCell ref="C29:E29"/>
    <mergeCell ref="L36:M36"/>
    <mergeCell ref="F39:G39"/>
    <mergeCell ref="C28:E28"/>
    <mergeCell ref="K18:M19"/>
    <mergeCell ref="H40:I40"/>
    <mergeCell ref="F33:G33"/>
    <mergeCell ref="J42:K42"/>
    <mergeCell ref="D23:F23"/>
    <mergeCell ref="L32:M32"/>
    <mergeCell ref="F36:G36"/>
    <mergeCell ref="C31:E31"/>
  </mergeCells>
  <conditionalFormatting sqref="J141:M141">
    <cfRule type="expression" priority="5" dxfId="16">
      <formula>$K141="Refundable)"</formula>
    </cfRule>
    <cfRule type="expression" priority="6" dxfId="17">
      <formula>$K141="(payble)"</formula>
    </cfRule>
  </conditionalFormatting>
  <conditionalFormatting sqref="C51:M54">
    <cfRule type="cellIs" operator="equal" priority="2" dxfId="18">
      <formula>0</formula>
    </cfRule>
  </conditionalFormatting>
  <conditionalFormatting sqref="H107:M112 H120:M125">
    <cfRule type="cellIs" operator="equal" priority="1" dxfId="19">
      <formula>0</formula>
    </cfRule>
  </conditionalFormatting>
  <conditionalFormatting sqref="F52:G55 C51:M54">
    <cfRule type="cellIs" operator="equal" priority="7" dxfId="20">
      <formula>0</formula>
    </cfRule>
  </conditionalFormatting>
  <conditionalFormatting sqref="C57:E57 J58 D22:M26 C51:M55 C32:M44 H92:H94 H107:M112 H120:M125">
    <cfRule type="cellIs" operator="equal" priority="3" dxfId="21">
      <formula>0</formula>
    </cfRule>
  </conditionalFormatting>
  <conditionalFormatting sqref="L120:M128 L107:M116 M102 M99:M100 M97 K89:L89 J95 J87 J79:J80 J82 H116:K116 H92:H94 H107:K112 M130:M141 H120:K125">
    <cfRule type="cellIs" operator="equal" priority="4" dxfId="22">
      <formula>0</formula>
    </cfRule>
  </conditionalFormatting>
  <printOptions horizontalCentered="1"/>
  <pageMargins left="0.1968503937007874" right="0.11811023622047245" top="0.11811023622047245" bottom="0.11811023622047245" header="0.07874015748031496" footer="0.07874015748031496"/>
  <pageSetup paperSize="9" scale="75"/>
  <headerFooter>
    <oddFooter>&amp;Cनिर्माणकर्ता :-भागीरथ मल, अध्यापक L-1 G.S.S.S. डसाणा खुर्द मौलासर (डीडवाना-कुचामन)</oddFooter>
  </headerFooter>
</worksheet>
</file>

<file path=docProps/app.xml><?xml version="1.0" encoding="utf-8"?>
<Properties xmlns="http://schemas.openxmlformats.org/officeDocument/2006/extended-properties">
  <Application>Kingsoft Office</Application>
  <DocSecurity>0</DocSecurity>
  <ScaleCrop>0</ScaleCrop>
  <LinksUpToDate>0</LinksUpToDate>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creator>CP</dc:creator>
  <cp:lastModifiedBy>Admin</cp:lastModifiedBy>
  <dcterms:created xsi:type="dcterms:W3CDTF">2013-12-05T21:14:36Z</dcterms:created>
  <dcterms:modified xsi:type="dcterms:W3CDTF">2024-12-05T09:13:19Z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38d009da03f149479a3e6b35bb1d123c</vt:lpwstr>
  </property>
</Properties>
</file>