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vmlDrawing3.vml" ContentType="application/vnd.openxmlformats-officedocument.vmlDrawing"/>
  <Override PartName="/xl/comments3.xml" ContentType="application/vnd.openxmlformats-officedocument.spreadsheetml.comments+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vmlDrawing5.vml" ContentType="application/vnd.openxmlformats-officedocument.vmlDrawing"/>
  <Override PartName="/xl/comments5.xml" ContentType="application/vnd.openxmlformats-officedocument.spreadsheetml.comments+xml"/>
  <Override PartName="/xl/worksheets/sheet6.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4" lowestEdited="4" rupBuild="4507"/>
  <workbookPr defaultThemeVersion="124226"/>
  <bookViews>
    <workbookView xWindow="-15" yWindow="75" windowWidth="11685" windowHeight="7935" firstSheet="4" activeTab="0"/>
  </bookViews>
  <sheets>
    <sheet name="MASTER DATA" sheetId="1" r:id="rId1"/>
    <sheet name="ARREAR SHEET SINGLE EMPLOYEE" sheetId="2" r:id="rId2"/>
    <sheet name="SURRENDER ARREAR SHEET 1 EMP." sheetId="3" r:id="rId3"/>
    <sheet name="ALLकार्मिक रिपोर्ट SHEET (1-4) " sheetId="4" r:id="rId4"/>
    <sheet name="SURर.ARRE.ADIT.SHEET 15 कार्मिक" sheetId="5" r:id="rId5"/>
    <sheet name="ARREAR DA- HRA UNLOCK " sheetId="6" r:id="rId6"/>
  </sheets>
  <definedNames>
    <definedName name="_xlnm._FilterDatabase" localSheetId="1" hidden="1">'ARREAR SHEET SINGLE EMPLOYEE'!$A$8:$W$19</definedName>
    <definedName name="month">'MASTER DATA'!$M$9:$M$15</definedName>
    <definedName name="_xlnm.Print_Area" localSheetId="3">'ALLकार्मिक रिपोर्ट SHEET (1-4) '!$A$2:$S$56</definedName>
    <definedName name="_xlnm.Print_Area" localSheetId="5">'ARREAR DA- HRA UNLOCK '!$A$2:$W$34</definedName>
    <definedName name="_xlnm.Print_Area" localSheetId="1">'ARREAR SHEET SINGLE EMPLOYEE'!$A$2:$W$34</definedName>
    <definedName name="_xlnm.Print_Area" localSheetId="2">'SURRENDER ARREAR SHEET 1 EMP.'!$A$2:$S$24</definedName>
    <definedName name="_xlnm.Print_Area" localSheetId="4">'SURर.ARRE.ADIT.SHEET 15 कार्मिक'!$A$2:$S$38</definedName>
  </definedNames>
  <calcPr iterate="1" calcId="125725"/>
</workbook>
</file>

<file path=xl/comments3.xml><?xml version="1.0" encoding="utf-8"?>
<comments xmlns="http://schemas.openxmlformats.org/spreadsheetml/2006/main">
  <authors>
    <author>Admin</author>
  </authors>
  <commentList>
    <comment ref="D6" authorId="0">
      <text>
        <r>
          <rPr>
            <b/>
            <sz val="11"/>
            <color indexed="39"/>
            <rFont val="Calibri"/>
            <family val="2"/>
          </rPr>
          <t xml:space="preserve">भागीरथ मल</t>
        </r>
        <r>
          <rPr>
            <b/>
            <sz val="9"/>
            <color indexed="81"/>
            <rFont val="Tahoma"/>
            <family val="2"/>
          </rPr>
          <t xml:space="preserve">
</t>
        </r>
        <r>
          <rPr>
            <b/>
            <sz val="10"/>
            <color indexed="33"/>
            <rFont val="Tahoma"/>
            <family val="2"/>
          </rPr>
          <t xml:space="preserve">जिस कार्मिक का SURRENDER AREEAR बनाना है उसकी क्रम संख्या लिखे i</t>
        </r>
        <r>
          <rPr>
            <sz val="9"/>
            <color indexed="81"/>
            <rFont val="Tahoma"/>
            <family val="2"/>
          </rPr>
          <t xml:space="preserve">
</t>
        </r>
      </text>
    </comment>
  </commentList>
</comments>
</file>

<file path=xl/comments5.xml><?xml version="1.0" encoding="utf-8"?>
<comments xmlns="http://schemas.openxmlformats.org/spreadsheetml/2006/main">
  <authors>
    <author>Admin</author>
  </authors>
  <commentList>
    <comment ref="D6" authorId="0">
      <text>
        <r>
          <rPr>
            <b/>
            <sz val="11"/>
            <color indexed="39"/>
            <rFont val="Calibri"/>
            <family val="2"/>
          </rPr>
          <t xml:space="preserve">भागीरथ मल</t>
        </r>
        <r>
          <rPr>
            <b/>
            <sz val="9"/>
            <color indexed="81"/>
            <rFont val="Tahoma"/>
            <family val="2"/>
          </rPr>
          <t xml:space="preserve">
</t>
        </r>
        <r>
          <rPr>
            <b/>
            <sz val="10"/>
            <color indexed="33"/>
            <rFont val="Tahoma"/>
            <family val="2"/>
          </rPr>
          <t xml:space="preserve">जिस कार्मिक का SURRENDER AREEAR बनाना है उसकी क्रम संख्या लिखे i</t>
        </r>
        <r>
          <rPr>
            <sz val="9"/>
            <color indexed="81"/>
            <rFont val="Tahoma"/>
            <family val="2"/>
          </rPr>
          <t xml:space="preserve">
</t>
        </r>
      </text>
    </comment>
  </commentList>
</comments>
</file>

<file path=xl/sharedStrings.xml><?xml version="1.0" encoding="utf-8"?>
<sst xmlns="http://schemas.openxmlformats.org/spreadsheetml/2006/main" uniqueCount="131" count="131">
  <si>
    <t>TOTAL</t>
  </si>
  <si>
    <t>OFFICE NAME :-</t>
  </si>
  <si>
    <t>GPF</t>
  </si>
  <si>
    <t xml:space="preserve">POST:- </t>
  </si>
  <si>
    <t>Sr. Teacher</t>
  </si>
  <si>
    <t>TEACHER L-1</t>
  </si>
  <si>
    <t>P.T.I. IIIrd</t>
  </si>
  <si>
    <t>TEACHER L-2</t>
  </si>
  <si>
    <t>YES</t>
  </si>
  <si>
    <t>GPF-2004</t>
  </si>
  <si>
    <t>Sr. No. :-</t>
  </si>
  <si>
    <t>DA</t>
  </si>
  <si>
    <t>HRA</t>
  </si>
  <si>
    <t>BASIC</t>
  </si>
  <si>
    <t>GPF / GPF-2004</t>
  </si>
  <si>
    <t>LDC</t>
  </si>
  <si>
    <t>कितने माह का एरियर बनाना है</t>
  </si>
  <si>
    <t>पद</t>
  </si>
  <si>
    <t>कार्मिक का नाम</t>
  </si>
  <si>
    <t>क्रम.संख्या</t>
  </si>
  <si>
    <t>कार्मिक विवरण</t>
  </si>
  <si>
    <t>राजकीय उच्च माध्यमिक विद्यालय डसाणा खुर्द,मौलासर (डीडवाना-कुचामन)</t>
  </si>
  <si>
    <t>मूल वेतन</t>
  </si>
  <si>
    <t>BHAGIRATH MAL</t>
  </si>
  <si>
    <t>KISHNA RAM</t>
  </si>
  <si>
    <t>BHAGU RAM</t>
  </si>
  <si>
    <t>CHENA RAM</t>
  </si>
  <si>
    <t>RAJESH CHOUDHARY</t>
  </si>
  <si>
    <t>RUPA RAM DOOKIYA</t>
  </si>
  <si>
    <t>MOHNI</t>
  </si>
  <si>
    <t>KAMLA DEVI</t>
  </si>
  <si>
    <t>SUNITA KUMARI</t>
  </si>
  <si>
    <t>RAMKISHAN MEENA</t>
  </si>
  <si>
    <t>SUNITA RANWA</t>
  </si>
  <si>
    <t>RAMKARAN</t>
  </si>
  <si>
    <t xml:space="preserve">DA DRAWN % </t>
  </si>
  <si>
    <t>DA DUE TO DRAW %</t>
  </si>
  <si>
    <t xml:space="preserve"> HRA DUE % :-</t>
  </si>
  <si>
    <t xml:space="preserve"> HRA DRAWN % </t>
  </si>
  <si>
    <t>SURRENDER</t>
  </si>
  <si>
    <t>IF(AND(H8=""),"",IF(AND($D$3=""),"",ROUND(Y8*Master!C$4%+Y8,0)))</t>
  </si>
  <si>
    <t>कार्मिक का नाम :-</t>
  </si>
  <si>
    <t xml:space="preserve">पद:- </t>
  </si>
  <si>
    <t>माह
और 
वर्ष</t>
  </si>
  <si>
    <t>गृह किराया भत्ता</t>
  </si>
  <si>
    <t>मंहगाई भत्ता</t>
  </si>
  <si>
    <t>कुल</t>
  </si>
  <si>
    <t>कुल कटोतियाँ</t>
  </si>
  <si>
    <t>आयकर कटोती</t>
  </si>
  <si>
    <t>वेतन भते अन्तर</t>
  </si>
  <si>
    <t>कटोतियाँ</t>
  </si>
  <si>
    <t>नकद भुगतान</t>
  </si>
  <si>
    <t>ट्रेजरी वाउचर न. &amp; दिनांक</t>
  </si>
  <si>
    <t xml:space="preserve"> वेतन भत्ते जो प्राप्त होने </t>
  </si>
  <si>
    <t xml:space="preserve"> वेतन भत्ते जो प्राप्त हुए</t>
  </si>
  <si>
    <t>जी.पी.एफ./जी.पी.एफ. 2004</t>
  </si>
  <si>
    <t>क्रम संख्या :-</t>
  </si>
  <si>
    <r>
      <t xml:space="preserve">नकद भुगतान
</t>
    </r>
    <r>
      <rPr>
        <b/>
        <sz val="9"/>
        <rFont val="Cambria"/>
      </rPr>
      <t xml:space="preserve">
</t>
    </r>
  </si>
  <si>
    <t xml:space="preserve">ट्रेजरी वाउचर न. &amp; दिनांक
</t>
  </si>
  <si>
    <t>IF(AND(C8=""),"",IF(AND($D$3=""),"","",ROUND(Y8*Master!C$5%+Y8,0)))</t>
  </si>
  <si>
    <t xml:space="preserve">आहरण वितरण अधिकारी </t>
  </si>
  <si>
    <t>çfrfyfi%&amp; fuEukafdr dks lwpukFkZ ,oa vko';d dk;Zokgh gsrq çsf"kr gS&amp;</t>
  </si>
  <si>
    <t>1&amp; Jheku~ dks"kkfèkdkjh@midks"kkfèkdkjh ------------------------------ dks lwpukFkZA</t>
  </si>
  <si>
    <t>2&amp; ys[kk 'kk[kk &amp; fcy cukus gsrqA</t>
  </si>
  <si>
    <t>4&amp; dk;kZy; çfrA</t>
  </si>
  <si>
    <t xml:space="preserve">                     </t>
  </si>
  <si>
    <t>जी.पी.एफ./जी.पी.एफ. 2005</t>
  </si>
  <si>
    <t>कार्यालय आदेश</t>
  </si>
  <si>
    <t>दिनांक</t>
  </si>
  <si>
    <t>दिनांक :-</t>
  </si>
  <si>
    <t>क्रमांक:-</t>
  </si>
  <si>
    <t xml:space="preserve">हस्ताक्षर </t>
  </si>
  <si>
    <t>आहरण वितरण अधिकारी मय सील</t>
  </si>
  <si>
    <t xml:space="preserve">                यह शीट आपकी सहायता के लिए बनाई गई है इसको बनाने में पूर्ण रूप से सावधानी राखी गई है लेकिन किसी प्रकार की गणना में त्रुटी होने पर निर्माणकर्ता को की कोई जवाब देही नहीं होगी I</t>
  </si>
  <si>
    <r>
      <t xml:space="preserve">                                                  किसी प्रकार के सुझाव के लिए आप                                                                                      निर्माणकर्ता :-भागीरथ मल कलवानियां (कोलिया) अध्यापक L-1,MOB NO 9828789204                           G.S.S.S.DASANA KHURD (MOULASAR)DEEDWANA-KUCHAMAN                                                                                                                                                  </t>
    </r>
    <r>
      <rPr>
        <b/>
        <sz val="14"/>
        <rFont val="Calibri"/>
      </rPr>
      <t xml:space="preserve"> EMAIL ID.bhagirathmalkalwania@gmail.com</t>
    </r>
  </si>
  <si>
    <t xml:space="preserve">निर्माणकर्ता :-भागीरथ मल कलवानियां (कोलिया) अध्यापक L-1,MOB NO 9828789204   G.S.S.S.DASANA KHURD (MOULASAR)DEEDWANA-KUCHAMAN </t>
  </si>
  <si>
    <t xml:space="preserve">आप 4 कार्मिक का आप प्रिंट एक बार में एक साथ ले सकते है जिस कार्मिक का आप सबसे पहले प्रिंट चाहते है उसकी MASTAR डाटा शीट की क्रम संख्या ऊपर पीले कलर के CELL में लिखे i जेसे  1 से 4 न तक केकार्मिक के लेने है तो आप ऊपर cell में 1 लिखे प्रिंट लेने के बाद आगे की क्रम से न लिख कर आप अपने सभी कार्मिक का प्रिंट एक एक कर ले सकते है i अधिकतम 101 कार्मिकों DA एरियर STATEMENT बनाया जा सकता है I
</t>
  </si>
  <si>
    <t>आयकर (कितना)% अगर कटवाना चाहते हो तो</t>
  </si>
  <si>
    <t>SURRENDER ARREAR</t>
  </si>
  <si>
    <t>AMOUNT IN WORDS  TO BE PAID IN CASH  :-</t>
  </si>
  <si>
    <t xml:space="preserve">     हस्ताक्षर मय सील
</t>
  </si>
  <si>
    <t xml:space="preserve">हस्ताक्षर मय सील
</t>
  </si>
  <si>
    <t>3&amp;lacafèkr deZpkjh Jh</t>
  </si>
  <si>
    <t>विवरण</t>
  </si>
  <si>
    <t xml:space="preserve">  ---: कार्यालय आदेश :---</t>
  </si>
  <si>
    <t>क्रमांक:--</t>
  </si>
  <si>
    <t>दिनाँक</t>
  </si>
  <si>
    <t>PAY DUE</t>
  </si>
  <si>
    <t>PAY DRAWN</t>
  </si>
  <si>
    <t>PAY DIFFERENCE</t>
  </si>
  <si>
    <t>DEPOSITE IN GPF / GPF-2004</t>
  </si>
  <si>
    <t>PAID IN CASH</t>
  </si>
  <si>
    <t>IF(AND(D5=""),"",IF(AND(R16=0),"ZERO ONLY","(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t>
  </si>
  <si>
    <t>नकद राशि भुगतान शब्दों में  :-</t>
  </si>
  <si>
    <t>IF(AND(D5=""),"",IF(AND(V16=0),"ZERO ONLY","( Rs. "&amp;LOOKUP(IF(INT(RIGHT(V16,7)/100000)&gt;19,INT(RIGHT(V16,7)/1000000),IF(INT(RIGHT(V16,7)/100000)&gt;=10,INT(RIGHT(V16,7)/100000),0)),{0,1,2,3,4,5,6,7,8,9,10,11,12,13,14,15,16,17,18,19},{""," TEN "," TWENTY "," THIRTY "," FOURTY "," FIFTY "," SIXTY "," SEVENTY "," EIGHTY "," NINETY "," TEN "," ELEVEN "," TWELVE "," THIRTEEN "," FOURTEEN "," FIFTEEN "," SIXTEEN"," SEVENTEEN"," EIGHTEEN "," NINETEEN "})&amp;IF((IF(INT(RIGHT(V16,7)/100000)&gt;19,INT(RIGHT(V16,7)/1000000),IF(INT(RIGHT(V16,7)/100000)&gt;=10,INT(RIGHT(V16,7)/100000),0))+IF(INT(RIGHT(V16,7)/100000)&gt;19,INT(RIGHT(V16,6)/100000),IF(INT(RIGHT(V16,7)/100000)&gt;10,0,INT(RIGHT(V16,6)/100000))))&gt;0,LOOKUP(IF(INT(RIGHT(V16,7)/100000)&gt;19,INT(RIGHT(V16,6)/100000),IF(INT(RIGHT(V16,7)/100000)&gt;10,0,INT(RIGHT(V16,6)/100000))),{0,1,2,3,4,5,6,7,8,9,10,11,12,13,14,15,16,17,18,19},{""," ONE "," TWO "," THREE "," FOUR "," FIVE "," SIX "," SEVEN "," EIGHT "," NINE "," TEN "," ELEVEN "," TWELVE "," THIRTEEN "," FOURTEEN "," FIFTEEN "," SIXTEEN"," SEVENTEEN"," EIGHTEEN "," NINETEEN "})&amp;" Lac. "," ")&amp;LOOKUP(IF(INT(RIGHT(V16,5)/1000)&gt;19,INT(RIGHT(V16,5)/10000),IF(INT(RIGHT(V16,5)/1000)&gt;=10,INT(RIGHT(V16,5)/1000),0)),{0,1,2,3,4,5,6,7,8,9,10,11,12,13,14,15,16,17,18,19},{""," TEN "," TWENTY "," THIRTY "," FOURTY "," FIFTY "," SIXTY "," SEVENTY "," EIGHTY "," NINETY "," TEN "," ELEVEN "," TWELVE "," THIRTEEN "," FOURTEEN "," FIFTEEN "," SIXTEEN"," SEVENTEEN"," EIGHTEEN "," NINETEEN "})&amp;IF((IF(INT(RIGHT(V16,5)/1000)&gt;19,INT(RIGHT(V16,4)/1000),IF(INT(RIGHT(V16,5)/1000)&gt;10,0,INT(RIGHT(V16,4)/1000)))+IF(INT(RIGHT(V16,5)/1000)&gt;19,INT(RIGHT(V16,5)/10000),IF(INT(RIGHT(V16,5)/1000)&gt;=10,INT(RIGHT(V16,5)/1000),0)))&gt;0,LOOKUP(IF(INT(RIGHT(V16,5)/1000)&gt;19,INT(RIGHT(V16,4)/1000),IF(INT(RIGHT(V16,5)/1000)&gt;10,0,INT(RIGHT(V16,4)/1000))),{0,1,2,3,4,5,6,7,8,9,10,11,12,13,14,15,16,17,18,19},{""," ONE "," TWO "," THREE "," FOUR "," FIVE "," SIX "," SEVEN "," EIGHT "," NINE "," TEN "," ELEVEN "," TWELVE "," THIRTEEN "," FOURTEEN "," FIFTEEN "," SIXTEEN"," SEVENTEEN"," EIGHTEEN "," NINETEEN "})&amp;" THOUSAND "," ")&amp;IF((INT((RIGHT(V16,3))/100))&gt;0,LOOKUP(INT((RIGHT(V16,3))/100),{0,1,2,3,4,5,6,7,8,9,10,11,12,13,14,15,16,17,18,19},{""," ONE "," TWO "," THREE "," FOUR "," FIVE "," SIX "," SEVEN "," EIGHT "," NINE "," TEN "," ELEVEN "," TWELVE "," THIRTEEN "," FOURTEEN "," FIFTEEN "," SIXTEEN"," SEVENTEEN"," EIGHTEEN "," NINETEEN "})&amp;" HUNDRED "," ")&amp;LOOKUP(IF(INT(RIGHT(V16,2))&gt;19,INT(RIGHT(V16,2)/10),IF(INT(RIGHT(V16,2))&gt;=10,INT(RIGHT(V16,2)),0)),{0,1,2,3,4,5,6,7,8,9,10,11,12,13,14,15,16,17,18,19},{""," TEN "," TWENTY "," THIRTY "," FOURTY "," FIFTY "," SIXTY "," SEVENTY "," EIGHTY "," NINETY "," TEN "," ELEVEN "," TWELVE "," THIRTEEN "," FOURTEEN "," FIFTEEN "," SIXTEEN"," SEVENTEEN"," EIGHTEEN "," NINETEEN "})&amp;LOOKUP(IF(INT(RIGHT(V16,2))&lt;10,INT(RIGHT(V16,1)),IF(INT(RIGHT(V16,2))&lt;20,0,INT(RIGHT(V16,1)))),{0,1,2,3,4,5,6,7,8,9,10,11,12,13,14,15,16,17,18,19},{""," ONE "," TWO "," THREE "," FOUR "," FIVE "," SIX "," SEVEN "," EIGHT "," NINE "," TEN "," ELEVEN "," TWELVE "," THIRTEEN "," FOURTEEN "," FIFTEEN "," SIXTEEN"," SEVENTEEN"," EIGHTEEN "," NINETEEN "})&amp;" Only)"))</t>
  </si>
  <si>
    <t>3&amp; ys[kk 'kk[kk &amp; fcy cukus gsrqA</t>
  </si>
  <si>
    <t>2&amp; lacafèkr deZpkjh Jh-</t>
  </si>
  <si>
    <t>3&amp; lacafèkr deZpkjh Jh-</t>
  </si>
  <si>
    <t>नोट:--- BLANK  ROW को आप  एक साथ SELECT कर MOUSE पर  RIGHT CLICK कर HIDE  UNHIDE पर CLICK कर ROW को HIDE  UNHID कर सकते है आप I उसके बाद CTRL +P से आप ईस का प्रिंट ले सकते हैं i</t>
  </si>
  <si>
    <t>नोट:--जिस कार्मिक का DA SURRENDWE ARREARबनाना चाहते है उसकी क्रम संख्या उपर YELLOW COLOUR CELL में लिखे  उसके बाद CTRL +P से आप ईस का प्रिंट ले सकते हैं iएक बार में एक ही आदमी का बनेगा ईस शीट में l</t>
  </si>
  <si>
    <t xml:space="preserve">नोट:---जिस कार्मिक का DA  ARREAR बनाना चाहते है उसकी क्रम संख्या उपर YELLOW COLOUR CELL में लिखे l BLANK  ROW को आप  एक साथ SELECT कर MOUSE पर  RIGHT CLICK कर HIDE  UNHIDE पर CLICK कर ROW को HIDE  UNHID कर सकते है उसके बाद CTRL +P से आप ईस का प्रिंट ले सकते हैं iएक बार में एक ही आदमी का बनेगा ईस शीट में l  </t>
  </si>
  <si>
    <t xml:space="preserve">नोट:---जिस कार्मिक का DA  ARREAR बनाना चाहते है उसकी क्रम संख्या उपर YELLOW COLOUR CELL में लिखे l BLANK  ROW को आप  एक साथ SELECT कर MOUSE पर  RIGHT CLICK कर HIDE  UNHIDE पर CLICK कर ROW को HIDE  UNHID कर सकते है उसके बाद CTRL +P से आप ईस का प्रिंट ले सकते हैं iएक बार में एक ही कार्मिक का बनेगा ईस शीट में l  </t>
  </si>
  <si>
    <t>SHEET PASSWORD</t>
  </si>
  <si>
    <t>AMOUNT IN WORDS DEPOSITE IN INCOME TAX :-</t>
  </si>
  <si>
    <t>AMOUNT IN WORDS  DEPOSITE IN INCOME TAX :-</t>
  </si>
  <si>
    <t xml:space="preserve"> TO BE PAID IN CASH :-</t>
  </si>
  <si>
    <t>3&amp;lacafèkr deZpkjh Jh ----------------------------------</t>
  </si>
  <si>
    <t>SHEET PAASWORD</t>
  </si>
  <si>
    <t xml:space="preserve">                                      नोट:--जिन कार्मिकों का DA SURRENDWE ARREAR बनाना चाहते है उनकी क्रम संख्या MASTER DATA SHEET वाले उपर YELLOW COLOUR CELL में क्रमवार अनुसार लिखे अन्य येलो CELL में भी आप EDIT करना चाहो या MANUALLY भी लिख  सकते है I BLANK ROW को  HIDE करले  उसके बाद CTRL +P से आप ईस का प्रिंट ले सकते हैं iएक बार में 15 कार्मिक का SURRENDER ARREAR  बना सकते है शीट साथ में आप चाहो तो  आदेश BASIC, DA, HRA आदि में संसोधन कर चाहे तो किसी भी प्रकार की ARREAR शीट बना सकते हैiअगर इसके बाद भी आवश्यक हो तो आप SHEETPASSWORD से UNLOCK कर सकते हैI</t>
  </si>
  <si>
    <t xml:space="preserve">जिस  माह से DA एरियर बनाना है </t>
  </si>
  <si>
    <t>ईस शीट से एक साथ 101 एक कार्मिकों का DATA भर सकते हैI</t>
  </si>
  <si>
    <t>निर्माणकर्ता :-भागीरथ मल कलवानियां (कोलिया) अध्यापक L-1,MOB NO 9828789204   G.S.S.S.DASANA KHURD (MOULASAR)DEEDWANA-KUCHAMAN                                                                                            EMAIL ID.bhagirathmalkalwania@gmail.com</t>
  </si>
  <si>
    <t xml:space="preserve">  -   -20</t>
  </si>
  <si>
    <t>क्रमांक:--डखू/DA/   /----/---/</t>
  </si>
  <si>
    <r>
      <t xml:space="preserve">DA </t>
    </r>
    <r>
      <rPr>
        <b/>
        <sz val="12"/>
        <color rgb="FFFF0000"/>
        <rFont val="Calibri"/>
      </rPr>
      <t xml:space="preserve">एरियर </t>
    </r>
    <r>
      <rPr>
        <b/>
        <sz val="14"/>
        <color rgb="FFFF0000"/>
        <rFont val="Calibri"/>
      </rPr>
      <t>DIFFERENCE SHEET (55% to 58%)</t>
    </r>
  </si>
  <si>
    <t/>
  </si>
  <si>
    <r>
      <t xml:space="preserve">                                                        राजस्थान सरकार वित्त विभाग के आदेश कर्मांक --NO.F.6(3)FD (Rules)/2017 जयपुर 23.04.2026  के अनुसार महगांईभत्ता (डी.ए.) की दर को संशोधित कर </t>
    </r>
    <r>
      <rPr>
        <b/>
        <sz val="12"/>
        <rFont val="Calibri"/>
      </rPr>
      <t>58</t>
    </r>
    <r>
      <rPr>
        <b/>
        <sz val="11"/>
        <rFont val="Calibri"/>
      </rPr>
      <t xml:space="preserve"> % से बढाकर 60 % प्रतिशत किया गया है l इस कारण निम्नाकित कर्मचारियों की महगांई भत्ता दर को पुन: निर्धारित कर अंतर माह JAN </t>
    </r>
    <r>
      <rPr>
        <b/>
        <sz val="12"/>
        <rFont val="Calibri"/>
      </rPr>
      <t>26</t>
    </r>
    <r>
      <rPr>
        <b/>
        <sz val="11"/>
        <rFont val="Calibri"/>
      </rPr>
      <t xml:space="preserve"> से APR </t>
    </r>
    <r>
      <rPr>
        <b/>
        <sz val="12"/>
        <rFont val="Calibri"/>
      </rPr>
      <t>26</t>
    </r>
    <r>
      <rPr>
        <b/>
        <sz val="11"/>
        <rFont val="Calibri"/>
      </rPr>
      <t xml:space="preserve"> तक की राशि का वेतन भुगतान स्वीकृति प्रदान की जाती है l</t>
    </r>
  </si>
  <si>
    <r>
      <t xml:space="preserve">                                                          राजस्थान सरकार वित्त विभाग के आदेश कर्मांक --</t>
    </r>
    <r>
      <rPr>
        <b/>
        <sz val="12"/>
        <color rgb="FF000000"/>
        <rFont val="Calibri"/>
      </rPr>
      <t>NO.F.6(3)FD (Rules)/2017</t>
    </r>
    <r>
      <rPr>
        <b/>
        <sz val="11"/>
        <color rgb="FF000000"/>
        <rFont val="Calibri"/>
      </rPr>
      <t xml:space="preserve"> जयपुर 23.04.2026  के अनुसार महगांईभत्ता (डी.ए.) की दर को संशोधित कर </t>
    </r>
    <r>
      <rPr>
        <b/>
        <sz val="12"/>
        <color rgb="FF000000"/>
        <rFont val="Calibri"/>
      </rPr>
      <t>58</t>
    </r>
    <r>
      <rPr>
        <b/>
        <sz val="11"/>
        <color rgb="FF000000"/>
        <rFont val="Calibri"/>
      </rPr>
      <t xml:space="preserve"> % से बढाकर 60 % प्रतिशत किया गया है l इस कारण निम्नाकित कर्मचारियों की </t>
    </r>
    <r>
      <rPr>
        <b/>
        <sz val="12"/>
        <color rgb="FF000000"/>
        <rFont val="Calibri"/>
      </rPr>
      <t>SURRENDER ARREAR</t>
    </r>
    <r>
      <rPr>
        <b/>
        <sz val="11"/>
        <color rgb="FF000000"/>
        <rFont val="Calibri"/>
      </rPr>
      <t xml:space="preserve"> </t>
    </r>
    <r>
      <rPr>
        <b/>
        <sz val="12"/>
        <color rgb="FF000000"/>
        <rFont val="Calibri"/>
      </rPr>
      <t>58</t>
    </r>
    <r>
      <rPr>
        <b/>
        <sz val="11"/>
        <color rgb="FF000000"/>
        <rFont val="Calibri"/>
      </rPr>
      <t xml:space="preserve"> % महगांई भत्ता दर से पुन: निर्धारित कर </t>
    </r>
    <r>
      <rPr>
        <b/>
        <sz val="12"/>
        <color rgb="FF000000"/>
        <rFont val="Calibri"/>
      </rPr>
      <t>SURRENDER ARREAR</t>
    </r>
    <r>
      <rPr>
        <b/>
        <sz val="11"/>
        <color rgb="FF000000"/>
        <rFont val="Calibri"/>
      </rPr>
      <t xml:space="preserve"> की राशि का वेतन भुगतान की स्वीकृति प्रदान की जाती है l</t>
    </r>
  </si>
  <si>
    <t xml:space="preserve">  /    /2026</t>
  </si>
  <si>
    <t xml:space="preserve">  /     /20</t>
  </si>
  <si>
    <t xml:space="preserve">                       राजस्थान सरकार वित्त विभाग के आदेश कर्मांक --NO.F.6(3)FD (Rules)/2017 जयपुर 23.04.2026 के अनुसार महगांईभत्ता (डी.ए.) की दर को संशोधित कर 58 % से बढाकर 60  % प्रतिशत किया गया है l इस कारण निम्नाकित कर्मचारियों की महगांई भत्ता दर को पुन: निर्धारित कर अंतर माह JAN 26 से APR 26 तक की राशि का वेतन भुगतान स्वीकृति प्रदान की जाती है l</t>
  </si>
  <si>
    <t>DA (58 % TO 60 %) DUE SURRENDER ARREAR DIFFERENCE SHEET</t>
  </si>
  <si>
    <t xml:space="preserve">                   राजस्थान सरकार वित्त विभाग के आदेश कर्मांक --NO.F.6(3)FD (Rules)/2017 जयपुर 23.04.2026 के अनुसार महगांईभत्ता (डी.ए.) की दर को संशोधित कर 58 % से बढाकर 60 % प्रतिशत किया गया है l इस कारण निम्नाकित कर्मचारियों की SURRENDER ARREAR 60 % महगांई भत्ता दर से पुन: निर्धारित कर SURRENDER ARREAR की राशि का वेतन भुगतान की स्वीकृति प्रदान की जाती है l</t>
  </si>
  <si>
    <t>DA2026</t>
  </si>
  <si>
    <t xml:space="preserve">  /   /2026</t>
  </si>
  <si>
    <t>क्रमांक:--डखू/DA/26/----/---/2026</t>
  </si>
  <si>
    <t xml:space="preserve">                                                        राजस्थान सरकार वित्त विभाग के आदेश कर्मांक --NO.F.6(3)FD (Rules)/2017 जयपुर 23.04.2026 के अनुसार महगांईभत्ता (डी.ए.) की दर को संशोधित कर 58 % से बढाकर 60 % प्रतिशत किया गया है l इस कारण निम्नाकित कर्मचारियों की महगांई भत्ता दर को पुन: निर्धारित कर अंतर माह JAN 26 से APR 26 तक की राशि का वेतन भुगतान की स्वीकृति प्रदान की जाती है l</t>
  </si>
  <si>
    <t xml:space="preserve">   /   /202</t>
  </si>
  <si>
    <t>SUR2026</t>
  </si>
  <si>
    <r>
      <t xml:space="preserve">DA </t>
    </r>
    <r>
      <rPr>
        <b/>
        <sz val="12"/>
        <color rgb="FFFF0000"/>
        <rFont val="Calibri"/>
      </rPr>
      <t xml:space="preserve">एरियर </t>
    </r>
    <r>
      <rPr>
        <b/>
        <sz val="14"/>
        <color rgb="FFFF0000"/>
        <rFont val="Calibri"/>
      </rPr>
      <t>DIFFERENCE SHEET (58% to 60 %)</t>
    </r>
  </si>
  <si>
    <t>DA (58% TO 60 %) DUE SURRENDER ARREAR DIFFERENCE SHEET</t>
  </si>
</sst>
</file>

<file path=xl/styles.xml><?xml version="1.0" encoding="utf-8"?>
<styleSheet xmlns="http://schemas.openxmlformats.org/spreadsheetml/2006/main">
  <numFmts count="7">
    <numFmt numFmtId="0" formatCode="General"/>
    <numFmt numFmtId="17" formatCode="mmm\-yy"/>
    <numFmt numFmtId="164" formatCode="[$-409]mmm/yy;@"/>
    <numFmt numFmtId="165" formatCode="[$-409]mmmm/yy;@"/>
    <numFmt numFmtId="14" formatCode="dd/mm/yyyy"/>
    <numFmt numFmtId="16" formatCode="dd\-mmm"/>
    <numFmt numFmtId="1" formatCode="0"/>
  </numFmts>
  <fonts count="80">
    <font>
      <name val="Calibri"/>
      <sz val="11"/>
    </font>
    <font>
      <name val="Calibri"/>
      <sz val="11"/>
    </font>
    <font>
      <name val="Calibri"/>
      <sz val="11"/>
      <color rgb="FF000000"/>
    </font>
    <font>
      <name val="Calibri"/>
      <b/>
      <sz val="16"/>
      <color rgb="FFFFFFFF"/>
    </font>
    <font>
      <name val="Calibri"/>
      <b/>
      <sz val="14"/>
      <color rgb="FFFF0000"/>
    </font>
    <font>
      <name val="Calibri"/>
      <b/>
      <sz val="12"/>
      <color rgb="FF002060"/>
    </font>
    <font>
      <name val="Calibri"/>
      <b/>
      <sz val="12"/>
    </font>
    <font>
      <name val="Calibri"/>
      <b/>
      <sz val="14"/>
      <color rgb="FF002060"/>
    </font>
    <font>
      <name val="Calibri"/>
      <b/>
      <sz val="10"/>
    </font>
    <font>
      <name val="Times New Roman"/>
      <sz val="11"/>
    </font>
    <font>
      <name val="Calibri"/>
      <b/>
      <sz val="11"/>
      <color rgb="FF000000"/>
    </font>
    <font>
      <name val="Calibri"/>
      <b/>
      <sz val="12"/>
      <color rgb="FF000000"/>
    </font>
    <font>
      <name val="Calibri"/>
      <b/>
      <sz val="11"/>
    </font>
    <font>
      <name val="Calibri"/>
      <b/>
      <sz val="14"/>
      <color rgb="FFFFFFFF"/>
    </font>
    <font>
      <name val="Calibri"/>
      <b/>
      <sz val="14"/>
      <color rgb="FFCC00CC"/>
    </font>
    <font>
      <name val="Calibri"/>
      <b/>
      <sz val="11"/>
      <color rgb="FFFFFFFF"/>
    </font>
    <font>
      <name val="Calibri"/>
      <b/>
      <sz val="14"/>
    </font>
    <font>
      <name val="Calibri"/>
      <b/>
      <i/>
      <u/>
      <sz val="14"/>
    </font>
    <font>
      <name val="Cambria"/>
      <b/>
      <sz val="12"/>
    </font>
    <font>
      <name val="Cambria"/>
      <b/>
      <sz val="14"/>
    </font>
    <font>
      <name val="Cambria"/>
      <b/>
      <i/>
      <sz val="14"/>
    </font>
    <font>
      <name val="Calibri"/>
      <sz val="9"/>
    </font>
    <font>
      <name val="Cambria"/>
      <b/>
      <sz val="11"/>
    </font>
    <font>
      <name val="Calibri"/>
      <b/>
      <sz val="12"/>
      <color rgb="FFFF0000"/>
    </font>
    <font>
      <name val="Calibri"/>
      <b/>
      <i/>
      <sz val="12"/>
    </font>
    <font>
      <name val="Calibri"/>
      <sz val="10"/>
    </font>
    <font>
      <name val="Calibri"/>
      <b/>
      <sz val="10"/>
      <color rgb="FF000000"/>
    </font>
    <font>
      <name val="Cambria"/>
      <b/>
      <sz val="10"/>
    </font>
    <font>
      <name val="Cambria"/>
      <b/>
      <i/>
      <sz val="10"/>
    </font>
    <font>
      <name val="Times New Roman"/>
      <sz val="8"/>
    </font>
    <font>
      <name val="Times New Roman"/>
      <b/>
      <sz val="10"/>
    </font>
    <font>
      <name val="Times New Roman"/>
      <b/>
      <sz val="9"/>
    </font>
    <font>
      <name val="Times New Roman"/>
      <b/>
      <sz val="9"/>
      <color rgb="FFFF0000"/>
    </font>
    <font>
      <name val="Times New Roman"/>
      <b/>
      <sz val="8"/>
    </font>
    <font>
      <name val="Calibri"/>
      <b/>
      <sz val="11"/>
      <color rgb="FFFF0000"/>
    </font>
    <font>
      <name val="Times New Roman"/>
      <b/>
      <sz val="11"/>
      <color rgb="FFFF0000"/>
    </font>
    <font>
      <name val="Times New Roman"/>
      <b/>
      <sz val="11"/>
    </font>
    <font>
      <name val="Calibri"/>
      <b/>
      <i/>
      <sz val="11"/>
    </font>
    <font>
      <name val="Times New Roman"/>
      <sz val="14"/>
    </font>
    <font>
      <name val="Calibri"/>
      <b/>
      <sz val="13"/>
    </font>
    <font>
      <name val="Calibri"/>
      <b/>
      <sz val="9"/>
    </font>
    <font>
      <name val="Kruti Dev 010"/>
      <sz val="14"/>
    </font>
    <font>
      <name val="Calibri"/>
      <sz val="14"/>
    </font>
    <font>
      <name val="Calibri"/>
      <sz val="12"/>
    </font>
    <font>
      <name val="DevLys 010"/>
      <sz val="14"/>
    </font>
    <font>
      <name val="Calibri"/>
      <sz val="13"/>
    </font>
    <font>
      <name val="DevLys 010"/>
      <b/>
      <sz val="12"/>
      <color rgb="FF000000"/>
    </font>
    <font>
      <name val="DevLys 010"/>
      <b/>
      <sz val="11"/>
    </font>
    <font>
      <name val="Kruti Dev 010"/>
      <b/>
      <sz val="11"/>
    </font>
    <font>
      <name val="Calibri"/>
      <b/>
      <sz val="13"/>
      <color rgb="FFFF00FF"/>
    </font>
    <font>
      <name val="Calibri"/>
      <b/>
      <sz val="12"/>
      <color rgb="FFFFFFFF"/>
    </font>
    <font>
      <name val="Calibri"/>
      <b/>
      <u val="double"/>
      <sz val="14"/>
      <color rgb="FF000000"/>
    </font>
    <font>
      <name val="Calibri"/>
      <b/>
      <sz val="13"/>
      <color rgb="FF000000"/>
    </font>
    <font>
      <name val="Calibri"/>
      <b/>
      <u val="double"/>
      <sz val="12"/>
      <color rgb="FF000000"/>
    </font>
    <font>
      <name val="Calibri"/>
      <sz val="12"/>
      <color rgb="FF000000"/>
    </font>
    <font>
      <name val="Calibri"/>
      <sz val="14"/>
      <color rgb="FF000000"/>
    </font>
    <font>
      <name val="Times New Roman"/>
      <sz val="8"/>
      <color rgb="FF000000"/>
    </font>
    <font>
      <name val="Calibri"/>
      <b/>
      <i/>
      <sz val="11"/>
      <color rgb="FF000000"/>
    </font>
    <font>
      <name val="Times New Roman"/>
      <b/>
      <sz val="10"/>
      <color rgb="FF000000"/>
    </font>
    <font>
      <name val="Times New Roman"/>
      <b/>
      <sz val="9"/>
      <color rgb="FF000000"/>
    </font>
    <font>
      <name val="Times New Roman"/>
      <b/>
      <sz val="8"/>
      <color rgb="FF000000"/>
    </font>
    <font>
      <name val="Times New Roman"/>
      <b/>
      <sz val="11"/>
      <color rgb="FF000000"/>
    </font>
    <font>
      <name val="Times New Roman"/>
      <sz val="14"/>
      <color rgb="FF000000"/>
    </font>
    <font>
      <name val="Times New Roman"/>
      <sz val="11"/>
      <color rgb="FF000000"/>
    </font>
    <font>
      <name val="Calibri"/>
      <b/>
      <sz val="10"/>
      <color rgb="FFFF0000"/>
    </font>
    <font>
      <name val="Calibri"/>
      <b/>
      <i/>
      <sz val="12"/>
      <color rgb="FF000000"/>
    </font>
    <font>
      <name val="Calibri"/>
      <b/>
      <sz val="14"/>
      <color rgb="FF000000"/>
    </font>
    <font>
      <name val="Calibri"/>
      <i/>
      <sz val="11"/>
      <color rgb="FF000000"/>
    </font>
    <font>
      <name val="DevLys 010"/>
      <sz val="14"/>
      <color rgb="FF000000"/>
    </font>
    <font>
      <name val="Calibri"/>
      <b/>
      <sz val="14"/>
      <color rgb="FFFF00FF"/>
    </font>
    <font>
      <name val="Calibri"/>
      <b/>
      <sz val="20"/>
      <color rgb="FFFF0000"/>
    </font>
    <font>
      <name val="Calibri"/>
      <sz val="10"/>
      <color rgb="FF000000"/>
    </font>
    <font>
      <name val="Calibri"/>
      <b/>
      <sz val="9"/>
      <color rgb="FF000000"/>
    </font>
    <font>
      <name val="Calibri"/>
      <b/>
      <sz val="8"/>
      <color rgb="FF000000"/>
    </font>
    <font>
      <name val="Calibri"/>
      <sz val="13"/>
      <color rgb="FFFFFFFF"/>
    </font>
    <font>
      <name val="Calibri"/>
      <b/>
      <u val="double"/>
      <sz val="11"/>
      <color rgb="FF000000"/>
    </font>
    <font>
      <name val="Times New Roman"/>
      <b/>
      <sz val="10"/>
      <color rgb="FFFF0000"/>
    </font>
    <font>
      <name val="DevLys 010"/>
      <b/>
      <sz val="11"/>
      <color rgb="FF000000"/>
    </font>
    <font>
      <name val="Calibri"/>
      <b/>
      <sz val="13"/>
      <color rgb="FFFFFFFF"/>
    </font>
    <font>
      <name val="Cambria"/>
      <b/>
      <sz val="18"/>
      <color rgb="FFFFFFFF"/>
    </font>
  </fonts>
  <fills count="6">
    <fill>
      <patternFill patternType="none"/>
    </fill>
    <fill>
      <patternFill patternType="gray125"/>
    </fill>
    <fill>
      <patternFill patternType="solid">
        <fgColor rgb="FFFFFFFF"/>
        <bgColor indexed="64"/>
      </patternFill>
    </fill>
    <fill>
      <patternFill patternType="solid">
        <fgColor rgb="FF000000"/>
        <bgColor indexed="64"/>
      </patternFill>
    </fill>
    <fill>
      <patternFill patternType="solid">
        <fgColor rgb="FF00B0F0"/>
        <bgColor indexed="64"/>
      </patternFill>
    </fill>
    <fill>
      <patternFill patternType="solid">
        <fgColor rgb="FFFFFF00"/>
        <bgColor indexed="64"/>
      </patternFill>
    </fill>
  </fills>
  <borders count="19">
    <border>
      <left/>
      <right/>
      <top/>
      <bottom/>
      <diagonal/>
    </border>
    <border>
      <left style="thin">
        <color rgb="FF00B050"/>
      </left>
      <right style="thin">
        <color rgb="FF00B050"/>
      </right>
      <top style="thin">
        <color rgb="FF00B050"/>
      </top>
      <bottom style="thin">
        <color rgb="FF00B050"/>
      </bottom>
      <diagonal/>
    </border>
    <border>
      <left style="double">
        <color rgb="FFE36B09"/>
      </left>
      <right style="double">
        <color rgb="FFE36B09"/>
      </right>
      <top style="double">
        <color rgb="FFE36B09"/>
      </top>
      <bottom style="double">
        <color rgb="FFE36B09"/>
      </bottom>
      <diagonal/>
    </border>
    <border>
      <left style="double">
        <color rgb="FFE36B09"/>
      </left>
      <right/>
      <top style="double">
        <color rgb="FFE36B09"/>
      </top>
      <bottom style="double">
        <color rgb="FFE36B09"/>
      </bottom>
      <diagonal/>
    </border>
    <border>
      <left style="double">
        <color rgb="FFE36B09"/>
      </left>
      <right style="double">
        <color rgb="FFE36B09"/>
      </right>
      <top style="double">
        <color rgb="FFE36B09"/>
      </top>
      <bottom/>
      <diagonal/>
    </border>
    <border>
      <left style="thin">
        <color rgb="FFE36B09"/>
      </left>
      <right style="thin">
        <color rgb="FFE36B09"/>
      </right>
      <top/>
      <bottom style="thin">
        <color rgb="FFE36B09"/>
      </bottom>
      <diagonal/>
    </border>
    <border>
      <left style="thin">
        <color rgb="FFE36B09"/>
      </left>
      <right style="thin">
        <color rgb="FFE36B09"/>
      </right>
      <top style="thin">
        <color rgb="FFE36B09"/>
      </top>
      <bottom style="thin">
        <color rgb="FFE36B09"/>
      </bottom>
      <diagonal/>
    </border>
    <border>
      <left style="thin">
        <color rgb="FFE36B09"/>
      </left>
      <right style="thin">
        <color rgb="FFE36B09"/>
      </right>
      <top/>
      <bottom/>
      <diagonal/>
    </border>
    <border>
      <left style="thin">
        <color rgb="FFE36B09"/>
      </left>
      <right/>
      <top/>
      <bottom style="thin">
        <color rgb="FFE36B09"/>
      </bottom>
      <diagonal/>
    </border>
    <border>
      <left/>
      <right/>
      <top style="thin">
        <color rgb="FFE36B09"/>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rgb="FFCC00CC"/>
      </left>
      <right style="medium">
        <color rgb="FFCC00CC"/>
      </right>
      <top style="medium">
        <color rgb="FFCC00CC"/>
      </top>
      <bottom style="medium">
        <color rgb="FFCC00CC"/>
      </bottom>
      <diagonal/>
    </border>
    <border>
      <left/>
      <right style="medium">
        <color rgb="FFCC00CC"/>
      </right>
      <top style="medium">
        <color rgb="FFCC00CC"/>
      </top>
      <bottom style="medium">
        <color rgb="FFCC00CC"/>
      </bottom>
      <diagonal/>
    </border>
    <border>
      <left/>
      <right/>
      <top/>
      <bottom style="thin">
        <color rgb="FFE36B09"/>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s>
  <cellStyleXfs count="1">
    <xf numFmtId="0" fontId="0" fillId="0" borderId="0">
      <alignment vertical="center"/>
    </xf>
  </cellStyleXfs>
  <cellXfs count="305">
    <xf numFmtId="0" fontId="0" fillId="0" borderId="0" xfId="0">
      <alignment vertical="center"/>
    </xf>
    <xf numFmtId="0" fontId="1" fillId="2" borderId="0" xfId="0" applyFont="1" applyFill="1" applyAlignment="1">
      <alignment horizontal="center" vertical="center"/>
      <protection locked="1" hidden="1"/>
    </xf>
    <xf numFmtId="0" fontId="1" fillId="2" borderId="0" xfId="0" applyFont="1" applyFill="1" applyAlignment="1">
      <alignment vertical="bottom"/>
      <protection locked="1" hidden="1"/>
    </xf>
    <xf numFmtId="0" fontId="2" fillId="2" borderId="0" xfId="0" applyFont="1" applyFill="1" applyAlignment="1">
      <alignment vertical="bottom"/>
      <protection locked="1" hidden="1"/>
    </xf>
    <xf numFmtId="0" fontId="3" fillId="3" borderId="0" xfId="0" applyFont="1" applyFill="1" applyAlignment="1">
      <alignment horizontal="center" vertical="center" wrapText="1"/>
      <protection locked="1" hidden="1"/>
    </xf>
    <xf numFmtId="0" fontId="2" fillId="4" borderId="0" xfId="0" applyFont="1" applyFill="1" applyAlignment="1">
      <alignment horizontal="center" vertical="center"/>
      <protection locked="1" hidden="1"/>
    </xf>
    <xf numFmtId="0" fontId="2" fillId="4" borderId="0" xfId="0" applyFont="1" applyFill="1" applyAlignment="1">
      <alignment vertical="bottom"/>
      <protection locked="1" hidden="1"/>
    </xf>
    <xf numFmtId="0" fontId="4" fillId="5" borderId="0" xfId="0" applyFont="1" applyFill="1" applyAlignment="1">
      <alignment horizontal="center" vertical="bottom"/>
      <protection locked="1" hidden="1"/>
    </xf>
    <xf numFmtId="0" fontId="2" fillId="5" borderId="0" xfId="0" applyFont="1" applyFill="1" applyAlignment="1">
      <alignment vertical="bottom"/>
      <protection locked="1" hidden="1"/>
    </xf>
    <xf numFmtId="0" fontId="5" fillId="4" borderId="0" xfId="0" applyFont="1" applyFill="1" applyAlignment="1">
      <alignment horizontal="center" vertical="center"/>
      <protection locked="1" hidden="1"/>
    </xf>
    <xf numFmtId="0" fontId="5" fillId="4" borderId="0" xfId="0" applyFont="1" applyFill="1" applyAlignment="1">
      <alignment vertical="bottom"/>
      <protection locked="1" hidden="1"/>
    </xf>
    <xf numFmtId="0" fontId="5" fillId="5" borderId="0" xfId="0" applyFont="1" applyFill="1" applyAlignment="1">
      <alignment vertical="bottom"/>
      <protection locked="1" hidden="1"/>
    </xf>
    <xf numFmtId="0" fontId="6" fillId="2" borderId="0" xfId="0" applyFont="1" applyFill="1" applyAlignment="1">
      <alignment vertical="bottom"/>
      <protection locked="1" hidden="1"/>
    </xf>
    <xf numFmtId="0" fontId="7" fillId="4" borderId="0" xfId="0" applyFont="1" applyFill="1" applyAlignment="1">
      <alignment horizontal="right" vertical="center"/>
      <protection locked="1" hidden="1"/>
    </xf>
    <xf numFmtId="0" fontId="5" fillId="5" borderId="1" xfId="0" applyFont="1" applyFill="1" applyBorder="1" applyAlignment="1">
      <alignment horizontal="left" vertical="center"/>
      <protection locked="0" hidden="0"/>
    </xf>
    <xf numFmtId="0" fontId="6" fillId="2" borderId="0" xfId="0" applyFont="1" applyFill="1" applyAlignment="1">
      <alignment vertical="bottom"/>
      <protection locked="1" hidden="1"/>
    </xf>
    <xf numFmtId="0" fontId="7" fillId="5" borderId="1" xfId="0" applyFont="1" applyFill="1" applyBorder="1" applyAlignment="1">
      <alignment horizontal="center" vertical="center"/>
      <protection locked="0" hidden="0"/>
    </xf>
    <xf numFmtId="0" fontId="7" fillId="5" borderId="0" xfId="0" applyFont="1" applyFill="1" applyBorder="1" applyAlignment="1">
      <alignment horizontal="left" vertical="center"/>
      <protection locked="1" hidden="1"/>
    </xf>
    <xf numFmtId="0" fontId="7" fillId="5" borderId="0" xfId="0" applyFont="1" applyFill="1" applyAlignment="1">
      <alignment horizontal="right" vertical="center"/>
      <protection locked="1" hidden="1"/>
    </xf>
    <xf numFmtId="0" fontId="7" fillId="5" borderId="0" xfId="0" applyFont="1" applyFill="1" applyBorder="1">
      <alignment vertical="center"/>
      <protection locked="1" hidden="1"/>
    </xf>
    <xf numFmtId="0" fontId="8" fillId="5" borderId="2" xfId="0" applyFont="1" applyFill="1" applyBorder="1" applyAlignment="1">
      <alignment horizontal="center" vertical="center" wrapText="1"/>
      <protection locked="1" hidden="1"/>
    </xf>
    <xf numFmtId="0" fontId="8" fillId="5" borderId="3" xfId="0" applyFont="1" applyFill="1" applyBorder="1" applyAlignment="1">
      <alignment horizontal="center" vertical="center" wrapText="1"/>
      <protection locked="1" hidden="1"/>
    </xf>
    <xf numFmtId="0" fontId="6" fillId="5" borderId="4" xfId="0" applyFont="1" applyFill="1" applyBorder="1" applyAlignment="1">
      <alignment horizontal="center" vertical="center" wrapText="1"/>
      <protection locked="1" hidden="1"/>
    </xf>
    <xf numFmtId="0" fontId="9" fillId="2" borderId="0" xfId="0" applyFont="1" applyFill="1" applyAlignment="1">
      <alignment horizontal="center" vertical="center" wrapText="1"/>
      <protection locked="1" hidden="1"/>
    </xf>
    <xf numFmtId="0" fontId="2" fillId="2" borderId="0" xfId="0" applyFont="1" applyFill="1">
      <alignment vertical="center"/>
      <protection locked="1" hidden="1"/>
    </xf>
    <xf numFmtId="0" fontId="10" fillId="0" borderId="5" xfId="0" applyFont="1" applyBorder="1" applyAlignment="1">
      <alignment horizontal="center" vertical="center"/>
      <protection locked="0" hidden="0"/>
    </xf>
    <xf numFmtId="0" fontId="10" fillId="0" borderId="6" xfId="0" applyFont="1" applyBorder="1">
      <alignment vertical="center"/>
      <protection locked="0" hidden="0"/>
    </xf>
    <xf numFmtId="0" fontId="10" fillId="0" borderId="5" xfId="0" applyFont="1" applyBorder="1">
      <alignment vertical="center"/>
      <protection locked="0" hidden="0"/>
    </xf>
    <xf numFmtId="0" fontId="11" fillId="0" borderId="5" xfId="0" applyFont="1" applyBorder="1" applyAlignment="1">
      <alignment horizontal="center" vertical="center"/>
      <protection locked="0" hidden="0"/>
    </xf>
    <xf numFmtId="0" fontId="10" fillId="2" borderId="5" xfId="0" applyFont="1" applyFill="1" applyBorder="1" applyAlignment="1">
      <alignment horizontal="center" vertical="center"/>
      <protection locked="0" hidden="0"/>
    </xf>
    <xf numFmtId="17" fontId="11" fillId="2" borderId="5" xfId="0" applyNumberFormat="1" applyFont="1" applyFill="1" applyBorder="1" applyAlignment="1">
      <alignment horizontal="center" vertical="center"/>
      <protection locked="0" hidden="0"/>
    </xf>
    <xf numFmtId="0" fontId="12" fillId="2" borderId="6" xfId="0" applyFont="1" applyFill="1" applyBorder="1" applyAlignment="1">
      <alignment horizontal="center" vertical="center"/>
      <protection locked="1" hidden="1"/>
    </xf>
    <xf numFmtId="0" fontId="1" fillId="2" borderId="0" xfId="0" applyFont="1" applyFill="1">
      <alignment vertical="center"/>
      <protection locked="1" hidden="1"/>
    </xf>
    <xf numFmtId="164" fontId="1" fillId="2" borderId="0" xfId="0" applyNumberFormat="1" applyFont="1" applyFill="1">
      <alignment vertical="center"/>
      <protection locked="1" hidden="1"/>
    </xf>
    <xf numFmtId="0" fontId="10" fillId="0" borderId="6" xfId="0" applyFont="1" applyBorder="1" applyAlignment="1">
      <alignment horizontal="center" vertical="center"/>
      <protection locked="0" hidden="0"/>
    </xf>
    <xf numFmtId="17" fontId="11" fillId="2" borderId="5" xfId="0" applyNumberFormat="1" applyFont="1" applyFill="1" applyBorder="1" applyAlignment="1">
      <alignment horizontal="center" vertical="center"/>
      <protection locked="0" hidden="0"/>
    </xf>
    <xf numFmtId="0" fontId="1" fillId="2" borderId="6" xfId="0" applyFont="1" applyFill="1" applyBorder="1" applyAlignment="1">
      <alignment horizontal="center" vertical="center"/>
      <protection locked="1" hidden="1"/>
    </xf>
    <xf numFmtId="17" fontId="11" fillId="2" borderId="5" xfId="0" applyNumberFormat="1" applyFont="1" applyFill="1" applyBorder="1" applyAlignment="1">
      <alignment horizontal="center" vertical="center"/>
      <protection locked="0" hidden="0"/>
    </xf>
    <xf numFmtId="17" fontId="11" fillId="2" borderId="5" xfId="0" applyNumberFormat="1" applyFont="1" applyFill="1" applyBorder="1" applyAlignment="1">
      <alignment horizontal="center" vertical="center"/>
      <protection locked="0" hidden="0"/>
    </xf>
    <xf numFmtId="17" fontId="11" fillId="2" borderId="5" xfId="0" applyNumberFormat="1" applyFont="1" applyFill="1" applyBorder="1" applyAlignment="1">
      <alignment horizontal="center" vertical="center"/>
      <protection locked="0" hidden="0"/>
    </xf>
    <xf numFmtId="17" fontId="11" fillId="2" borderId="5" xfId="0" applyNumberFormat="1" applyFont="1" applyFill="1" applyBorder="1" applyAlignment="1">
      <alignment horizontal="center" vertical="center"/>
      <protection locked="0" hidden="0"/>
    </xf>
    <xf numFmtId="17" fontId="11" fillId="2" borderId="5" xfId="0" applyNumberFormat="1" applyFont="1" applyFill="1" applyBorder="1" applyAlignment="1">
      <alignment horizontal="center" vertical="center"/>
      <protection locked="0" hidden="0"/>
    </xf>
    <xf numFmtId="165" fontId="11" fillId="2" borderId="5" xfId="0" applyNumberFormat="1" applyFont="1" applyFill="1" applyBorder="1" applyAlignment="1">
      <alignment horizontal="center" vertical="center"/>
      <protection locked="0" hidden="0"/>
    </xf>
    <xf numFmtId="0" fontId="11" fillId="0" borderId="6" xfId="0" applyFont="1" applyBorder="1" applyAlignment="1">
      <alignment horizontal="center" vertical="center"/>
      <protection locked="0" hidden="0"/>
    </xf>
    <xf numFmtId="165" fontId="11" fillId="2" borderId="7" xfId="0" applyNumberFormat="1" applyFont="1" applyFill="1" applyBorder="1" applyAlignment="1">
      <alignment horizontal="center" vertical="center"/>
      <protection locked="0" hidden="0"/>
    </xf>
    <xf numFmtId="0" fontId="10" fillId="2" borderId="8" xfId="0" applyFont="1" applyFill="1" applyBorder="1" applyAlignment="1">
      <alignment horizontal="center" vertical="center"/>
      <protection locked="0" hidden="0"/>
    </xf>
    <xf numFmtId="165" fontId="11" fillId="2" borderId="6" xfId="0" applyNumberFormat="1" applyFont="1" applyFill="1" applyBorder="1" applyAlignment="1">
      <alignment horizontal="center" vertical="center"/>
      <protection locked="0" hidden="0"/>
    </xf>
    <xf numFmtId="0" fontId="13" fillId="3" borderId="9" xfId="0" applyFont="1" applyFill="1" applyBorder="1" applyAlignment="1">
      <alignment horizontal="left" vertical="center" wrapText="1"/>
      <protection locked="1" hidden="1"/>
    </xf>
    <xf numFmtId="0" fontId="13" fillId="3" borderId="0" xfId="0" applyFont="1" applyFill="1" applyAlignment="1">
      <alignment horizontal="center" vertical="center"/>
      <protection locked="1" hidden="1"/>
    </xf>
    <xf numFmtId="0" fontId="14" fillId="5" borderId="0" xfId="0" applyFont="1" applyFill="1" applyAlignment="1">
      <alignment horizontal="left" vertical="center" wrapText="1"/>
      <protection locked="1" hidden="1"/>
    </xf>
    <xf numFmtId="0" fontId="15" fillId="3" borderId="0" xfId="0" applyFont="1" applyFill="1" applyAlignment="1">
      <alignment horizontal="left" vertical="center"/>
      <protection locked="1" hidden="1"/>
    </xf>
    <xf numFmtId="0" fontId="4" fillId="5" borderId="0" xfId="0" applyFont="1" applyFill="1" applyAlignment="1">
      <alignment horizontal="center" vertical="bottom"/>
      <protection locked="0" hidden="0"/>
    </xf>
    <xf numFmtId="0" fontId="16" fillId="2" borderId="0" xfId="0" applyFont="1" applyFill="1" applyAlignment="1">
      <alignment horizontal="center" vertical="bottom"/>
      <protection locked="0" hidden="0"/>
    </xf>
    <xf numFmtId="0" fontId="17" fillId="2" borderId="0" xfId="0" applyFont="1" applyFill="1" applyAlignment="1">
      <alignment horizontal="center" vertical="bottom"/>
      <protection locked="0" hidden="0"/>
    </xf>
    <xf numFmtId="0" fontId="18" fillId="2" borderId="0" xfId="0" applyFont="1" applyFill="1" applyAlignment="1">
      <alignment horizontal="center" vertical="center"/>
      <protection locked="1" hidden="1"/>
    </xf>
    <xf numFmtId="0" fontId="19" fillId="2" borderId="0" xfId="0" applyFont="1" applyFill="1" applyAlignment="1">
      <alignment horizontal="center" vertical="center"/>
      <protection locked="1" hidden="1"/>
    </xf>
    <xf numFmtId="0" fontId="20" fillId="2" borderId="0" xfId="0" applyFont="1" applyFill="1" applyAlignment="1">
      <alignment horizontal="center" vertical="center"/>
      <protection locked="1" hidden="1"/>
    </xf>
    <xf numFmtId="14" fontId="21" fillId="2" borderId="0" xfId="0" applyNumberFormat="1" applyFont="1" applyFill="1" applyAlignment="1">
      <alignment vertical="bottom"/>
      <protection locked="1" hidden="1"/>
    </xf>
    <xf numFmtId="0" fontId="22" fillId="2" borderId="0" xfId="0" applyFont="1" applyFill="1" applyAlignment="1">
      <alignment horizontal="left" vertical="center"/>
      <protection locked="1" hidden="1"/>
    </xf>
    <xf numFmtId="0" fontId="19" fillId="2" borderId="0" xfId="0" applyFont="1" applyFill="1" applyAlignment="1">
      <alignment horizontal="center" vertical="center"/>
      <protection locked="0" hidden="0"/>
    </xf>
    <xf numFmtId="0" fontId="23" fillId="5" borderId="0" xfId="0" applyFont="1" applyFill="1" applyAlignment="1">
      <alignment horizontal="center" vertical="center"/>
      <protection locked="1" hidden="1"/>
    </xf>
    <xf numFmtId="0" fontId="19" fillId="2" borderId="0" xfId="0" applyFont="1" applyFill="1" applyAlignment="1">
      <alignment horizontal="center" vertical="center"/>
      <protection locked="1" hidden="1"/>
    </xf>
    <xf numFmtId="0" fontId="12" fillId="2" borderId="0" xfId="0" applyFont="1" applyFill="1" applyAlignment="1">
      <alignment horizontal="left" vertical="center"/>
      <protection locked="1" hidden="1"/>
    </xf>
    <xf numFmtId="14" fontId="12" fillId="2" borderId="0" xfId="0" applyNumberFormat="1" applyFont="1" applyFill="1" applyAlignment="1">
      <alignment horizontal="center" vertical="center"/>
      <protection locked="1" hidden="1"/>
    </xf>
    <xf numFmtId="0" fontId="12" fillId="2" borderId="0" xfId="0" applyFont="1" applyFill="1" applyAlignment="1">
      <alignment horizontal="center" vertical="center"/>
      <protection locked="1" hidden="1"/>
    </xf>
    <xf numFmtId="0" fontId="1" fillId="2" borderId="0" xfId="0" applyNumberFormat="1" applyFont="1" applyFill="1" applyAlignment="1">
      <alignment vertical="bottom"/>
      <protection locked="1" hidden="1"/>
    </xf>
    <xf numFmtId="0" fontId="12" fillId="2" borderId="0" xfId="0" applyFont="1" applyFill="1" applyBorder="1" applyAlignment="1">
      <alignment horizontal="left" vertical="top" wrapText="1"/>
      <protection locked="1" hidden="1"/>
    </xf>
    <xf numFmtId="0" fontId="19" fillId="2" borderId="0" xfId="0" applyFont="1" applyFill="1" applyAlignment="1">
      <alignment horizontal="center" vertical="center"/>
      <protection locked="1" hidden="1"/>
    </xf>
    <xf numFmtId="0" fontId="12" fillId="2" borderId="0" xfId="0" applyFont="1" applyFill="1" applyBorder="1" applyAlignment="1">
      <alignment horizontal="right" vertical="center"/>
      <protection locked="1" hidden="1"/>
    </xf>
    <xf numFmtId="0" fontId="4" fillId="5" borderId="0" xfId="0" applyFont="1" applyFill="1" applyAlignment="1">
      <alignment horizontal="center" vertical="center"/>
      <protection locked="0" hidden="0"/>
    </xf>
    <xf numFmtId="0" fontId="12" fillId="2" borderId="0" xfId="0" applyFont="1" applyFill="1" applyAlignment="1">
      <alignment horizontal="right" vertical="center"/>
      <protection locked="1" hidden="1"/>
    </xf>
    <xf numFmtId="0" fontId="16" fillId="2" borderId="0" xfId="0" applyFont="1" applyFill="1" applyAlignment="1">
      <alignment horizontal="right" vertical="center"/>
      <protection locked="1" hidden="1"/>
    </xf>
    <xf numFmtId="0" fontId="6" fillId="2" borderId="0" xfId="0" applyFont="1" applyFill="1" applyAlignment="1">
      <alignment horizontal="left" vertical="center"/>
      <protection locked="1" hidden="1"/>
    </xf>
    <xf numFmtId="0" fontId="12" fillId="2" borderId="0" xfId="0" applyFont="1" applyFill="1" applyAlignment="1">
      <alignment horizontal="right" vertical="center"/>
      <protection locked="1" hidden="1"/>
    </xf>
    <xf numFmtId="0" fontId="6" fillId="2" borderId="0" xfId="0" applyFont="1" applyFill="1" applyAlignment="1">
      <alignment horizontal="left" vertical="center"/>
      <protection locked="1" hidden="1"/>
    </xf>
    <xf numFmtId="0" fontId="24" fillId="2" borderId="0" xfId="0" applyFont="1" applyFill="1" applyAlignment="1">
      <alignment horizontal="left" vertical="center"/>
      <protection locked="1" hidden="1"/>
    </xf>
    <xf numFmtId="0" fontId="25" fillId="2" borderId="10" xfId="0" applyFont="1" applyFill="1" applyBorder="1" applyAlignment="1">
      <alignment horizontal="left" vertical="top" wrapText="1"/>
      <protection locked="1" hidden="1"/>
    </xf>
    <xf numFmtId="0" fontId="26" fillId="0" borderId="11" xfId="0" applyFont="1" applyBorder="1" applyAlignment="1">
      <alignment horizontal="center" vertical="center" wrapText="1"/>
      <protection locked="1" hidden="1"/>
    </xf>
    <xf numFmtId="0" fontId="18" fillId="2" borderId="11" xfId="0" applyFont="1" applyFill="1" applyBorder="1" applyAlignment="1">
      <alignment horizontal="center" vertical="center"/>
      <protection locked="1" hidden="1"/>
    </xf>
    <xf numFmtId="0" fontId="27" fillId="2" borderId="11" xfId="0" applyFont="1" applyFill="1" applyBorder="1" applyAlignment="1">
      <alignment horizontal="center" vertical="center" wrapText="1"/>
      <protection locked="1" hidden="1"/>
    </xf>
    <xf numFmtId="0" fontId="27" fillId="2" borderId="0" xfId="0" applyFont="1" applyFill="1" applyBorder="1" applyAlignment="1">
      <alignment horizontal="center" vertical="center" wrapText="1"/>
      <protection locked="1" hidden="1"/>
    </xf>
    <xf numFmtId="0" fontId="28" fillId="2" borderId="0" xfId="0" applyFont="1" applyFill="1" applyBorder="1" applyAlignment="1">
      <alignment horizontal="center" vertical="center" wrapText="1"/>
      <protection locked="1" hidden="1"/>
    </xf>
    <xf numFmtId="0" fontId="26" fillId="0" borderId="11" xfId="0" applyFont="1" applyBorder="1" applyAlignment="1">
      <alignment horizontal="center" vertical="center" wrapText="1"/>
      <protection locked="1" hidden="1"/>
    </xf>
    <xf numFmtId="0" fontId="12" fillId="2" borderId="11" xfId="0" applyFont="1" applyFill="1" applyBorder="1" applyAlignment="1">
      <alignment horizontal="center" vertical="center" wrapText="1"/>
      <protection locked="1" hidden="1"/>
    </xf>
    <xf numFmtId="0" fontId="29" fillId="2" borderId="11" xfId="0" applyFont="1" applyFill="1" applyBorder="1" applyAlignment="1">
      <alignment horizontal="center" vertical="bottom"/>
      <protection locked="1" hidden="1"/>
    </xf>
    <xf numFmtId="0" fontId="29" fillId="2" borderId="0" xfId="0" applyFont="1" applyFill="1" applyBorder="1" applyAlignment="1">
      <alignment horizontal="center" vertical="bottom"/>
      <protection locked="1" hidden="1"/>
    </xf>
    <xf numFmtId="0" fontId="30" fillId="2" borderId="11" xfId="0" applyFont="1" applyFill="1" applyBorder="1" applyAlignment="1">
      <alignment horizontal="center" vertical="center"/>
      <protection locked="1" hidden="1"/>
    </xf>
    <xf numFmtId="164" fontId="12" fillId="2" borderId="11" xfId="0" applyNumberFormat="1" applyFont="1" applyFill="1" applyBorder="1" applyAlignment="1">
      <alignment horizontal="center" vertical="center"/>
      <protection locked="1" hidden="1"/>
    </xf>
    <xf numFmtId="0" fontId="31" fillId="2" borderId="11" xfId="0" applyFont="1" applyFill="1" applyBorder="1" applyAlignment="1">
      <alignment horizontal="center" vertical="center"/>
      <protection locked="1" hidden="1"/>
    </xf>
    <xf numFmtId="0" fontId="32" fillId="2" borderId="11" xfId="0" applyFont="1" applyFill="1" applyBorder="1" applyAlignment="1">
      <alignment horizontal="center" vertical="center"/>
      <protection locked="1" hidden="1"/>
    </xf>
    <xf numFmtId="0" fontId="33" fillId="2" borderId="11" xfId="0" applyFont="1" applyFill="1" applyBorder="1" applyAlignment="1">
      <alignment vertical="bottom"/>
      <protection locked="0" hidden="0"/>
    </xf>
    <xf numFmtId="0" fontId="33" fillId="2" borderId="0" xfId="0" applyFont="1" applyFill="1" applyBorder="1" applyAlignment="1">
      <alignment vertical="bottom"/>
      <protection locked="0" hidden="0"/>
    </xf>
    <xf numFmtId="0" fontId="30" fillId="2" borderId="11" xfId="0" applyFont="1" applyFill="1" applyBorder="1" applyAlignment="1">
      <alignment horizontal="center" vertical="center"/>
      <protection locked="1" hidden="1"/>
    </xf>
    <xf numFmtId="0" fontId="34" fillId="2" borderId="11" xfId="0" applyFont="1" applyFill="1" applyBorder="1" applyAlignment="1">
      <alignment horizontal="center" vertical="center"/>
      <protection locked="1" hidden="1"/>
    </xf>
    <xf numFmtId="0" fontId="35" fillId="2" borderId="11" xfId="0" applyFont="1" applyFill="1" applyBorder="1" applyAlignment="1">
      <alignment vertical="bottom"/>
      <protection locked="0" hidden="0"/>
    </xf>
    <xf numFmtId="0" fontId="36" fillId="2" borderId="0" xfId="0" applyFont="1" applyFill="1" applyBorder="1" applyAlignment="1">
      <alignment vertical="bottom"/>
      <protection locked="0" hidden="0"/>
    </xf>
    <xf numFmtId="0" fontId="6" fillId="2" borderId="12" xfId="0" applyFont="1" applyFill="1" applyBorder="1" applyAlignment="1">
      <alignment horizontal="right" vertical="center"/>
      <protection locked="1" hidden="1"/>
    </xf>
    <xf numFmtId="0" fontId="6" fillId="2" borderId="0" xfId="0" applyFont="1" applyFill="1" applyAlignment="1">
      <alignment horizontal="left" vertical="center"/>
      <protection locked="0" hidden="1"/>
    </xf>
    <xf numFmtId="0" fontId="6" fillId="2" borderId="0" xfId="0" applyFont="1" applyFill="1" applyBorder="1" applyAlignment="1">
      <alignment horizontal="right" vertical="center"/>
      <protection locked="1" hidden="1"/>
    </xf>
    <xf numFmtId="0" fontId="12" fillId="2" borderId="0" xfId="0" applyFont="1" applyFill="1" applyBorder="1" applyAlignment="1">
      <alignment horizontal="left" vertical="center"/>
      <protection locked="1" hidden="1"/>
    </xf>
    <xf numFmtId="0" fontId="37" fillId="2" borderId="0" xfId="0" applyFont="1" applyFill="1" applyBorder="1" applyAlignment="1">
      <alignment horizontal="left" vertical="center"/>
      <protection locked="1" hidden="1"/>
    </xf>
    <xf numFmtId="0" fontId="6" fillId="2" borderId="0" xfId="0" applyFont="1" applyFill="1" applyBorder="1" applyAlignment="1">
      <alignment horizontal="right" vertical="center"/>
      <protection locked="1" hidden="1"/>
    </xf>
    <xf numFmtId="0" fontId="38" fillId="2" borderId="0" xfId="0" applyFont="1" applyFill="1" applyBorder="1" applyAlignment="1">
      <alignment horizontal="center" vertical="center"/>
      <protection locked="1" hidden="1"/>
    </xf>
    <xf numFmtId="16" fontId="9" fillId="2" borderId="0" xfId="0" applyNumberFormat="1" applyFont="1" applyFill="1" applyBorder="1" applyAlignment="1">
      <alignment vertical="bottom"/>
      <protection locked="1" hidden="1"/>
    </xf>
    <xf numFmtId="0" fontId="38" fillId="2" borderId="0" xfId="0" applyFont="1" applyFill="1" applyBorder="1" applyAlignment="1">
      <alignment vertical="bottom"/>
      <protection locked="1" hidden="1"/>
    </xf>
    <xf numFmtId="0" fontId="39" fillId="2" borderId="0" xfId="0" applyFont="1" applyFill="1" applyBorder="1" applyAlignment="1">
      <alignment horizontal="right" vertical="center"/>
      <protection locked="1" hidden="1"/>
    </xf>
    <xf numFmtId="0" fontId="6" fillId="2" borderId="0" xfId="0" applyFont="1" applyFill="1" applyBorder="1" applyAlignment="1">
      <alignment horizontal="left" vertical="center"/>
      <protection locked="1" hidden="1"/>
    </xf>
    <xf numFmtId="0" fontId="24" fillId="2" borderId="0" xfId="0" applyFont="1" applyFill="1" applyBorder="1" applyAlignment="1">
      <alignment horizontal="left" vertical="center"/>
      <protection locked="1" hidden="1"/>
    </xf>
    <xf numFmtId="16" fontId="26" fillId="0" borderId="13" xfId="0" applyNumberFormat="1" applyFont="1" applyBorder="1" applyAlignment="1">
      <alignment horizontal="center" vertical="bottom" wrapText="1"/>
      <protection locked="1" hidden="1"/>
    </xf>
    <xf numFmtId="16" fontId="26" fillId="0" borderId="14" xfId="0" applyNumberFormat="1" applyFont="1" applyBorder="1" applyAlignment="1">
      <alignment horizontal="center" vertical="bottom" wrapText="1"/>
      <protection locked="1" hidden="1"/>
    </xf>
    <xf numFmtId="16" fontId="8" fillId="2" borderId="13" xfId="0" applyNumberFormat="1" applyFont="1" applyFill="1" applyBorder="1" applyAlignment="1">
      <alignment horizontal="center" vertical="bottom" wrapText="1"/>
      <protection locked="1" hidden="1"/>
    </xf>
    <xf numFmtId="0" fontId="8" fillId="2" borderId="13" xfId="0" applyFont="1" applyFill="1" applyBorder="1" applyAlignment="1">
      <alignment horizontal="center" vertical="center" wrapText="1"/>
      <protection locked="1" hidden="1"/>
    </xf>
    <xf numFmtId="0" fontId="8" fillId="2" borderId="13" xfId="0" applyFont="1" applyFill="1" applyBorder="1" applyAlignment="1">
      <alignment horizontal="center" vertical="center"/>
      <protection locked="1" hidden="1"/>
    </xf>
    <xf numFmtId="0" fontId="6" fillId="2" borderId="0" xfId="0" applyFont="1" applyFill="1" applyBorder="1" applyAlignment="1">
      <alignment horizontal="left" vertical="bottom"/>
      <protection locked="1" hidden="1"/>
    </xf>
    <xf numFmtId="16" fontId="40" fillId="2" borderId="13" xfId="0" applyNumberFormat="1" applyFont="1" applyFill="1" applyBorder="1" applyAlignment="1">
      <alignment horizontal="center" vertical="center"/>
      <protection locked="1" hidden="1"/>
    </xf>
    <xf numFmtId="0" fontId="40" fillId="2" borderId="13" xfId="0" applyFont="1" applyFill="1" applyBorder="1" applyAlignment="1">
      <alignment horizontal="center" vertical="center"/>
      <protection locked="1" hidden="1"/>
    </xf>
    <xf numFmtId="16" fontId="40" fillId="2" borderId="14" xfId="0" applyNumberFormat="1" applyFont="1" applyFill="1" applyBorder="1" applyAlignment="1">
      <alignment horizontal="center" vertical="center"/>
      <protection locked="1" hidden="1"/>
    </xf>
    <xf numFmtId="1" fontId="8" fillId="2" borderId="13" xfId="0" applyNumberFormat="1" applyFont="1" applyFill="1" applyBorder="1" applyAlignment="1">
      <alignment horizontal="center" vertical="center"/>
      <protection locked="1" hidden="1"/>
    </xf>
    <xf numFmtId="1" fontId="8" fillId="2" borderId="14" xfId="0" applyNumberFormat="1" applyFont="1" applyFill="1" applyBorder="1" applyAlignment="1">
      <alignment horizontal="center" vertical="center"/>
      <protection locked="1" hidden="1"/>
    </xf>
    <xf numFmtId="1" fontId="6" fillId="2" borderId="13" xfId="0" applyNumberFormat="1" applyFont="1" applyFill="1" applyBorder="1" applyAlignment="1">
      <alignment horizontal="center" vertical="center"/>
      <protection locked="1" hidden="1"/>
    </xf>
    <xf numFmtId="0" fontId="6" fillId="2" borderId="13" xfId="0" applyFont="1" applyFill="1" applyBorder="1" applyAlignment="1">
      <alignment horizontal="center" vertical="bottom"/>
      <protection locked="1" hidden="1"/>
    </xf>
    <xf numFmtId="1" fontId="8" fillId="2" borderId="0" xfId="0" applyNumberFormat="1" applyFont="1" applyFill="1" applyBorder="1" applyAlignment="1">
      <alignment horizontal="center" vertical="center"/>
      <protection locked="1" hidden="1"/>
    </xf>
    <xf numFmtId="0" fontId="6" fillId="2" borderId="0" xfId="0" applyFont="1" applyFill="1" applyAlignment="1">
      <alignment horizontal="center" vertical="center"/>
      <protection locked="1" hidden="1"/>
    </xf>
    <xf numFmtId="0" fontId="24" fillId="2" borderId="0" xfId="0" applyFont="1" applyFill="1" applyAlignment="1">
      <alignment horizontal="center" vertical="center"/>
      <protection locked="1" hidden="1"/>
    </xf>
    <xf numFmtId="0" fontId="41" fillId="2" borderId="0" xfId="0" applyFont="1" applyFill="1" applyAlignment="1">
      <alignment vertical="bottom"/>
      <protection locked="1" hidden="1"/>
    </xf>
    <xf numFmtId="0" fontId="42" fillId="2" borderId="0" xfId="0" applyFont="1" applyFill="1" applyAlignment="1">
      <alignment horizontal="center" vertical="bottom"/>
      <protection locked="1" hidden="1"/>
    </xf>
    <xf numFmtId="0" fontId="1" fillId="2" borderId="0" xfId="0" applyFont="1" applyFill="1" applyAlignment="1">
      <alignment horizontal="center" vertical="bottom"/>
      <protection locked="0" hidden="0"/>
    </xf>
    <xf numFmtId="0" fontId="1" fillId="2" borderId="0" xfId="0" applyFont="1" applyFill="1" applyAlignment="1">
      <alignment horizontal="center" vertical="bottom"/>
      <protection locked="0" hidden="0"/>
    </xf>
    <xf numFmtId="0" fontId="6" fillId="2" borderId="0" xfId="0" applyFont="1" applyFill="1" applyAlignment="1">
      <alignment horizontal="center" vertical="center"/>
      <protection locked="1" hidden="1"/>
    </xf>
    <xf numFmtId="0" fontId="8" fillId="2" borderId="0" xfId="0" applyFont="1" applyFill="1" applyAlignment="1">
      <alignment horizontal="center" vertical="center"/>
      <protection locked="1" hidden="1"/>
    </xf>
    <xf numFmtId="0" fontId="8" fillId="2" borderId="0" xfId="0" applyFont="1" applyFill="1" applyAlignment="1">
      <alignment horizontal="left" vertical="center" wrapText="1"/>
      <protection locked="1" hidden="1"/>
    </xf>
    <xf numFmtId="0" fontId="6" fillId="2" borderId="0" xfId="0" applyFont="1" applyFill="1" applyAlignment="1">
      <alignment horizontal="left" vertical="center" wrapText="1"/>
      <protection locked="1" hidden="1"/>
    </xf>
    <xf numFmtId="0" fontId="43" fillId="2" borderId="0" xfId="0" applyFont="1" applyFill="1" applyAlignment="1">
      <alignment horizontal="left" vertical="top"/>
      <protection locked="1" hidden="1"/>
    </xf>
    <xf numFmtId="0" fontId="44" fillId="2" borderId="0" xfId="0" applyFont="1" applyFill="1" applyAlignment="1">
      <alignment horizontal="left" vertical="top"/>
      <protection locked="1" hidden="1"/>
    </xf>
    <xf numFmtId="0" fontId="2" fillId="0" borderId="0" xfId="0" applyFont="1" applyAlignment="1">
      <alignment horizontal="left" vertical="bottom" wrapText="1"/>
      <protection locked="1" hidden="1"/>
    </xf>
    <xf numFmtId="0" fontId="26" fillId="0" borderId="0" xfId="0" applyFont="1" applyAlignment="1">
      <alignment horizontal="left" vertical="bottom"/>
      <protection locked="1" hidden="1"/>
    </xf>
    <xf numFmtId="0" fontId="45" fillId="2" borderId="0" xfId="0" applyFont="1" applyFill="1" applyAlignment="1">
      <alignment horizontal="left" vertical="center"/>
      <protection locked="1" hidden="1"/>
    </xf>
    <xf numFmtId="0" fontId="44" fillId="2" borderId="0" xfId="0" applyFont="1" applyFill="1" applyAlignment="1">
      <alignment vertical="bottom"/>
      <protection locked="1" hidden="1"/>
    </xf>
    <xf numFmtId="14" fontId="1" fillId="2" borderId="0" xfId="0" applyNumberFormat="1" applyFont="1" applyFill="1" applyAlignment="1">
      <alignment horizontal="left" vertical="center"/>
      <protection locked="1" hidden="1"/>
    </xf>
    <xf numFmtId="0" fontId="8" fillId="2" borderId="0" xfId="0" applyFont="1" applyFill="1" applyAlignment="1">
      <alignment horizontal="right" vertical="center"/>
      <protection locked="1" hidden="1"/>
    </xf>
    <xf numFmtId="14" fontId="12" fillId="2" borderId="0" xfId="0" applyNumberFormat="1" applyFont="1" applyFill="1" applyAlignment="1">
      <alignment horizontal="left" vertical="center"/>
      <protection locked="1" hidden="1"/>
    </xf>
    <xf numFmtId="0" fontId="46" fillId="0" borderId="0" xfId="0" applyFont="1" applyAlignment="1">
      <alignment horizontal="left" vertical="center"/>
      <protection locked="0" hidden="0"/>
    </xf>
    <xf numFmtId="0" fontId="6" fillId="2" borderId="0" xfId="0" applyFont="1" applyFill="1" applyAlignment="1">
      <alignment horizontal="left" vertical="center"/>
      <protection locked="1" hidden="1"/>
    </xf>
    <xf numFmtId="0" fontId="47" fillId="2" borderId="0" xfId="0" applyFont="1" applyFill="1" applyAlignment="1">
      <alignment vertical="bottom"/>
      <protection locked="1" hidden="1"/>
    </xf>
    <xf numFmtId="0" fontId="6" fillId="2" borderId="0" xfId="0" applyFont="1" applyFill="1" applyAlignment="1">
      <alignment horizontal="left" vertical="center"/>
      <protection locked="1" hidden="1"/>
    </xf>
    <xf numFmtId="0" fontId="48" fillId="2" borderId="0" xfId="0" applyFont="1" applyFill="1" applyAlignment="1">
      <alignment vertical="bottom"/>
      <protection locked="1" hidden="1"/>
    </xf>
    <xf numFmtId="0" fontId="6" fillId="2" borderId="0" xfId="0" applyFont="1" applyFill="1" applyAlignment="1">
      <alignment horizontal="center" vertical="center"/>
      <protection locked="1" hidden="1"/>
    </xf>
    <xf numFmtId="14" fontId="8" fillId="2" borderId="0" xfId="0" applyNumberFormat="1" applyFont="1" applyFill="1" applyAlignment="1">
      <alignment horizontal="left" vertical="center"/>
      <protection locked="1" hidden="1"/>
    </xf>
    <xf numFmtId="0" fontId="49" fillId="5" borderId="0" xfId="0" applyFont="1" applyFill="1" applyAlignment="1">
      <alignment horizontal="center" vertical="center" wrapText="1"/>
      <protection locked="1" hidden="1"/>
    </xf>
    <xf numFmtId="0" fontId="12" fillId="2" borderId="0" xfId="0" applyFont="1" applyFill="1" applyBorder="1" applyAlignment="1">
      <alignment horizontal="left" vertical="center"/>
      <protection locked="1" hidden="1"/>
    </xf>
    <xf numFmtId="0" fontId="2" fillId="0" borderId="0" xfId="0" applyFont="1" applyAlignment="1">
      <alignment vertical="bottom"/>
      <protection locked="1" hidden="1"/>
    </xf>
    <xf numFmtId="0" fontId="50" fillId="3" borderId="0" xfId="0" applyFont="1" applyFill="1" applyAlignment="1">
      <alignment horizontal="left" vertical="center"/>
      <protection locked="1" hidden="1"/>
    </xf>
    <xf numFmtId="0" fontId="51" fillId="0" borderId="0" xfId="0" applyFont="1" applyAlignment="1">
      <alignment horizontal="center" vertical="bottom"/>
      <protection locked="1" hidden="1"/>
    </xf>
    <xf numFmtId="0" fontId="52" fillId="0" borderId="0" xfId="0" applyFont="1" applyAlignment="1">
      <alignment horizontal="center" vertical="center"/>
      <protection locked="1" hidden="1"/>
    </xf>
    <xf numFmtId="0" fontId="10" fillId="0" borderId="0" xfId="0" applyFont="1" applyAlignment="1">
      <alignment horizontal="left" vertical="center"/>
      <protection locked="0" hidden="0"/>
    </xf>
    <xf numFmtId="0" fontId="10" fillId="0" borderId="0" xfId="0" applyFont="1" applyAlignment="1">
      <alignment horizontal="center" vertical="center"/>
      <protection locked="0" hidden="0"/>
    </xf>
    <xf numFmtId="0" fontId="10" fillId="0" borderId="0" xfId="0" applyFont="1" applyAlignment="1">
      <alignment horizontal="right" vertical="center"/>
      <protection locked="0" hidden="0"/>
    </xf>
    <xf numFmtId="0" fontId="53" fillId="5" borderId="0" xfId="0" applyFont="1" applyFill="1" applyAlignment="1">
      <alignment horizontal="left" vertical="center"/>
      <protection locked="1" hidden="1"/>
    </xf>
    <xf numFmtId="0" fontId="52" fillId="5" borderId="0" xfId="0" applyFont="1" applyFill="1" applyAlignment="1">
      <alignment horizontal="left" vertical="center"/>
      <protection locked="1" hidden="1"/>
    </xf>
    <xf numFmtId="0" fontId="52" fillId="0" borderId="0" xfId="0" applyFont="1" applyAlignment="1">
      <alignment horizontal="left" vertical="center"/>
      <protection locked="1" hidden="1"/>
    </xf>
    <xf numFmtId="0" fontId="10" fillId="0" borderId="0" xfId="0" applyFont="1" applyAlignment="1">
      <alignment horizontal="center" vertical="center"/>
      <protection locked="1" hidden="1"/>
    </xf>
    <xf numFmtId="14" fontId="10" fillId="0" borderId="0" xfId="0" applyNumberFormat="1" applyFont="1" applyAlignment="1">
      <alignment horizontal="center" vertical="center"/>
      <protection locked="0" hidden="0"/>
    </xf>
    <xf numFmtId="0" fontId="10" fillId="0" borderId="0" xfId="0" applyFont="1" applyAlignment="1">
      <alignment horizontal="center" vertical="center"/>
      <protection locked="0" hidden="0"/>
    </xf>
    <xf numFmtId="0" fontId="10" fillId="0" borderId="0" xfId="0" applyFont="1" applyAlignment="1">
      <alignment horizontal="left" vertical="center" wrapText="1"/>
      <protection locked="1" hidden="1"/>
    </xf>
    <xf numFmtId="0" fontId="52" fillId="0" borderId="0" xfId="0" applyFont="1" applyBorder="1" applyAlignment="1">
      <alignment horizontal="right" vertical="center"/>
      <protection locked="1" hidden="1"/>
    </xf>
    <xf numFmtId="0" fontId="52" fillId="0" borderId="0" xfId="0" applyFont="1" applyAlignment="1">
      <alignment horizontal="left" vertical="center"/>
      <protection locked="1" hidden="1"/>
    </xf>
    <xf numFmtId="0" fontId="52" fillId="0" borderId="0" xfId="0" applyFont="1" applyAlignment="1">
      <alignment horizontal="right" vertical="center"/>
      <protection locked="1" hidden="1"/>
    </xf>
    <xf numFmtId="0" fontId="54" fillId="0" borderId="15" xfId="0" applyFont="1" applyBorder="1" applyAlignment="1">
      <alignment horizontal="right" vertical="center"/>
      <protection locked="1" hidden="1"/>
    </xf>
    <xf numFmtId="0" fontId="11" fillId="0" borderId="0" xfId="0" applyFont="1" applyFill="1" applyAlignment="1">
      <alignment horizontal="center" vertical="center"/>
      <protection locked="1" hidden="1"/>
    </xf>
    <xf numFmtId="0" fontId="55" fillId="0" borderId="0" xfId="0" applyFont="1" applyAlignment="1">
      <alignment horizontal="right" vertical="center"/>
      <protection locked="1" hidden="1"/>
    </xf>
    <xf numFmtId="0" fontId="55" fillId="2" borderId="0" xfId="0" applyFont="1" applyFill="1" applyAlignment="1">
      <alignment horizontal="center" vertical="center"/>
      <protection locked="1" hidden="1"/>
    </xf>
    <xf numFmtId="0" fontId="55" fillId="0" borderId="0" xfId="0" applyFont="1" applyAlignment="1">
      <alignment horizontal="center" vertical="center"/>
      <protection locked="1" hidden="1"/>
    </xf>
    <xf numFmtId="0" fontId="2" fillId="0" borderId="0" xfId="0" applyFont="1" applyAlignment="1">
      <alignment horizontal="center" vertical="center"/>
      <protection locked="1" hidden="1"/>
    </xf>
    <xf numFmtId="0" fontId="11" fillId="0" borderId="11" xfId="0" applyFont="1" applyBorder="1" applyAlignment="1">
      <alignment horizontal="center" vertical="center"/>
      <protection locked="1" hidden="1"/>
    </xf>
    <xf numFmtId="0" fontId="26" fillId="0" borderId="11" xfId="0" applyFont="1" applyBorder="1" applyAlignment="1">
      <alignment horizontal="center" vertical="center" wrapText="1"/>
      <protection locked="1" hidden="1"/>
    </xf>
    <xf numFmtId="0" fontId="56" fillId="0" borderId="11" xfId="0" applyFont="1" applyBorder="1" applyAlignment="1">
      <alignment horizontal="center" vertical="bottom"/>
      <protection locked="1" hidden="1"/>
    </xf>
    <xf numFmtId="164" fontId="57" fillId="0" borderId="11" xfId="0" applyNumberFormat="1" applyFont="1" applyBorder="1" applyAlignment="1">
      <alignment horizontal="center" vertical="center"/>
      <protection locked="1" hidden="1"/>
    </xf>
    <xf numFmtId="0" fontId="58" fillId="0" borderId="11" xfId="0" applyFont="1" applyBorder="1" applyAlignment="1">
      <alignment horizontal="center" vertical="center"/>
      <protection locked="1" hidden="1"/>
    </xf>
    <xf numFmtId="164" fontId="10" fillId="0" borderId="11" xfId="0" applyNumberFormat="1" applyFont="1" applyBorder="1" applyAlignment="1">
      <alignment horizontal="left" vertical="center" wrapText="1"/>
      <protection locked="1" hidden="1"/>
    </xf>
    <xf numFmtId="0" fontId="59" fillId="0" borderId="11" xfId="0" applyFont="1" applyBorder="1" applyAlignment="1">
      <alignment horizontal="center" vertical="center"/>
      <protection locked="1" hidden="1"/>
    </xf>
    <xf numFmtId="0" fontId="60" fillId="0" borderId="11" xfId="0" applyFont="1" applyBorder="1" applyAlignment="1">
      <alignment vertical="bottom"/>
      <protection locked="0" hidden="0"/>
    </xf>
    <xf numFmtId="0" fontId="58" fillId="0" borderId="11" xfId="0" applyFont="1" applyBorder="1" applyAlignment="1">
      <alignment horizontal="center" vertical="center"/>
      <protection locked="1" hidden="1"/>
    </xf>
    <xf numFmtId="0" fontId="34" fillId="0" borderId="11" xfId="0" applyFont="1" applyBorder="1" applyAlignment="1">
      <alignment horizontal="center" vertical="center"/>
      <protection locked="1" hidden="1"/>
    </xf>
    <xf numFmtId="0" fontId="61" fillId="0" borderId="11" xfId="0" applyFont="1" applyBorder="1" applyAlignment="1">
      <alignment vertical="bottom"/>
      <protection locked="0" hidden="0"/>
    </xf>
    <xf numFmtId="0" fontId="62" fillId="0" borderId="0" xfId="0" applyFont="1" applyBorder="1" applyAlignment="1">
      <alignment horizontal="center" vertical="center"/>
    </xf>
    <xf numFmtId="16" fontId="63" fillId="0" borderId="0" xfId="0" applyNumberFormat="1" applyFont="1" applyBorder="1" applyAlignment="1">
      <alignment vertical="bottom"/>
    </xf>
    <xf numFmtId="0" fontId="11" fillId="0" borderId="0" xfId="0" applyFont="1" applyBorder="1" applyAlignment="1">
      <alignment horizontal="right" vertical="center"/>
    </xf>
    <xf numFmtId="0" fontId="6" fillId="0" borderId="0" xfId="0" applyFont="1" applyBorder="1" applyAlignment="1">
      <alignment horizontal="left" vertical="center"/>
      <protection locked="1" hidden="1"/>
    </xf>
    <xf numFmtId="1" fontId="64" fillId="0" borderId="0" xfId="0" applyNumberFormat="1" applyFont="1" applyBorder="1" applyAlignment="1">
      <alignment horizontal="center" vertical="center"/>
      <protection locked="0" hidden="0"/>
    </xf>
    <xf numFmtId="0" fontId="11" fillId="0" borderId="0" xfId="0" applyFont="1" applyBorder="1" applyAlignment="1">
      <alignment horizontal="right" vertical="center"/>
    </xf>
    <xf numFmtId="1" fontId="64" fillId="0" borderId="0" xfId="0" applyNumberFormat="1" applyFont="1" applyBorder="1" applyAlignment="1">
      <alignment horizontal="center" vertical="center"/>
      <protection locked="0" hidden="0"/>
    </xf>
    <xf numFmtId="0" fontId="65" fillId="0" borderId="0" xfId="0" applyFont="1" applyAlignment="1">
      <alignment horizontal="center" vertical="center"/>
      <protection locked="0" hidden="0"/>
    </xf>
    <xf numFmtId="0" fontId="10" fillId="0" borderId="0" xfId="0" applyFont="1" applyAlignment="1">
      <alignment horizontal="left" vertical="bottom"/>
    </xf>
    <xf numFmtId="0" fontId="10" fillId="0" borderId="0" xfId="0" applyFont="1" applyAlignment="1">
      <alignment horizontal="center" vertical="center"/>
    </xf>
    <xf numFmtId="0" fontId="26" fillId="0" borderId="0" xfId="0" applyFont="1" applyAlignment="1">
      <alignment horizontal="left" vertical="bottom"/>
    </xf>
    <xf numFmtId="0" fontId="2" fillId="0" borderId="0" xfId="0" applyFont="1" applyAlignment="1">
      <alignment horizontal="center" vertical="bottom"/>
    </xf>
    <xf numFmtId="0" fontId="2" fillId="0" borderId="0" xfId="0" applyFont="1" applyAlignment="1">
      <alignment vertical="bottom"/>
    </xf>
    <xf numFmtId="0" fontId="66" fillId="0" borderId="0" xfId="0" applyFont="1" applyAlignment="1">
      <alignment horizontal="center" vertical="bottom"/>
      <protection locked="0" hidden="0"/>
    </xf>
    <xf numFmtId="0" fontId="67" fillId="0" borderId="0" xfId="0" applyFont="1" applyAlignment="1">
      <alignment horizontal="center" vertical="bottom"/>
      <protection locked="0" hidden="0"/>
    </xf>
    <xf numFmtId="0" fontId="2" fillId="0" borderId="0" xfId="0" applyFont="1" applyAlignment="1">
      <alignment vertical="bottom"/>
      <protection locked="0" hidden="0"/>
    </xf>
    <xf numFmtId="0" fontId="26" fillId="0" borderId="0" xfId="0" applyFont="1" applyAlignment="1">
      <alignment horizontal="center" vertical="center"/>
      <protection locked="1" hidden="1"/>
    </xf>
    <xf numFmtId="0" fontId="46" fillId="0" borderId="0" xfId="0" applyFont="1" applyAlignment="1">
      <alignment horizontal="left" vertical="center"/>
    </xf>
    <xf numFmtId="0" fontId="68" fillId="0" borderId="0" xfId="0" applyFont="1" applyAlignment="1">
      <alignment vertical="bottom"/>
    </xf>
    <xf numFmtId="0" fontId="67" fillId="0" borderId="0" xfId="0" applyFont="1" applyAlignment="1">
      <alignment vertical="bottom"/>
      <protection locked="0" hidden="0"/>
    </xf>
    <xf numFmtId="0" fontId="26" fillId="0" borderId="0" xfId="0" applyFont="1" applyAlignment="1">
      <alignment horizontal="right" vertical="center"/>
      <protection locked="1" hidden="1"/>
    </xf>
    <xf numFmtId="14" fontId="2" fillId="0" borderId="0" xfId="0" applyNumberFormat="1" applyFont="1" applyAlignment="1">
      <alignment horizontal="center" vertical="center"/>
      <protection locked="1" hidden="1"/>
    </xf>
    <xf numFmtId="0" fontId="11" fillId="0" borderId="0" xfId="0" applyFont="1" applyAlignment="1">
      <alignment horizontal="left" vertical="center"/>
      <protection locked="0" hidden="0"/>
    </xf>
    <xf numFmtId="0" fontId="11" fillId="0" borderId="0" xfId="0" applyFont="1" applyAlignment="1">
      <alignment vertical="bottom"/>
    </xf>
    <xf numFmtId="0" fontId="10" fillId="0" borderId="0" xfId="0" applyFont="1" applyAlignment="1">
      <alignment horizontal="left" vertical="bottom"/>
      <protection locked="0" hidden="0"/>
    </xf>
    <xf numFmtId="0" fontId="2" fillId="0" borderId="0" xfId="0" applyFont="1" applyAlignment="1">
      <alignment horizontal="center" vertical="bottom"/>
      <protection locked="0" hidden="0"/>
    </xf>
    <xf numFmtId="0" fontId="69" fillId="5" borderId="0" xfId="0" applyFont="1" applyFill="1" applyAlignment="1">
      <alignment horizontal="center" vertical="center" wrapText="1"/>
      <protection locked="1" hidden="1"/>
    </xf>
    <xf numFmtId="0" fontId="50" fillId="3" borderId="0" xfId="0" applyFont="1" applyFill="1" applyAlignment="1">
      <alignment horizontal="center" vertical="center"/>
      <protection locked="1" hidden="1"/>
    </xf>
    <xf numFmtId="0" fontId="10" fillId="0" borderId="0" xfId="0" applyFont="1" applyAlignment="1">
      <alignment horizontal="center" vertical="bottom"/>
      <protection locked="1" hidden="1"/>
    </xf>
    <xf numFmtId="0" fontId="2" fillId="0" borderId="0" xfId="0" applyFont="1" applyAlignment="1">
      <alignment horizontal="left" vertical="center"/>
      <protection locked="0" hidden="0"/>
    </xf>
    <xf numFmtId="0" fontId="10" fillId="0" borderId="0" xfId="0" applyFont="1" applyAlignment="1">
      <alignment horizontal="center" vertical="center"/>
      <protection locked="1" hidden="1"/>
    </xf>
    <xf numFmtId="0" fontId="10" fillId="0" borderId="0" xfId="0" applyFont="1" applyAlignment="1">
      <alignment horizontal="center" vertical="center"/>
      <protection locked="1" hidden="1"/>
    </xf>
    <xf numFmtId="0" fontId="54" fillId="0" borderId="0" xfId="0" applyFont="1" applyAlignment="1">
      <alignment horizontal="left" vertical="top" wrapText="1"/>
      <protection locked="1" hidden="1"/>
    </xf>
    <xf numFmtId="0" fontId="70" fillId="5" borderId="0" xfId="0" applyFont="1" applyFill="1" applyAlignment="1">
      <alignment horizontal="center" vertical="center"/>
      <protection locked="0" hidden="0"/>
    </xf>
    <xf numFmtId="0" fontId="2" fillId="0" borderId="0" xfId="0" applyFont="1" applyAlignment="1">
      <alignment vertical="bottom"/>
      <protection locked="1" hidden="1"/>
    </xf>
    <xf numFmtId="0" fontId="2" fillId="0" borderId="0" xfId="0" applyFont="1" applyAlignment="1">
      <alignment horizontal="left" vertical="center"/>
      <protection locked="1" hidden="1"/>
    </xf>
    <xf numFmtId="0" fontId="34" fillId="5" borderId="0" xfId="0" applyFont="1" applyFill="1" applyAlignment="1">
      <alignment horizontal="center" vertical="center"/>
      <protection locked="1" hidden="1"/>
    </xf>
    <xf numFmtId="0" fontId="2" fillId="0" borderId="0" xfId="0" applyFont="1" applyAlignment="1">
      <alignment horizontal="right" vertical="center"/>
      <protection locked="1" hidden="1"/>
    </xf>
    <xf numFmtId="0" fontId="26" fillId="5" borderId="0" xfId="0" applyFont="1" applyFill="1" applyAlignment="1">
      <alignment horizontal="center" vertical="center"/>
      <protection locked="1" hidden="1"/>
    </xf>
    <xf numFmtId="0" fontId="10" fillId="0" borderId="0" xfId="0" applyFont="1" applyAlignment="1">
      <alignment horizontal="left" vertical="center"/>
      <protection locked="1" hidden="1"/>
    </xf>
    <xf numFmtId="0" fontId="67" fillId="0" borderId="0" xfId="0" applyFont="1" applyBorder="1" applyAlignment="1">
      <alignment horizontal="right" vertical="center"/>
      <protection locked="1" hidden="1"/>
    </xf>
    <xf numFmtId="0" fontId="23" fillId="5" borderId="0" xfId="0" applyFont="1" applyFill="1" applyAlignment="1">
      <alignment horizontal="center" vertical="center"/>
      <protection locked="0" hidden="0"/>
    </xf>
    <xf numFmtId="0" fontId="71" fillId="0" borderId="10" xfId="0" applyFont="1" applyBorder="1" applyAlignment="1">
      <alignment horizontal="left" vertical="center" wrapText="1"/>
      <protection locked="1" hidden="1"/>
    </xf>
    <xf numFmtId="0" fontId="71" fillId="0" borderId="11" xfId="0" applyFont="1" applyBorder="1" applyAlignment="1">
      <alignment horizontal="center" vertical="center" wrapText="1" textRotation="90"/>
      <protection locked="1" hidden="1"/>
    </xf>
    <xf numFmtId="0" fontId="71" fillId="0" borderId="11" xfId="0" applyFont="1" applyBorder="1" applyAlignment="1">
      <alignment horizontal="center" vertical="center"/>
      <protection locked="1" hidden="1"/>
    </xf>
    <xf numFmtId="0" fontId="71" fillId="0" borderId="16" xfId="0" applyFont="1" applyBorder="1" applyAlignment="1">
      <alignment horizontal="center" vertical="center" wrapText="1" textRotation="90"/>
      <protection locked="1" hidden="1"/>
    </xf>
    <xf numFmtId="0" fontId="71" fillId="0" borderId="16" xfId="0" applyFont="1" applyBorder="1" applyAlignment="1">
      <alignment horizontal="center" vertical="center" wrapText="1"/>
      <protection locked="1" hidden="1"/>
    </xf>
    <xf numFmtId="0" fontId="71" fillId="0" borderId="11" xfId="0" applyFont="1" applyBorder="1" applyAlignment="1">
      <alignment horizontal="center" vertical="center" wrapText="1" textRotation="90"/>
      <protection locked="1" hidden="1"/>
    </xf>
    <xf numFmtId="0" fontId="71" fillId="0" borderId="17" xfId="0" applyFont="1" applyBorder="1" applyAlignment="1">
      <alignment horizontal="center" vertical="center" wrapText="1" textRotation="90"/>
      <protection locked="1" hidden="1"/>
    </xf>
    <xf numFmtId="0" fontId="71" fillId="0" borderId="17" xfId="0" applyFont="1" applyBorder="1" applyAlignment="1">
      <alignment horizontal="center" vertical="center" wrapText="1"/>
      <protection locked="1" hidden="1"/>
    </xf>
    <xf numFmtId="0" fontId="4" fillId="0" borderId="0" xfId="0" applyFont="1" applyAlignment="1">
      <alignment horizontal="center" vertical="top"/>
      <protection locked="0" hidden="0"/>
    </xf>
    <xf numFmtId="0" fontId="26" fillId="0" borderId="11" xfId="0" applyFont="1" applyBorder="1" applyAlignment="1">
      <alignment horizontal="center" vertical="center"/>
      <protection locked="1" hidden="1"/>
    </xf>
    <xf numFmtId="164" fontId="10" fillId="0" borderId="11" xfId="0" applyNumberFormat="1" applyFont="1" applyBorder="1" applyAlignment="1">
      <alignment horizontal="center" vertical="center"/>
      <protection locked="1" hidden="1"/>
    </xf>
    <xf numFmtId="0" fontId="72" fillId="0" borderId="11" xfId="0" applyFont="1" applyBorder="1" applyAlignment="1">
      <alignment horizontal="center" vertical="center"/>
      <protection locked="1" hidden="1"/>
    </xf>
    <xf numFmtId="0" fontId="73" fillId="0" borderId="11" xfId="0" applyFont="1" applyBorder="1" applyAlignment="1">
      <alignment vertical="bottom"/>
      <protection locked="0" hidden="0"/>
    </xf>
    <xf numFmtId="0" fontId="1" fillId="2" borderId="0" xfId="0" applyFont="1" applyFill="1" applyAlignment="1">
      <alignment vertical="bottom"/>
      <protection locked="0" hidden="0"/>
    </xf>
    <xf numFmtId="0" fontId="74" fillId="3" borderId="0" xfId="0" applyFont="1" applyFill="1" applyAlignment="1">
      <alignment horizontal="left" vertical="center" wrapText="1"/>
      <protection locked="1" hidden="1"/>
    </xf>
    <xf numFmtId="0" fontId="12" fillId="5" borderId="0" xfId="0" applyFont="1" applyFill="1" applyAlignment="1">
      <alignment horizontal="center" vertical="center"/>
      <protection locked="1" hidden="1"/>
    </xf>
    <xf numFmtId="0" fontId="10" fillId="0" borderId="0" xfId="0" applyFont="1" applyAlignment="1">
      <alignment horizontal="left" vertical="center"/>
      <protection locked="1" hidden="1"/>
    </xf>
    <xf numFmtId="0" fontId="2" fillId="0" borderId="0" xfId="0" applyFont="1" applyAlignment="1">
      <alignment horizontal="left" vertical="center"/>
      <protection locked="1" hidden="1"/>
    </xf>
    <xf numFmtId="0" fontId="58" fillId="0" borderId="0" xfId="0" applyFont="1" applyBorder="1" applyAlignment="1">
      <alignment horizontal="center" vertical="center"/>
      <protection locked="1" hidden="1"/>
    </xf>
    <xf numFmtId="0" fontId="34" fillId="0" borderId="0" xfId="0" applyFont="1" applyBorder="1" applyAlignment="1">
      <alignment horizontal="center" vertical="center"/>
      <protection locked="1" hidden="1"/>
    </xf>
    <xf numFmtId="0" fontId="61" fillId="0" borderId="0" xfId="0" applyFont="1" applyBorder="1" applyAlignment="1">
      <alignment vertical="bottom"/>
      <protection locked="0" hidden="0"/>
    </xf>
    <xf numFmtId="0" fontId="68" fillId="0" borderId="0" xfId="0" applyFont="1" applyAlignment="1">
      <alignment vertical="bottom"/>
      <protection locked="0" hidden="0"/>
    </xf>
    <xf numFmtId="0" fontId="6" fillId="2" borderId="0" xfId="0" applyFont="1" applyFill="1" applyAlignment="1">
      <alignment horizontal="center" vertical="center"/>
      <protection locked="1" hidden="1"/>
    </xf>
    <xf numFmtId="0" fontId="26" fillId="0" borderId="0" xfId="0" applyFont="1" applyAlignment="1">
      <alignment horizontal="left" vertical="bottom"/>
      <protection locked="1" hidden="1"/>
    </xf>
    <xf numFmtId="14" fontId="26" fillId="0" borderId="0" xfId="0" applyNumberFormat="1" applyFont="1" applyAlignment="1">
      <alignment horizontal="left" vertical="center"/>
      <protection locked="1" hidden="1"/>
    </xf>
    <xf numFmtId="0" fontId="69" fillId="5" borderId="0" xfId="0" applyFont="1" applyFill="1" applyAlignment="1">
      <alignment horizontal="left" vertical="center" wrapText="1"/>
      <protection locked="1" hidden="1"/>
    </xf>
    <xf numFmtId="0" fontId="69" fillId="2" borderId="0" xfId="0" applyFont="1" applyFill="1" applyAlignment="1">
      <alignment horizontal="center" vertical="center" wrapText="1"/>
      <protection locked="1" hidden="1"/>
    </xf>
    <xf numFmtId="0" fontId="75" fillId="0" borderId="0" xfId="0" applyFont="1" applyAlignment="1">
      <alignment horizontal="center" vertical="bottom"/>
      <protection locked="1" hidden="1"/>
    </xf>
    <xf numFmtId="0" fontId="10" fillId="0" borderId="0" xfId="0" applyFont="1" applyAlignment="1">
      <alignment horizontal="center" vertical="center"/>
      <protection locked="0" hidden="1"/>
    </xf>
    <xf numFmtId="17" fontId="2" fillId="0" borderId="0" xfId="0" applyNumberFormat="1" applyFont="1" applyAlignment="1">
      <alignment vertical="bottom"/>
      <protection locked="1" hidden="1"/>
    </xf>
    <xf numFmtId="0" fontId="26" fillId="0" borderId="0" xfId="0" applyFont="1" applyAlignment="1">
      <alignment horizontal="left" vertical="center"/>
      <protection locked="0" hidden="0"/>
    </xf>
    <xf numFmtId="0" fontId="10" fillId="0" borderId="0" xfId="0" applyFont="1" applyAlignment="1">
      <alignment horizontal="center" vertical="center"/>
      <protection locked="0" hidden="0"/>
    </xf>
    <xf numFmtId="0" fontId="75" fillId="5" borderId="0" xfId="0" applyFont="1" applyFill="1" applyAlignment="1">
      <alignment horizontal="left" vertical="center"/>
      <protection locked="0" hidden="0"/>
    </xf>
    <xf numFmtId="0" fontId="52" fillId="5" borderId="0" xfId="0" applyFont="1" applyFill="1" applyAlignment="1">
      <alignment horizontal="left" vertical="center"/>
      <protection locked="0" hidden="0"/>
    </xf>
    <xf numFmtId="0" fontId="52" fillId="0" borderId="0" xfId="0" applyFont="1" applyAlignment="1">
      <alignment horizontal="left" vertical="center"/>
      <protection locked="0" hidden="0"/>
    </xf>
    <xf numFmtId="0" fontId="26" fillId="0" borderId="0" xfId="0" applyFont="1" applyAlignment="1">
      <alignment horizontal="center" vertical="center"/>
      <protection locked="0" hidden="0"/>
    </xf>
    <xf numFmtId="14" fontId="26" fillId="0" borderId="0" xfId="0" applyNumberFormat="1" applyFont="1" applyAlignment="1">
      <alignment horizontal="center" vertical="center"/>
      <protection locked="0" hidden="0"/>
    </xf>
    <xf numFmtId="0" fontId="26" fillId="0" borderId="0" xfId="0" applyFont="1" applyAlignment="1">
      <alignment horizontal="center" vertical="center"/>
      <protection locked="0" hidden="0"/>
    </xf>
    <xf numFmtId="0" fontId="50" fillId="3" borderId="0" xfId="0" applyFont="1" applyFill="1" applyAlignment="1">
      <alignment horizontal="center" vertical="center" wrapText="1"/>
      <protection locked="1" hidden="1"/>
    </xf>
    <xf numFmtId="0" fontId="26" fillId="0" borderId="0" xfId="0" applyFont="1" applyAlignment="1">
      <alignment horizontal="left" vertical="center" wrapText="1"/>
      <protection locked="0" hidden="0"/>
    </xf>
    <xf numFmtId="0" fontId="16" fillId="2" borderId="0" xfId="0" applyFont="1" applyFill="1" applyAlignment="1">
      <alignment horizontal="center" vertical="center"/>
      <protection locked="0" hidden="0"/>
    </xf>
    <xf numFmtId="0" fontId="39" fillId="2" borderId="0" xfId="0" applyFont="1" applyFill="1" applyAlignment="1">
      <alignment horizontal="center" vertical="center"/>
      <protection locked="1" hidden="1"/>
    </xf>
    <xf numFmtId="0" fontId="39" fillId="2" borderId="0" xfId="0" applyFont="1" applyFill="1" applyAlignment="1">
      <alignment horizontal="left" vertical="center"/>
      <protection locked="1" hidden="1"/>
    </xf>
    <xf numFmtId="0" fontId="39" fillId="2" borderId="0" xfId="0" applyFont="1" applyFill="1" applyAlignment="1">
      <alignment horizontal="right" vertical="center"/>
      <protection locked="1" hidden="1"/>
    </xf>
    <xf numFmtId="0" fontId="10" fillId="0" borderId="11" xfId="0" applyFont="1" applyBorder="1" applyAlignment="1">
      <alignment horizontal="center" vertical="center" wrapText="1"/>
      <protection locked="1" hidden="1"/>
    </xf>
    <xf numFmtId="0" fontId="10" fillId="0" borderId="11" xfId="0" applyFont="1" applyBorder="1" applyAlignment="1">
      <alignment horizontal="center" vertical="center"/>
      <protection locked="1" hidden="1"/>
    </xf>
    <xf numFmtId="0" fontId="26" fillId="0" borderId="11" xfId="0" applyFont="1" applyBorder="1" applyAlignment="1">
      <alignment horizontal="center" vertical="center" wrapText="1"/>
      <protection locked="1" hidden="1"/>
    </xf>
    <xf numFmtId="0" fontId="14" fillId="5" borderId="18" xfId="0" applyFont="1" applyFill="1" applyBorder="1" applyAlignment="1">
      <alignment horizontal="center" vertical="center" wrapText="1"/>
      <protection locked="1" hidden="1"/>
    </xf>
    <xf numFmtId="0" fontId="14" fillId="5" borderId="0" xfId="0" applyFont="1" applyFill="1" applyAlignment="1">
      <alignment horizontal="center" vertical="center" wrapText="1"/>
      <protection locked="1" hidden="1"/>
    </xf>
    <xf numFmtId="0" fontId="58" fillId="5" borderId="11" xfId="0" applyFont="1" applyFill="1" applyBorder="1" applyAlignment="1">
      <alignment horizontal="center" vertical="center"/>
      <protection locked="0" hidden="0"/>
    </xf>
    <xf numFmtId="0" fontId="10" fillId="0" borderId="11" xfId="0" applyNumberFormat="1" applyFont="1" applyBorder="1" applyAlignment="1">
      <alignment horizontal="left" vertical="center" wrapText="1"/>
      <protection locked="1" hidden="1"/>
    </xf>
    <xf numFmtId="0" fontId="59" fillId="5" borderId="11" xfId="0" applyFont="1" applyFill="1" applyBorder="1" applyAlignment="1">
      <alignment horizontal="center" vertical="center"/>
      <protection locked="0" hidden="0"/>
    </xf>
    <xf numFmtId="0" fontId="59" fillId="0" borderId="11" xfId="0" applyNumberFormat="1" applyFont="1" applyBorder="1" applyAlignment="1">
      <alignment horizontal="center" vertical="center"/>
      <protection locked="1" hidden="1"/>
    </xf>
    <xf numFmtId="0" fontId="59" fillId="5" borderId="11" xfId="0" applyNumberFormat="1" applyFont="1" applyFill="1" applyBorder="1" applyAlignment="1">
      <alignment horizontal="center" vertical="center"/>
      <protection locked="0" hidden="0"/>
    </xf>
    <xf numFmtId="1" fontId="59" fillId="0" borderId="11" xfId="0" applyNumberFormat="1" applyFont="1" applyBorder="1" applyAlignment="1">
      <alignment horizontal="center" vertical="center"/>
      <protection locked="1" hidden="1"/>
    </xf>
    <xf numFmtId="164" fontId="57" fillId="0" borderId="0" xfId="0" applyNumberFormat="1" applyFont="1" applyBorder="1" applyAlignment="1">
      <alignment horizontal="center" vertical="center"/>
      <protection locked="1" hidden="1"/>
    </xf>
    <xf numFmtId="0" fontId="76" fillId="0" borderId="11" xfId="0" applyFont="1" applyBorder="1" applyAlignment="1">
      <alignment horizontal="center" vertical="center"/>
      <protection locked="1" hidden="1"/>
    </xf>
    <xf numFmtId="0" fontId="32" fillId="0" borderId="11" xfId="0" applyFont="1" applyBorder="1" applyAlignment="1">
      <alignment horizontal="center" vertical="center"/>
      <protection locked="1" hidden="1"/>
    </xf>
    <xf numFmtId="0" fontId="6" fillId="0" borderId="0" xfId="0" applyFont="1" applyBorder="1" applyAlignment="1">
      <alignment horizontal="left" vertical="center"/>
      <protection locked="0" hidden="1"/>
    </xf>
    <xf numFmtId="0" fontId="23" fillId="0" borderId="0" xfId="0" applyFont="1" applyBorder="1" applyAlignment="1">
      <alignment horizontal="left" vertical="center"/>
      <protection locked="1" hidden="1"/>
    </xf>
    <xf numFmtId="0" fontId="23" fillId="0" borderId="0" xfId="0" applyFont="1" applyBorder="1" applyAlignment="1">
      <alignment horizontal="left" vertical="center"/>
      <protection locked="0" hidden="1"/>
    </xf>
    <xf numFmtId="0" fontId="65" fillId="0" borderId="0" xfId="0" applyFont="1" applyBorder="1" applyAlignment="1">
      <alignment horizontal="left" vertical="bottom"/>
      <protection locked="0" hidden="0"/>
    </xf>
    <xf numFmtId="0" fontId="65" fillId="0" borderId="0" xfId="0" applyFont="1" applyAlignment="1">
      <alignment horizontal="center" vertical="center"/>
      <protection locked="0" hidden="0"/>
    </xf>
    <xf numFmtId="0" fontId="77" fillId="0" borderId="0" xfId="0" applyFont="1" applyAlignment="1">
      <alignment horizontal="left" vertical="center"/>
    </xf>
    <xf numFmtId="0" fontId="26" fillId="0" borderId="0" xfId="0" applyFont="1" applyAlignment="1">
      <alignment horizontal="right" vertical="bottom"/>
      <protection locked="1" hidden="1"/>
    </xf>
    <xf numFmtId="0" fontId="78" fillId="3" borderId="0" xfId="0" applyFont="1" applyFill="1" applyAlignment="1">
      <alignment horizontal="left" vertical="center" wrapText="1"/>
      <protection locked="1" hidden="1"/>
    </xf>
    <xf numFmtId="0" fontId="16" fillId="2" borderId="0" xfId="0" applyFont="1" applyFill="1" applyAlignment="1">
      <alignment horizontal="center" vertical="bottom"/>
      <protection locked="0" hidden="0"/>
    </xf>
    <xf numFmtId="0" fontId="19" fillId="5" borderId="0" xfId="0" applyFont="1" applyFill="1" applyAlignment="1">
      <alignment horizontal="center" vertical="center" wrapText="1"/>
      <protection locked="1" hidden="1"/>
    </xf>
    <xf numFmtId="0" fontId="19" fillId="2" borderId="0" xfId="0" applyFont="1" applyFill="1" applyAlignment="1">
      <alignment horizontal="center" vertical="center"/>
      <protection locked="1" hidden="1"/>
    </xf>
    <xf numFmtId="0" fontId="8" fillId="2" borderId="0" xfId="0" applyFont="1" applyFill="1" applyBorder="1" applyAlignment="1">
      <alignment horizontal="left" vertical="center" wrapText="1"/>
      <protection locked="1" hidden="1"/>
    </xf>
    <xf numFmtId="0" fontId="79" fillId="3" borderId="0" xfId="0" applyFont="1" applyFill="1" applyAlignment="1">
      <alignment horizontal="center" vertical="center"/>
      <protection locked="1" hidden="1"/>
    </xf>
    <xf numFmtId="0" fontId="16" fillId="2" borderId="0" xfId="0" applyFont="1" applyFill="1" applyAlignment="1">
      <alignment horizontal="right" vertical="center"/>
      <protection locked="1" hidden="1"/>
    </xf>
    <xf numFmtId="0" fontId="6" fillId="2" borderId="0" xfId="0" applyFont="1" applyFill="1" applyAlignment="1">
      <alignment horizontal="left" vertical="center"/>
      <protection locked="1" hidden="1"/>
    </xf>
    <xf numFmtId="0" fontId="26" fillId="0" borderId="11" xfId="0" applyFont="1" applyBorder="1" applyAlignment="1">
      <alignment horizontal="center" vertical="center" wrapText="1"/>
      <protection locked="1" hidden="1"/>
    </xf>
    <xf numFmtId="0" fontId="30" fillId="2" borderId="11" xfId="0" applyFont="1" applyFill="1" applyBorder="1" applyAlignment="1">
      <alignment horizontal="center" vertical="center"/>
      <protection locked="1" hidden="1"/>
    </xf>
    <xf numFmtId="0" fontId="6" fillId="2" borderId="0" xfId="0" applyFont="1" applyFill="1" applyAlignment="1">
      <alignment horizontal="left" vertical="center"/>
      <protection locked="1" hidden="1"/>
    </xf>
    <xf numFmtId="0" fontId="6" fillId="2" borderId="0" xfId="0" applyFont="1" applyFill="1" applyBorder="1" applyAlignment="1">
      <alignment horizontal="right" vertical="center"/>
      <protection locked="1" hidden="1"/>
    </xf>
    <xf numFmtId="0" fontId="1" fillId="2" borderId="0" xfId="0" applyFont="1" applyFill="1" applyAlignment="1">
      <alignment horizontal="center" vertical="bottom"/>
      <protection locked="0" hidden="0"/>
    </xf>
    <xf numFmtId="0" fontId="26" fillId="0" borderId="0" xfId="0" applyFont="1" applyAlignment="1">
      <alignment horizontal="left" vertical="bottom"/>
      <protection locked="1" hidden="1"/>
    </xf>
  </cellXfs>
  <cellStyles count="1">
    <cellStyle name="常规" xfId="0" builtinId="0"/>
  </cellStyles>
  <dxfs count="0"/>
  <tableStyles defaultTableStyle="TableStyleMedium9"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www.wps.cn/officeDocument/2020/cellImage" Target="cellimages.xml"/><Relationship Id="rId8" Type="http://schemas.openxmlformats.org/officeDocument/2006/relationships/sharedStrings" Target="sharedStrings.xml"/><Relationship Id="rId9" Type="http://schemas.openxmlformats.org/officeDocument/2006/relationships/styles" Target="styles.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0.jpeg"/><Relationship Id="rId2" Type="http://schemas.openxmlformats.org/officeDocument/2006/relationships/image" Target="../media/image1.jpeg"/><Relationship Id="rId3" Type="http://schemas.openxmlformats.org/officeDocument/2006/relationships/image" Target="../media/image2.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7</xdr:col>
      <xdr:colOff>243481</xdr:colOff>
      <xdr:row>0</xdr:row>
      <xdr:rowOff>136921</xdr:rowOff>
    </xdr:from>
    <xdr:to>
      <xdr:col>7</xdr:col>
      <xdr:colOff>786556</xdr:colOff>
      <xdr:row>0</xdr:row>
      <xdr:rowOff>797569</xdr:rowOff>
    </xdr:to>
    <xdr:pic>
      <xdr:nvPicPr>
        <xdr:cNvPr id="2" name="Picture 1" descr=" "/>
        <xdr:cNvPicPr/>
      </xdr:nvPicPr>
      <xdr:blipFill>
        <a:blip xmlns:r="http://schemas.openxmlformats.org/officeDocument/2006/relationships" r:embed="rId1"/>
        <a:srcRect/>
        <a:stretch>
          <a:fillRect/>
        </a:stretch>
      </xdr:blipFill>
      <xdr:spPr>
        <a:xfrm>
          <a:off x="7419976" y="197652"/>
          <a:ext cx="542924" cy="659598"/>
        </a:xfrm>
        <a:prstGeom prst="rect">
          <a:avLst/>
        </a:prstGeom>
        <a:noFill/>
        <a:ln w="9525" cap="flat" cmpd="sng">
          <a:noFill/>
          <a:prstDash val="solid"/>
          <a:miter/>
        </a:ln>
        <a:effectLst/>
      </xdr:spPr>
    </xdr:pic>
    <xdr:clientData/>
  </xdr:twoCellAnchor>
  <xdr:twoCellAnchor>
    <xdr:from>
      <xdr:col>6</xdr:col>
      <xdr:colOff>945593</xdr:colOff>
      <xdr:row>0</xdr:row>
      <xdr:rowOff>201959</xdr:rowOff>
    </xdr:from>
    <xdr:to>
      <xdr:col>7</xdr:col>
      <xdr:colOff>125247</xdr:colOff>
      <xdr:row>1</xdr:row>
      <xdr:rowOff>0</xdr:rowOff>
    </xdr:to>
    <xdr:pic>
      <xdr:nvPicPr>
        <xdr:cNvPr id="3" name="Picture 5" descr=" "/>
        <xdr:cNvPicPr/>
      </xdr:nvPicPr>
      <xdr:blipFill>
        <a:blip xmlns:r="http://schemas.openxmlformats.org/officeDocument/2006/relationships" r:embed="rId2"/>
        <a:srcRect/>
        <a:stretch>
          <a:fillRect/>
        </a:stretch>
      </xdr:blipFill>
      <xdr:spPr>
        <a:xfrm rot="9972046" flipV="1">
          <a:off x="7295304" y="264296"/>
          <a:ext cx="521599" cy="652098"/>
        </a:xfrm>
        <a:prstGeom prst="rect">
          <a:avLst/>
        </a:prstGeom>
        <a:noFill/>
        <a:ln w="9525" cap="flat" cmpd="sng">
          <a:noFill/>
          <a:prstDash val="solid"/>
          <a:miter/>
        </a:ln>
        <a:effectLst/>
      </xdr:spPr>
    </xdr:pic>
    <xdr:clientData/>
  </xdr:twoCellAnchor>
  <xdr:twoCellAnchor>
    <xdr:from>
      <xdr:col>7</xdr:col>
      <xdr:colOff>171339</xdr:colOff>
      <xdr:row>111</xdr:row>
      <xdr:rowOff>59717</xdr:rowOff>
    </xdr:from>
    <xdr:to>
      <xdr:col>7</xdr:col>
      <xdr:colOff>913808</xdr:colOff>
      <xdr:row>111</xdr:row>
      <xdr:rowOff>887797</xdr:rowOff>
    </xdr:to>
    <xdr:pic>
      <xdr:nvPicPr>
        <xdr:cNvPr id="4" name="Picture 6" descr=" "/>
        <xdr:cNvPicPr/>
      </xdr:nvPicPr>
      <xdr:blipFill>
        <a:blip xmlns:r="http://schemas.openxmlformats.org/officeDocument/2006/relationships" r:embed="rId3"/>
        <a:srcRect/>
        <a:stretch>
          <a:fillRect/>
        </a:stretch>
      </xdr:blipFill>
      <xdr:spPr>
        <a:xfrm rot="10800000" flipV="1">
          <a:off x="7343773" y="31280100"/>
          <a:ext cx="742951" cy="828674"/>
        </a:xfrm>
        <a:prstGeom prst="rect">
          <a:avLst/>
        </a:prstGeom>
        <a:noFill/>
        <a:ln w="9525" cap="flat" cmpd="sng">
          <a:noFill/>
          <a:prstDash val="solid"/>
          <a:miter/>
        </a:ln>
        <a:effectLst/>
      </xdr:spPr>
    </xdr:pic>
    <xdr:clientData/>
  </xdr:twoCellAnchor>
  <xdr:twoCellAnchor>
    <xdr:from>
      <xdr:col>0</xdr:col>
      <xdr:colOff>102222</xdr:colOff>
      <xdr:row>110</xdr:row>
      <xdr:rowOff>0</xdr:rowOff>
    </xdr:from>
    <xdr:to>
      <xdr:col>1</xdr:col>
      <xdr:colOff>302083</xdr:colOff>
      <xdr:row>111</xdr:row>
      <xdr:rowOff>441907</xdr:rowOff>
    </xdr:to>
    <xdr:pic>
      <xdr:nvPicPr>
        <xdr:cNvPr id="5" name="Picture 8" descr=" "/>
        <xdr:cNvPicPr/>
      </xdr:nvPicPr>
      <xdr:blipFill>
        <a:blip xmlns:r="http://schemas.openxmlformats.org/officeDocument/2006/relationships" r:embed="rId4"/>
        <a:srcRect/>
        <a:stretch>
          <a:fillRect/>
        </a:stretch>
      </xdr:blipFill>
      <xdr:spPr>
        <a:xfrm>
          <a:off x="104775" y="30784800"/>
          <a:ext cx="809626" cy="876300"/>
        </a:xfrm>
        <a:prstGeom prst="rect">
          <a:avLst/>
        </a:prstGeom>
        <a:noFill/>
        <a:ln w="9525" cap="flat" cmpd="sng">
          <a:noFill/>
          <a:prstDash val="solid"/>
          <a:miter/>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72380</xdr:colOff>
      <xdr:row>4</xdr:row>
      <xdr:rowOff>139154</xdr:rowOff>
    </xdr:from>
    <xdr:to>
      <xdr:col>20</xdr:col>
      <xdr:colOff>165714</xdr:colOff>
      <xdr:row>9</xdr:row>
      <xdr:rowOff>75679</xdr:rowOff>
    </xdr:to>
    <xdr:sp macro="" textlink="">
      <xdr:nvSpPr>
        <xdr:cNvPr id="2" name="upArrow"/>
        <xdr:cNvSpPr/>
      </xdr:nvSpPr>
      <xdr:spPr>
        <a:xfrm rot="1905147">
          <a:off x="10066703" y="1388771"/>
          <a:ext cx="698708" cy="895487"/>
        </a:xfrm>
        <a:prstGeom prst="upArrow">
          <a:avLst/>
        </a:prstGeom>
        <a:solidFill>
          <a:srgbClr val="cb00cc"/>
        </a:solidFill>
        <a:ln w="9525" cap="flat" cmpd="sng">
          <a:solidFill>
            <a:srgbClr val="335d8a"/>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sheet1.xml><?xml version="1.0" encoding="utf-8"?>
<worksheet xmlns:r="http://schemas.openxmlformats.org/officeDocument/2006/relationships" xmlns="http://schemas.openxmlformats.org/spreadsheetml/2006/main">
  <sheetPr>
    <tabColor rgb="FF002060"/>
  </sheetPr>
  <dimension ref="A1:V113"/>
  <sheetViews>
    <sheetView tabSelected="1" workbookViewId="0" topLeftCell="G1" showGridLines="0">
      <pane ySplit="8" topLeftCell="A9" state="frozen" activePane="bottomLeft"/>
      <selection pane="bottomLeft" activeCell="I1" sqref="I1:S1048576"/>
    </sheetView>
  </sheetViews>
  <sheetFormatPr defaultRowHeight="15.0" defaultColWidth="0" zeroHeight="1"/>
  <cols>
    <col min="1" max="1" customWidth="1" width="9.140625" style="1"/>
    <col min="2" max="2" customWidth="1" width="29.0" style="2"/>
    <col min="3" max="3" customWidth="1" width="15.425781" style="2"/>
    <col min="4" max="4" customWidth="1" width="13.5703125" style="2"/>
    <col min="5" max="5" customWidth="1" width="15.5703125" style="2"/>
    <col min="6" max="6" customWidth="1" width="12.425781" style="2"/>
    <col min="7" max="7" customWidth="1" width="20.140625" style="2"/>
    <col min="8" max="8" customWidth="1" width="14.425781" style="2"/>
    <col min="9" max="9" hidden="1" customWidth="1" width="11.0" style="2"/>
    <col min="10" max="10" hidden="1" customWidth="1" width="4.0" style="2"/>
    <col min="11" max="11" hidden="1" customWidth="1" width="3.8554688" style="2"/>
    <col min="12" max="12" hidden="1" customWidth="1" width="9.140625" style="2"/>
    <col min="13" max="13" hidden="1" customWidth="1" width="8.7109375" style="2"/>
    <col min="14" max="14" hidden="1" customWidth="1" width="9.140625" style="2"/>
    <col min="15" max="15" hidden="1" customWidth="1" width="9.0" style="2"/>
    <col min="16" max="19" hidden="1" customWidth="1" width="9.140625" style="3"/>
    <col min="20" max="20" customWidth="1" width="2.7109375" style="3"/>
    <col min="21" max="16384" hidden="1" customWidth="0" width="9.140625" style="3"/>
  </cols>
  <sheetData>
    <row r="1" spans="8:8" ht="69.0" customHeight="1">
      <c r="A1" s="4" t="s">
        <v>111</v>
      </c>
      <c r="B1" s="4"/>
      <c r="C1" s="4"/>
      <c r="D1" s="4"/>
      <c r="E1" s="4"/>
      <c r="F1" s="4"/>
      <c r="G1" s="4"/>
      <c r="H1" s="4"/>
    </row>
    <row r="2" spans="8:8" ht="18.0" customHeight="1">
      <c r="A2" s="5"/>
      <c r="B2" s="6"/>
      <c r="C2" s="7" t="s">
        <v>20</v>
      </c>
      <c r="D2" s="7"/>
      <c r="E2" s="7"/>
      <c r="F2" s="8"/>
      <c r="G2" s="8"/>
      <c r="H2" s="8"/>
    </row>
    <row r="3" spans="8:8" ht="3.0" customHeight="1">
      <c r="A3" s="9"/>
      <c r="B3" s="10"/>
      <c r="C3" s="11"/>
      <c r="D3" s="11"/>
      <c r="E3" s="11"/>
      <c r="F3" s="11"/>
      <c r="G3" s="11"/>
      <c r="H3" s="11"/>
      <c r="I3" s="12"/>
    </row>
    <row r="4" spans="8:8" ht="27.75" customHeight="1">
      <c r="A4" s="13" t="s">
        <v>1</v>
      </c>
      <c r="B4" s="13"/>
      <c r="C4" s="14" t="s">
        <v>21</v>
      </c>
      <c r="D4" s="14"/>
      <c r="E4" s="14"/>
      <c r="F4" s="14"/>
      <c r="G4" s="14"/>
      <c r="H4" s="14"/>
      <c r="I4" s="15"/>
    </row>
    <row r="5" spans="8:8" ht="15.0" customHeight="1">
      <c r="A5" s="13" t="s">
        <v>35</v>
      </c>
      <c r="B5" s="13"/>
      <c r="C5" s="16">
        <v>58.0</v>
      </c>
      <c r="D5" s="17"/>
      <c r="E5" s="18" t="s">
        <v>38</v>
      </c>
      <c r="F5" s="18"/>
      <c r="G5" s="18"/>
      <c r="H5" s="16">
        <v>10.0</v>
      </c>
      <c r="I5" s="15"/>
    </row>
    <row r="6" spans="8:8" ht="16.5" customHeight="1">
      <c r="A6" s="13" t="s">
        <v>36</v>
      </c>
      <c r="B6" s="13"/>
      <c r="C6" s="16">
        <v>60.0</v>
      </c>
      <c r="D6" s="19"/>
      <c r="E6" s="18" t="s">
        <v>37</v>
      </c>
      <c r="F6" s="18"/>
      <c r="G6" s="18"/>
      <c r="H6" s="16">
        <v>10.0</v>
      </c>
      <c r="I6" s="15"/>
    </row>
    <row r="7" spans="8:8" ht="1.5" customHeight="1">
      <c r="A7" s="9"/>
      <c r="B7" s="10"/>
      <c r="C7" s="11"/>
      <c r="D7" s="11"/>
      <c r="E7" s="11"/>
      <c r="F7" s="11"/>
      <c r="G7" s="11"/>
      <c r="H7" s="11"/>
      <c r="I7" s="12"/>
    </row>
    <row r="8" spans="8:8" ht="39.75" customFormat="1" customHeight="1">
      <c r="A8" s="20" t="s">
        <v>19</v>
      </c>
      <c r="B8" s="20" t="s">
        <v>18</v>
      </c>
      <c r="C8" s="20" t="s">
        <v>17</v>
      </c>
      <c r="D8" s="20" t="s">
        <v>16</v>
      </c>
      <c r="E8" s="20" t="s">
        <v>22</v>
      </c>
      <c r="F8" s="21" t="s">
        <v>14</v>
      </c>
      <c r="G8" s="21" t="s">
        <v>77</v>
      </c>
      <c r="H8" s="20" t="s">
        <v>109</v>
      </c>
      <c r="I8" s="22" t="s">
        <v>39</v>
      </c>
      <c r="J8" s="23"/>
      <c r="K8" s="23"/>
      <c r="L8" s="23"/>
      <c r="M8" s="23"/>
      <c r="N8" s="23"/>
      <c r="O8" s="23"/>
    </row>
    <row r="9" spans="8:8" s="24" ht="21.0" customFormat="1" customHeight="1">
      <c r="A9" s="25">
        <f>IF(B9="","",1)</f>
        <v>1.0</v>
      </c>
      <c r="B9" s="26" t="s">
        <v>24</v>
      </c>
      <c r="C9" s="27" t="s">
        <v>4</v>
      </c>
      <c r="D9" s="28">
        <v>4.0</v>
      </c>
      <c r="E9" s="25">
        <v>77700.0</v>
      </c>
      <c r="F9" s="29" t="s">
        <v>9</v>
      </c>
      <c r="G9" s="29">
        <v>10.0</v>
      </c>
      <c r="H9" s="30">
        <v>46023.0</v>
      </c>
      <c r="I9" s="31" t="s">
        <v>8</v>
      </c>
      <c r="J9" s="32"/>
      <c r="K9" s="32"/>
      <c r="L9" s="32"/>
      <c r="M9" s="33">
        <v>46023.0</v>
      </c>
      <c r="N9" s="32"/>
      <c r="O9" s="32"/>
    </row>
    <row r="10" spans="8:8" s="24" ht="21.0" customFormat="1" customHeight="1">
      <c r="A10" s="25">
        <f>IF(B10="","",A9+1)</f>
        <v>2.0</v>
      </c>
      <c r="B10" s="27" t="s">
        <v>25</v>
      </c>
      <c r="C10" s="27" t="s">
        <v>4</v>
      </c>
      <c r="D10" s="28">
        <v>3.0</v>
      </c>
      <c r="E10" s="34">
        <v>47000.0</v>
      </c>
      <c r="F10" s="29" t="s">
        <v>9</v>
      </c>
      <c r="G10" s="29">
        <v>15.0</v>
      </c>
      <c r="H10" s="35">
        <v>46023.0</v>
      </c>
      <c r="I10" s="36"/>
      <c r="J10" s="32"/>
      <c r="K10" s="32"/>
      <c r="L10" s="32"/>
      <c r="M10" s="33">
        <v>46054.0</v>
      </c>
      <c r="N10" s="32"/>
      <c r="O10" s="32"/>
    </row>
    <row r="11" spans="8:8" s="24" ht="21.0" customFormat="1" customHeight="1">
      <c r="A11" s="25">
        <f t="shared" si="0" ref="A11:A74">IF(B11="","",A10+1)</f>
        <v>3.0</v>
      </c>
      <c r="B11" s="27" t="s">
        <v>26</v>
      </c>
      <c r="C11" s="27" t="s">
        <v>4</v>
      </c>
      <c r="D11" s="28">
        <v>2.0</v>
      </c>
      <c r="E11" s="25">
        <v>71300.0</v>
      </c>
      <c r="F11" s="29" t="s">
        <v>9</v>
      </c>
      <c r="G11" s="29">
        <v>20.0</v>
      </c>
      <c r="H11" s="37">
        <v>46054.0</v>
      </c>
      <c r="I11" s="36"/>
      <c r="J11" s="32"/>
      <c r="K11" s="32"/>
      <c r="L11" s="32"/>
      <c r="M11" s="33">
        <v>46082.0</v>
      </c>
      <c r="N11" s="32"/>
      <c r="O11" s="32"/>
    </row>
    <row r="12" spans="8:8" s="24" ht="21.0" customFormat="1" customHeight="1">
      <c r="A12" s="25">
        <f t="shared" si="0"/>
        <v>4.0</v>
      </c>
      <c r="B12" s="26" t="s">
        <v>27</v>
      </c>
      <c r="C12" s="27" t="s">
        <v>4</v>
      </c>
      <c r="D12" s="28">
        <v>2.0</v>
      </c>
      <c r="E12" s="34">
        <v>59500.0</v>
      </c>
      <c r="F12" s="29" t="s">
        <v>9</v>
      </c>
      <c r="G12" s="29">
        <v>20.0</v>
      </c>
      <c r="H12" s="38">
        <v>46082.0</v>
      </c>
      <c r="I12" s="36"/>
      <c r="J12" s="32"/>
      <c r="K12" s="32"/>
      <c r="L12" s="32"/>
      <c r="M12" s="33">
        <v>46113.0</v>
      </c>
      <c r="N12" s="32"/>
      <c r="O12" s="32"/>
    </row>
    <row r="13" spans="8:8" s="24" ht="21.0" customFormat="1" customHeight="1">
      <c r="A13" s="25">
        <f t="shared" si="0"/>
        <v>5.0</v>
      </c>
      <c r="B13" s="26" t="s">
        <v>28</v>
      </c>
      <c r="C13" s="26" t="s">
        <v>4</v>
      </c>
      <c r="D13" s="28">
        <v>2.0</v>
      </c>
      <c r="E13" s="34">
        <v>75400.0</v>
      </c>
      <c r="F13" s="29" t="s">
        <v>2</v>
      </c>
      <c r="G13" s="29"/>
      <c r="H13" s="39">
        <v>46113.0</v>
      </c>
      <c r="I13" s="36"/>
      <c r="J13" s="32"/>
      <c r="K13" s="32"/>
      <c r="L13" s="32"/>
      <c r="M13" s="33">
        <v>46143.0</v>
      </c>
      <c r="N13" s="32"/>
      <c r="O13" s="32"/>
    </row>
    <row r="14" spans="8:8" s="24" ht="21.0" customFormat="1" customHeight="1">
      <c r="A14" s="25">
        <f t="shared" si="0"/>
        <v>6.0</v>
      </c>
      <c r="B14" s="26" t="s">
        <v>29</v>
      </c>
      <c r="C14" s="26" t="s">
        <v>4</v>
      </c>
      <c r="D14" s="28">
        <v>2.0</v>
      </c>
      <c r="E14" s="34">
        <v>41300.0</v>
      </c>
      <c r="F14" s="29" t="s">
        <v>9</v>
      </c>
      <c r="G14" s="29"/>
      <c r="H14" s="40">
        <v>46143.0</v>
      </c>
      <c r="I14" s="36"/>
      <c r="J14" s="32"/>
      <c r="K14" s="32"/>
      <c r="L14" s="32"/>
      <c r="M14" s="33">
        <v>46174.0</v>
      </c>
      <c r="N14" s="32"/>
      <c r="O14" s="32"/>
    </row>
    <row r="15" spans="8:8" s="24" ht="21.0" customFormat="1" customHeight="1">
      <c r="A15" s="25">
        <f t="shared" si="0"/>
        <v>7.0</v>
      </c>
      <c r="B15" s="26" t="s">
        <v>23</v>
      </c>
      <c r="C15" s="26" t="s">
        <v>5</v>
      </c>
      <c r="D15" s="28">
        <v>2.0</v>
      </c>
      <c r="E15" s="34">
        <v>77200.0</v>
      </c>
      <c r="F15" s="29" t="s">
        <v>2</v>
      </c>
      <c r="G15" s="29">
        <v>10.0</v>
      </c>
      <c r="H15" s="41">
        <v>46174.0</v>
      </c>
      <c r="I15" s="36"/>
      <c r="J15" s="32"/>
      <c r="K15" s="32"/>
      <c r="L15" s="32"/>
      <c r="M15" s="33"/>
      <c r="N15" s="32"/>
      <c r="O15" s="32"/>
    </row>
    <row r="16" spans="8:8" s="24" ht="21.0" customFormat="1" customHeight="1">
      <c r="A16" s="25">
        <f t="shared" si="0"/>
        <v>8.0</v>
      </c>
      <c r="B16" s="26" t="s">
        <v>30</v>
      </c>
      <c r="C16" s="26" t="s">
        <v>5</v>
      </c>
      <c r="D16" s="28">
        <v>2.0</v>
      </c>
      <c r="E16" s="34">
        <v>75400.0</v>
      </c>
      <c r="F16" s="29" t="s">
        <v>2</v>
      </c>
      <c r="G16" s="29">
        <v>10.0</v>
      </c>
      <c r="H16" s="42"/>
      <c r="I16" s="36"/>
      <c r="J16" s="32"/>
      <c r="K16" s="32"/>
      <c r="L16" s="32"/>
      <c r="M16" s="33"/>
      <c r="N16" s="32"/>
      <c r="O16" s="32"/>
    </row>
    <row r="17" spans="8:8" s="24" ht="21.0" customFormat="1" customHeight="1">
      <c r="A17" s="25">
        <f t="shared" si="0"/>
        <v>9.0</v>
      </c>
      <c r="B17" s="26" t="s">
        <v>31</v>
      </c>
      <c r="C17" s="26" t="s">
        <v>7</v>
      </c>
      <c r="D17" s="28">
        <v>2.0</v>
      </c>
      <c r="E17" s="34">
        <v>50800.0</v>
      </c>
      <c r="F17" s="29" t="s">
        <v>9</v>
      </c>
      <c r="G17" s="29"/>
      <c r="H17" s="42"/>
      <c r="I17" s="36"/>
      <c r="J17" s="32"/>
      <c r="K17" s="32"/>
      <c r="L17" s="32"/>
      <c r="M17" s="33"/>
      <c r="N17" s="32"/>
      <c r="O17" s="32"/>
    </row>
    <row r="18" spans="8:8" s="24" ht="21.0" customFormat="1" customHeight="1">
      <c r="A18" s="25">
        <f t="shared" si="0"/>
        <v>10.0</v>
      </c>
      <c r="B18" s="26" t="s">
        <v>32</v>
      </c>
      <c r="C18" s="26" t="s">
        <v>6</v>
      </c>
      <c r="D18" s="28">
        <v>2.0</v>
      </c>
      <c r="E18" s="34">
        <v>35800.0</v>
      </c>
      <c r="F18" s="29" t="s">
        <v>9</v>
      </c>
      <c r="G18" s="29"/>
      <c r="H18" s="42"/>
      <c r="I18" s="36"/>
      <c r="J18" s="32"/>
      <c r="K18" s="32"/>
      <c r="L18" s="32"/>
      <c r="M18" s="33"/>
      <c r="N18" s="32"/>
      <c r="O18" s="32"/>
    </row>
    <row r="19" spans="8:8" s="24" ht="21.0" customFormat="1" customHeight="1">
      <c r="A19" s="25">
        <f t="shared" si="0"/>
        <v>11.0</v>
      </c>
      <c r="B19" s="26" t="s">
        <v>33</v>
      </c>
      <c r="C19" s="26" t="s">
        <v>15</v>
      </c>
      <c r="D19" s="28">
        <v>2.0</v>
      </c>
      <c r="E19" s="34">
        <v>45100.0</v>
      </c>
      <c r="F19" s="29" t="s">
        <v>9</v>
      </c>
      <c r="G19" s="29"/>
      <c r="H19" s="42"/>
      <c r="I19" s="36"/>
      <c r="J19" s="32"/>
      <c r="K19" s="32"/>
      <c r="L19" s="32"/>
      <c r="M19" s="33"/>
      <c r="N19" s="32"/>
      <c r="O19" s="32"/>
    </row>
    <row r="20" spans="8:8" s="24" ht="21.0" customFormat="1" customHeight="1">
      <c r="A20" s="25">
        <f t="shared" si="0"/>
        <v>12.0</v>
      </c>
      <c r="B20" s="26" t="s">
        <v>34</v>
      </c>
      <c r="C20" s="26" t="s">
        <v>4</v>
      </c>
      <c r="D20" s="43"/>
      <c r="E20" s="34">
        <v>67200.0</v>
      </c>
      <c r="F20" s="29" t="s">
        <v>9</v>
      </c>
      <c r="G20" s="29"/>
      <c r="H20" s="42"/>
      <c r="I20" s="36"/>
      <c r="J20" s="32"/>
      <c r="K20" s="32"/>
      <c r="L20" s="32"/>
      <c r="M20" s="33"/>
      <c r="N20" s="32"/>
      <c r="O20" s="32"/>
    </row>
    <row r="21" spans="8:8" s="24" ht="21.0" customFormat="1" customHeight="1">
      <c r="A21" s="25" t="str">
        <f t="shared" si="0"/>
        <v/>
      </c>
      <c r="B21" s="26"/>
      <c r="C21" s="26"/>
      <c r="D21" s="43"/>
      <c r="E21" s="34"/>
      <c r="F21" s="29"/>
      <c r="G21" s="29"/>
      <c r="H21" s="42"/>
      <c r="I21" s="36"/>
      <c r="J21" s="32"/>
      <c r="K21" s="32"/>
      <c r="L21" s="32"/>
      <c r="M21" s="33"/>
      <c r="N21" s="32"/>
      <c r="O21" s="32"/>
    </row>
    <row r="22" spans="8:8" s="24" ht="21.0" customFormat="1" customHeight="1">
      <c r="A22" s="25" t="str">
        <f t="shared" si="0"/>
        <v/>
      </c>
      <c r="B22" s="26"/>
      <c r="C22" s="26"/>
      <c r="D22" s="43"/>
      <c r="E22" s="34"/>
      <c r="F22" s="29"/>
      <c r="G22" s="29"/>
      <c r="H22" s="42"/>
      <c r="I22" s="36"/>
      <c r="J22" s="32"/>
      <c r="K22" s="32"/>
      <c r="L22" s="32"/>
      <c r="M22" s="33"/>
      <c r="N22" s="32"/>
      <c r="O22" s="32"/>
    </row>
    <row r="23" spans="8:8" s="24" ht="21.0" customFormat="1" customHeight="1">
      <c r="A23" s="25" t="str">
        <f t="shared" si="0"/>
        <v/>
      </c>
      <c r="B23" s="26"/>
      <c r="C23" s="26"/>
      <c r="D23" s="43"/>
      <c r="E23" s="34"/>
      <c r="F23" s="29"/>
      <c r="G23" s="29"/>
      <c r="H23" s="42"/>
      <c r="I23" s="36"/>
      <c r="J23" s="32"/>
      <c r="K23" s="32"/>
      <c r="L23" s="32"/>
      <c r="M23" s="33"/>
      <c r="N23" s="32"/>
      <c r="O23" s="32"/>
    </row>
    <row r="24" spans="8:8" s="24" ht="21.0" customFormat="1" customHeight="1">
      <c r="A24" s="25" t="str">
        <f t="shared" si="0"/>
        <v/>
      </c>
      <c r="B24" s="26"/>
      <c r="C24" s="26"/>
      <c r="D24" s="43"/>
      <c r="E24" s="34"/>
      <c r="F24" s="29"/>
      <c r="G24" s="29"/>
      <c r="H24" s="42"/>
      <c r="I24" s="36"/>
      <c r="J24" s="32"/>
      <c r="K24" s="32"/>
      <c r="L24" s="32"/>
      <c r="M24" s="33"/>
      <c r="N24" s="32"/>
      <c r="O24" s="32"/>
    </row>
    <row r="25" spans="8:8" s="24" ht="21.0" customFormat="1" customHeight="1">
      <c r="A25" s="25" t="str">
        <f t="shared" si="0"/>
        <v/>
      </c>
      <c r="B25" s="26"/>
      <c r="C25" s="26"/>
      <c r="D25" s="28"/>
      <c r="E25" s="34"/>
      <c r="F25" s="29"/>
      <c r="G25" s="29"/>
      <c r="H25" s="42"/>
      <c r="I25" s="36"/>
      <c r="J25" s="32"/>
      <c r="K25" s="32"/>
      <c r="L25" s="32"/>
      <c r="M25" s="33"/>
      <c r="N25" s="32"/>
      <c r="O25" s="32"/>
    </row>
    <row r="26" spans="8:8" s="24" ht="21.0" customFormat="1" customHeight="1">
      <c r="A26" s="25" t="str">
        <f t="shared" si="0"/>
        <v/>
      </c>
      <c r="B26" s="26"/>
      <c r="C26" s="26"/>
      <c r="D26" s="43"/>
      <c r="E26" s="34"/>
      <c r="F26" s="29"/>
      <c r="G26" s="29"/>
      <c r="H26" s="42"/>
      <c r="I26" s="36"/>
      <c r="J26" s="32"/>
      <c r="K26" s="32"/>
      <c r="L26" s="32"/>
      <c r="M26" s="33"/>
      <c r="N26" s="32"/>
      <c r="O26" s="32"/>
    </row>
    <row r="27" spans="8:8" s="24" ht="21.0" customFormat="1" customHeight="1">
      <c r="A27" s="25" t="str">
        <f t="shared" si="0"/>
        <v/>
      </c>
      <c r="B27" s="26"/>
      <c r="C27" s="26"/>
      <c r="D27" s="43"/>
      <c r="E27" s="34"/>
      <c r="F27" s="29"/>
      <c r="G27" s="29"/>
      <c r="H27" s="42"/>
      <c r="I27" s="36"/>
      <c r="J27" s="32"/>
      <c r="K27" s="32"/>
      <c r="L27" s="32"/>
      <c r="M27" s="33"/>
      <c r="N27" s="32"/>
      <c r="O27" s="32"/>
    </row>
    <row r="28" spans="8:8" s="24" ht="21.0" customFormat="1" customHeight="1">
      <c r="A28" s="25" t="str">
        <f t="shared" si="0"/>
        <v/>
      </c>
      <c r="B28" s="26"/>
      <c r="C28" s="26"/>
      <c r="D28" s="43"/>
      <c r="E28" s="34"/>
      <c r="F28" s="29"/>
      <c r="G28" s="29"/>
      <c r="H28" s="42"/>
      <c r="I28" s="36"/>
      <c r="J28" s="32"/>
      <c r="K28" s="32"/>
      <c r="L28" s="32"/>
      <c r="M28" s="33"/>
      <c r="N28" s="32"/>
      <c r="O28" s="32"/>
    </row>
    <row r="29" spans="8:8" s="24" ht="21.0" customFormat="1" customHeight="1">
      <c r="A29" s="25" t="str">
        <f t="shared" si="0"/>
        <v/>
      </c>
      <c r="B29" s="26"/>
      <c r="C29" s="26"/>
      <c r="D29" s="43"/>
      <c r="E29" s="34"/>
      <c r="F29" s="29"/>
      <c r="G29" s="29"/>
      <c r="H29" s="42"/>
      <c r="I29" s="36"/>
      <c r="J29" s="32"/>
      <c r="K29" s="32"/>
      <c r="L29" s="32"/>
      <c r="M29" s="33"/>
      <c r="N29" s="32"/>
      <c r="O29" s="32"/>
    </row>
    <row r="30" spans="8:8" s="24" ht="21.0" customFormat="1" customHeight="1">
      <c r="A30" s="25" t="str">
        <f t="shared" si="0"/>
        <v/>
      </c>
      <c r="B30" s="26"/>
      <c r="C30" s="26"/>
      <c r="D30" s="43"/>
      <c r="E30" s="34"/>
      <c r="F30" s="29"/>
      <c r="G30" s="29"/>
      <c r="H30" s="42"/>
      <c r="I30" s="36"/>
      <c r="J30" s="32"/>
      <c r="K30" s="32"/>
      <c r="L30" s="32"/>
      <c r="M30" s="33"/>
      <c r="N30" s="32"/>
      <c r="O30" s="32"/>
    </row>
    <row r="31" spans="8:8" s="24" ht="21.0" customFormat="1" customHeight="1">
      <c r="A31" s="25" t="str">
        <f t="shared" si="0"/>
        <v/>
      </c>
      <c r="B31" s="26"/>
      <c r="C31" s="26"/>
      <c r="D31" s="43"/>
      <c r="E31" s="34"/>
      <c r="F31" s="29"/>
      <c r="G31" s="29"/>
      <c r="H31" s="42"/>
      <c r="I31" s="36"/>
      <c r="J31" s="32"/>
      <c r="K31" s="32"/>
      <c r="L31" s="32"/>
      <c r="M31" s="33"/>
      <c r="N31" s="32"/>
      <c r="O31" s="32"/>
    </row>
    <row r="32" spans="8:8" s="24" ht="21.0" customFormat="1" customHeight="1">
      <c r="A32" s="25" t="str">
        <f t="shared" si="0"/>
        <v/>
      </c>
      <c r="B32" s="26"/>
      <c r="C32" s="26"/>
      <c r="D32" s="43"/>
      <c r="E32" s="34"/>
      <c r="F32" s="29"/>
      <c r="G32" s="29"/>
      <c r="H32" s="42"/>
      <c r="I32" s="36"/>
      <c r="J32" s="32"/>
      <c r="K32" s="32"/>
      <c r="L32" s="32"/>
      <c r="M32" s="33"/>
      <c r="N32" s="32"/>
      <c r="O32" s="32"/>
    </row>
    <row r="33" spans="8:8" s="24" ht="21.0" customFormat="1" customHeight="1">
      <c r="A33" s="25" t="str">
        <f t="shared" si="0"/>
        <v/>
      </c>
      <c r="B33" s="26"/>
      <c r="C33" s="26"/>
      <c r="D33" s="43"/>
      <c r="E33" s="34"/>
      <c r="F33" s="29"/>
      <c r="G33" s="29"/>
      <c r="H33" s="42"/>
      <c r="I33" s="36"/>
      <c r="J33" s="32"/>
      <c r="K33" s="32"/>
      <c r="L33" s="32"/>
      <c r="M33" s="33"/>
      <c r="N33" s="32"/>
      <c r="O33" s="32"/>
    </row>
    <row r="34" spans="8:8" s="24" ht="21.0" customFormat="1" customHeight="1">
      <c r="A34" s="25" t="str">
        <f t="shared" si="0"/>
        <v/>
      </c>
      <c r="B34" s="26"/>
      <c r="C34" s="26"/>
      <c r="D34" s="43"/>
      <c r="E34" s="34"/>
      <c r="F34" s="29"/>
      <c r="G34" s="29"/>
      <c r="H34" s="42"/>
      <c r="I34" s="36"/>
      <c r="J34" s="32"/>
      <c r="K34" s="32"/>
      <c r="L34" s="32"/>
      <c r="M34" s="33"/>
      <c r="N34" s="32"/>
      <c r="O34" s="32"/>
    </row>
    <row r="35" spans="8:8" s="24" ht="21.0" customFormat="1" customHeight="1">
      <c r="A35" s="25" t="str">
        <f t="shared" si="0"/>
        <v/>
      </c>
      <c r="B35" s="26"/>
      <c r="C35" s="26"/>
      <c r="D35" s="43"/>
      <c r="E35" s="34"/>
      <c r="F35" s="29"/>
      <c r="G35" s="29"/>
      <c r="H35" s="42"/>
      <c r="I35" s="36"/>
      <c r="J35" s="32"/>
      <c r="K35" s="32"/>
      <c r="L35" s="32"/>
      <c r="M35" s="33"/>
      <c r="N35" s="32"/>
      <c r="O35" s="32"/>
    </row>
    <row r="36" spans="8:8" s="24" ht="21.0" customFormat="1" customHeight="1">
      <c r="A36" s="25" t="str">
        <f t="shared" si="0"/>
        <v/>
      </c>
      <c r="B36" s="26"/>
      <c r="C36" s="26"/>
      <c r="D36" s="43"/>
      <c r="E36" s="34"/>
      <c r="F36" s="29"/>
      <c r="G36" s="29"/>
      <c r="H36" s="42"/>
      <c r="I36" s="36"/>
      <c r="J36" s="32"/>
      <c r="K36" s="32"/>
      <c r="L36" s="32"/>
      <c r="M36" s="33"/>
      <c r="N36" s="32"/>
      <c r="O36" s="32"/>
    </row>
    <row r="37" spans="8:8" s="24" ht="21.0" customFormat="1" customHeight="1">
      <c r="A37" s="25" t="str">
        <f t="shared" si="0"/>
        <v/>
      </c>
      <c r="B37" s="26"/>
      <c r="C37" s="26"/>
      <c r="D37" s="43"/>
      <c r="E37" s="34"/>
      <c r="F37" s="29"/>
      <c r="G37" s="29"/>
      <c r="H37" s="42"/>
      <c r="I37" s="36"/>
      <c r="J37" s="32"/>
      <c r="K37" s="32"/>
      <c r="L37" s="32"/>
      <c r="M37" s="33"/>
      <c r="N37" s="32"/>
      <c r="O37" s="32"/>
    </row>
    <row r="38" spans="8:8" s="24" ht="21.0" customFormat="1" customHeight="1">
      <c r="A38" s="25" t="str">
        <f t="shared" si="0"/>
        <v/>
      </c>
      <c r="B38" s="26"/>
      <c r="C38" s="26"/>
      <c r="D38" s="43"/>
      <c r="E38" s="34"/>
      <c r="F38" s="29"/>
      <c r="G38" s="29"/>
      <c r="H38" s="42"/>
      <c r="I38" s="36"/>
      <c r="J38" s="32"/>
      <c r="K38" s="32"/>
      <c r="L38" s="32"/>
      <c r="M38" s="33"/>
      <c r="N38" s="32"/>
      <c r="O38" s="32"/>
    </row>
    <row r="39" spans="8:8" s="24" ht="21.0" customFormat="1" customHeight="1">
      <c r="A39" s="25" t="str">
        <f t="shared" si="0"/>
        <v/>
      </c>
      <c r="B39" s="26"/>
      <c r="C39" s="26"/>
      <c r="D39" s="43"/>
      <c r="E39" s="34"/>
      <c r="F39" s="29"/>
      <c r="G39" s="29"/>
      <c r="H39" s="42"/>
      <c r="I39" s="36"/>
      <c r="J39" s="32"/>
      <c r="K39" s="32"/>
      <c r="L39" s="32"/>
      <c r="M39" s="33"/>
      <c r="N39" s="32"/>
      <c r="O39" s="32"/>
    </row>
    <row r="40" spans="8:8" s="24" ht="21.0" customFormat="1" customHeight="1">
      <c r="A40" s="25" t="str">
        <f t="shared" si="0"/>
        <v/>
      </c>
      <c r="B40" s="26"/>
      <c r="C40" s="26"/>
      <c r="D40" s="43"/>
      <c r="E40" s="34"/>
      <c r="F40" s="29"/>
      <c r="G40" s="29"/>
      <c r="H40" s="42"/>
      <c r="I40" s="36"/>
      <c r="J40" s="32"/>
      <c r="K40" s="32"/>
      <c r="L40" s="32"/>
      <c r="M40" s="33"/>
      <c r="N40" s="32"/>
      <c r="O40" s="32"/>
    </row>
    <row r="41" spans="8:8" s="24" ht="21.0" customFormat="1" customHeight="1">
      <c r="A41" s="25" t="str">
        <f t="shared" si="0"/>
        <v/>
      </c>
      <c r="B41" s="26"/>
      <c r="C41" s="26"/>
      <c r="D41" s="43"/>
      <c r="E41" s="34"/>
      <c r="F41" s="29"/>
      <c r="G41" s="29"/>
      <c r="H41" s="42"/>
      <c r="I41" s="36"/>
      <c r="J41" s="32"/>
      <c r="K41" s="32"/>
      <c r="L41" s="32"/>
      <c r="M41" s="33"/>
      <c r="N41" s="32"/>
      <c r="O41" s="32"/>
    </row>
    <row r="42" spans="8:8" s="24" ht="21.0" customFormat="1" customHeight="1">
      <c r="A42" s="25" t="str">
        <f t="shared" si="0"/>
        <v/>
      </c>
      <c r="B42" s="26"/>
      <c r="C42" s="26"/>
      <c r="D42" s="43"/>
      <c r="E42" s="34"/>
      <c r="F42" s="29"/>
      <c r="G42" s="29"/>
      <c r="H42" s="42"/>
      <c r="I42" s="36"/>
      <c r="J42" s="32"/>
      <c r="K42" s="32"/>
      <c r="L42" s="32"/>
      <c r="M42" s="33"/>
      <c r="N42" s="32"/>
      <c r="O42" s="32"/>
    </row>
    <row r="43" spans="8:8" s="24" ht="21.0" customFormat="1" customHeight="1">
      <c r="A43" s="25" t="str">
        <f t="shared" si="0"/>
        <v/>
      </c>
      <c r="B43" s="26"/>
      <c r="C43" s="26"/>
      <c r="D43" s="43"/>
      <c r="E43" s="34"/>
      <c r="F43" s="29"/>
      <c r="G43" s="29"/>
      <c r="H43" s="42"/>
      <c r="I43" s="36"/>
      <c r="J43" s="32"/>
      <c r="K43" s="32"/>
      <c r="L43" s="32"/>
      <c r="M43" s="33"/>
      <c r="N43" s="32"/>
      <c r="O43" s="32"/>
    </row>
    <row r="44" spans="8:8" s="24" ht="21.0" customFormat="1" customHeight="1">
      <c r="A44" s="25" t="str">
        <f t="shared" si="0"/>
        <v/>
      </c>
      <c r="B44" s="26"/>
      <c r="C44" s="26"/>
      <c r="D44" s="43"/>
      <c r="E44" s="34"/>
      <c r="F44" s="29"/>
      <c r="G44" s="29"/>
      <c r="H44" s="42"/>
      <c r="I44" s="36"/>
      <c r="J44" s="32"/>
      <c r="K44" s="32"/>
      <c r="L44" s="32"/>
      <c r="M44" s="33"/>
      <c r="N44" s="32"/>
      <c r="O44" s="32"/>
    </row>
    <row r="45" spans="8:8" s="24" ht="21.0" customFormat="1" customHeight="1">
      <c r="A45" s="25" t="str">
        <f t="shared" si="0"/>
        <v/>
      </c>
      <c r="B45" s="26"/>
      <c r="C45" s="26"/>
      <c r="D45" s="43"/>
      <c r="E45" s="34"/>
      <c r="F45" s="29"/>
      <c r="G45" s="29"/>
      <c r="H45" s="42"/>
      <c r="I45" s="36"/>
      <c r="J45" s="32"/>
      <c r="K45" s="32"/>
      <c r="L45" s="32"/>
      <c r="M45" s="33"/>
      <c r="N45" s="32"/>
      <c r="O45" s="32"/>
    </row>
    <row r="46" spans="8:8" s="24" ht="21.0" customFormat="1" customHeight="1">
      <c r="A46" s="25" t="str">
        <f t="shared" si="0"/>
        <v/>
      </c>
      <c r="B46" s="26"/>
      <c r="C46" s="26"/>
      <c r="D46" s="43"/>
      <c r="E46" s="34"/>
      <c r="F46" s="29"/>
      <c r="G46" s="29"/>
      <c r="H46" s="42"/>
      <c r="I46" s="36"/>
      <c r="J46" s="32"/>
      <c r="K46" s="32"/>
      <c r="L46" s="32"/>
      <c r="M46" s="33"/>
      <c r="N46" s="32"/>
      <c r="O46" s="32"/>
    </row>
    <row r="47" spans="8:8" s="24" ht="21.0" customFormat="1" customHeight="1">
      <c r="A47" s="25" t="str">
        <f t="shared" si="0"/>
        <v/>
      </c>
      <c r="B47" s="26"/>
      <c r="C47" s="26"/>
      <c r="D47" s="43"/>
      <c r="E47" s="34"/>
      <c r="F47" s="29"/>
      <c r="G47" s="29"/>
      <c r="H47" s="42"/>
      <c r="I47" s="36"/>
      <c r="J47" s="32"/>
      <c r="K47" s="32"/>
      <c r="L47" s="32"/>
      <c r="M47" s="33"/>
      <c r="N47" s="32"/>
      <c r="O47" s="32"/>
    </row>
    <row r="48" spans="8:8" s="24" ht="21.0" customFormat="1" customHeight="1">
      <c r="A48" s="25" t="str">
        <f t="shared" si="0"/>
        <v/>
      </c>
      <c r="B48" s="26"/>
      <c r="C48" s="26"/>
      <c r="D48" s="43"/>
      <c r="E48" s="34"/>
      <c r="F48" s="29"/>
      <c r="G48" s="29"/>
      <c r="H48" s="42"/>
      <c r="I48" s="36"/>
      <c r="J48" s="32"/>
      <c r="K48" s="32"/>
      <c r="L48" s="32"/>
      <c r="M48" s="33"/>
      <c r="N48" s="32"/>
      <c r="O48" s="32"/>
    </row>
    <row r="49" spans="8:8" s="24" ht="21.0" customFormat="1" customHeight="1">
      <c r="A49" s="25" t="str">
        <f t="shared" si="0"/>
        <v/>
      </c>
      <c r="B49" s="26"/>
      <c r="C49" s="26"/>
      <c r="D49" s="43"/>
      <c r="E49" s="34"/>
      <c r="F49" s="29"/>
      <c r="G49" s="29"/>
      <c r="H49" s="42"/>
      <c r="I49" s="36"/>
      <c r="J49" s="32"/>
      <c r="K49" s="32"/>
      <c r="L49" s="32"/>
      <c r="M49" s="33"/>
      <c r="N49" s="32"/>
      <c r="O49" s="32"/>
    </row>
    <row r="50" spans="8:8" s="24" ht="21.0" customFormat="1" customHeight="1">
      <c r="A50" s="25" t="str">
        <f t="shared" si="0"/>
        <v/>
      </c>
      <c r="B50" s="26"/>
      <c r="C50" s="26"/>
      <c r="D50" s="43"/>
      <c r="E50" s="34"/>
      <c r="F50" s="29"/>
      <c r="G50" s="29"/>
      <c r="H50" s="42"/>
      <c r="I50" s="36"/>
      <c r="J50" s="32"/>
      <c r="K50" s="32"/>
      <c r="L50" s="32"/>
      <c r="M50" s="33"/>
      <c r="N50" s="32"/>
      <c r="O50" s="32"/>
    </row>
    <row r="51" spans="8:8" s="24" ht="21.0" customFormat="1" customHeight="1">
      <c r="A51" s="25" t="str">
        <f t="shared" si="0"/>
        <v/>
      </c>
      <c r="B51" s="26"/>
      <c r="C51" s="26"/>
      <c r="D51" s="43"/>
      <c r="E51" s="34"/>
      <c r="F51" s="29"/>
      <c r="G51" s="29"/>
      <c r="H51" s="42"/>
      <c r="I51" s="36"/>
      <c r="J51" s="32"/>
      <c r="K51" s="32"/>
      <c r="L51" s="32"/>
      <c r="M51" s="33"/>
      <c r="N51" s="32"/>
      <c r="O51" s="32"/>
    </row>
    <row r="52" spans="8:8" s="24" ht="21.0" customFormat="1" customHeight="1">
      <c r="A52" s="25" t="str">
        <f t="shared" si="0"/>
        <v/>
      </c>
      <c r="B52" s="26"/>
      <c r="C52" s="26"/>
      <c r="D52" s="43"/>
      <c r="E52" s="34"/>
      <c r="F52" s="29"/>
      <c r="G52" s="29"/>
      <c r="H52" s="42"/>
      <c r="I52" s="36"/>
      <c r="J52" s="32"/>
      <c r="K52" s="32"/>
      <c r="L52" s="32"/>
      <c r="M52" s="33"/>
      <c r="N52" s="32"/>
      <c r="O52" s="32"/>
    </row>
    <row r="53" spans="8:8" s="24" ht="21.0" customFormat="1" customHeight="1">
      <c r="A53" s="25" t="str">
        <f t="shared" si="0"/>
        <v/>
      </c>
      <c r="B53" s="26"/>
      <c r="C53" s="26"/>
      <c r="D53" s="43"/>
      <c r="E53" s="34"/>
      <c r="F53" s="29"/>
      <c r="G53" s="29"/>
      <c r="H53" s="42"/>
      <c r="I53" s="36"/>
      <c r="J53" s="32"/>
      <c r="K53" s="32"/>
      <c r="L53" s="32"/>
      <c r="M53" s="33"/>
      <c r="N53" s="32"/>
      <c r="O53" s="32"/>
    </row>
    <row r="54" spans="8:8" s="24" ht="21.0" customFormat="1" customHeight="1">
      <c r="A54" s="25" t="str">
        <f t="shared" si="0"/>
        <v/>
      </c>
      <c r="B54" s="26"/>
      <c r="C54" s="26"/>
      <c r="D54" s="43"/>
      <c r="E54" s="34"/>
      <c r="F54" s="29"/>
      <c r="G54" s="29"/>
      <c r="H54" s="42"/>
      <c r="I54" s="36"/>
      <c r="J54" s="32"/>
      <c r="K54" s="32"/>
      <c r="L54" s="32"/>
      <c r="M54" s="33"/>
      <c r="N54" s="32"/>
      <c r="O54" s="32"/>
    </row>
    <row r="55" spans="8:8" s="24" ht="21.0" customFormat="1" customHeight="1">
      <c r="A55" s="25" t="str">
        <f t="shared" si="0"/>
        <v/>
      </c>
      <c r="B55" s="26"/>
      <c r="C55" s="26"/>
      <c r="D55" s="43"/>
      <c r="E55" s="34"/>
      <c r="F55" s="29"/>
      <c r="G55" s="29"/>
      <c r="H55" s="42"/>
      <c r="I55" s="36"/>
      <c r="J55" s="32"/>
      <c r="K55" s="32"/>
      <c r="L55" s="32"/>
      <c r="M55" s="33"/>
      <c r="N55" s="32"/>
      <c r="O55" s="32"/>
    </row>
    <row r="56" spans="8:8" s="24" ht="21.0" customFormat="1" customHeight="1">
      <c r="A56" s="25" t="str">
        <f t="shared" si="0"/>
        <v/>
      </c>
      <c r="B56" s="26"/>
      <c r="C56" s="26"/>
      <c r="D56" s="43"/>
      <c r="E56" s="34"/>
      <c r="F56" s="29"/>
      <c r="G56" s="29"/>
      <c r="H56" s="42"/>
      <c r="I56" s="36"/>
      <c r="J56" s="32"/>
      <c r="K56" s="32"/>
      <c r="L56" s="32"/>
      <c r="M56" s="32"/>
      <c r="N56" s="32"/>
      <c r="O56" s="32"/>
    </row>
    <row r="57" spans="8:8" s="24" ht="21.0" customFormat="1" customHeight="1">
      <c r="A57" s="25" t="str">
        <f t="shared" si="0"/>
        <v/>
      </c>
      <c r="B57" s="26"/>
      <c r="C57" s="26"/>
      <c r="D57" s="43"/>
      <c r="E57" s="34"/>
      <c r="F57" s="29"/>
      <c r="G57" s="29"/>
      <c r="H57" s="42"/>
      <c r="I57" s="36"/>
      <c r="J57" s="32"/>
      <c r="K57" s="32"/>
      <c r="L57" s="32"/>
      <c r="M57" s="32"/>
      <c r="N57" s="32"/>
      <c r="O57" s="32"/>
    </row>
    <row r="58" spans="8:8" s="24" ht="21.0" customFormat="1" customHeight="1">
      <c r="A58" s="25" t="str">
        <f t="shared" si="0"/>
        <v/>
      </c>
      <c r="B58" s="26"/>
      <c r="C58" s="26"/>
      <c r="D58" s="43"/>
      <c r="E58" s="34"/>
      <c r="F58" s="29"/>
      <c r="G58" s="29"/>
      <c r="H58" s="42"/>
      <c r="I58" s="36"/>
      <c r="J58" s="32"/>
      <c r="K58" s="32"/>
      <c r="L58" s="32"/>
      <c r="M58" s="32"/>
      <c r="N58" s="32"/>
      <c r="O58" s="32"/>
    </row>
    <row r="59" spans="8:8" s="24" ht="21.0" customFormat="1" customHeight="1">
      <c r="A59" s="25" t="str">
        <f t="shared" si="0"/>
        <v/>
      </c>
      <c r="B59" s="26"/>
      <c r="C59" s="26"/>
      <c r="D59" s="43"/>
      <c r="E59" s="34"/>
      <c r="F59" s="29"/>
      <c r="G59" s="29"/>
      <c r="H59" s="42"/>
      <c r="I59" s="36"/>
      <c r="J59" s="32"/>
      <c r="K59" s="32"/>
      <c r="L59" s="32"/>
      <c r="M59" s="32"/>
      <c r="N59" s="32"/>
      <c r="O59" s="32"/>
    </row>
    <row r="60" spans="8:8" s="24" ht="21.0" customFormat="1" customHeight="1">
      <c r="A60" s="25" t="str">
        <f t="shared" si="0"/>
        <v/>
      </c>
      <c r="B60" s="26"/>
      <c r="C60" s="26"/>
      <c r="D60" s="43"/>
      <c r="E60" s="34"/>
      <c r="F60" s="29"/>
      <c r="G60" s="29"/>
      <c r="H60" s="42"/>
      <c r="I60" s="36"/>
      <c r="J60" s="32"/>
      <c r="K60" s="32"/>
      <c r="L60" s="32"/>
      <c r="M60" s="32"/>
      <c r="N60" s="32"/>
      <c r="O60" s="32"/>
    </row>
    <row r="61" spans="8:8" s="24" ht="21.0" customFormat="1" customHeight="1">
      <c r="A61" s="25" t="str">
        <f t="shared" si="0"/>
        <v/>
      </c>
      <c r="B61" s="26"/>
      <c r="C61" s="26"/>
      <c r="D61" s="43"/>
      <c r="E61" s="34"/>
      <c r="F61" s="29"/>
      <c r="G61" s="29"/>
      <c r="H61" s="42"/>
      <c r="I61" s="36"/>
      <c r="J61" s="32"/>
      <c r="K61" s="32"/>
      <c r="L61" s="32"/>
      <c r="M61" s="32"/>
      <c r="N61" s="32"/>
      <c r="O61" s="32"/>
    </row>
    <row r="62" spans="8:8" s="24" ht="21.0" customFormat="1" customHeight="1">
      <c r="A62" s="25" t="str">
        <f t="shared" si="0"/>
        <v/>
      </c>
      <c r="B62" s="26"/>
      <c r="C62" s="26"/>
      <c r="D62" s="43"/>
      <c r="E62" s="34"/>
      <c r="F62" s="29"/>
      <c r="G62" s="29"/>
      <c r="H62" s="42"/>
      <c r="I62" s="36"/>
      <c r="J62" s="32"/>
      <c r="K62" s="32"/>
      <c r="L62" s="32"/>
      <c r="M62" s="32"/>
      <c r="N62" s="32"/>
      <c r="O62" s="32"/>
    </row>
    <row r="63" spans="8:8" s="24" ht="21.0" customFormat="1" customHeight="1">
      <c r="A63" s="25" t="str">
        <f t="shared" si="0"/>
        <v/>
      </c>
      <c r="B63" s="26"/>
      <c r="C63" s="26"/>
      <c r="D63" s="43"/>
      <c r="E63" s="34"/>
      <c r="F63" s="29"/>
      <c r="G63" s="29"/>
      <c r="H63" s="42"/>
      <c r="I63" s="36"/>
      <c r="J63" s="32"/>
      <c r="K63" s="32"/>
      <c r="L63" s="32"/>
      <c r="M63" s="32"/>
      <c r="N63" s="32"/>
      <c r="O63" s="32"/>
    </row>
    <row r="64" spans="8:8" s="24" ht="21.0" customFormat="1" customHeight="1">
      <c r="A64" s="25" t="str">
        <f t="shared" si="0"/>
        <v/>
      </c>
      <c r="B64" s="26"/>
      <c r="C64" s="26"/>
      <c r="D64" s="43"/>
      <c r="E64" s="34"/>
      <c r="F64" s="29"/>
      <c r="G64" s="29"/>
      <c r="H64" s="42"/>
      <c r="I64" s="36"/>
      <c r="J64" s="32"/>
      <c r="K64" s="32"/>
      <c r="L64" s="32"/>
      <c r="M64" s="32"/>
      <c r="N64" s="32"/>
      <c r="O64" s="32"/>
    </row>
    <row r="65" spans="8:8" s="24" ht="21.0" customFormat="1" customHeight="1">
      <c r="A65" s="25" t="str">
        <f t="shared" si="0"/>
        <v/>
      </c>
      <c r="B65" s="26"/>
      <c r="C65" s="26"/>
      <c r="D65" s="43"/>
      <c r="E65" s="34"/>
      <c r="F65" s="29"/>
      <c r="G65" s="29"/>
      <c r="H65" s="42"/>
      <c r="I65" s="36"/>
      <c r="J65" s="32"/>
      <c r="K65" s="32"/>
      <c r="L65" s="32"/>
      <c r="M65" s="32"/>
      <c r="N65" s="32"/>
      <c r="O65" s="32"/>
    </row>
    <row r="66" spans="8:8" s="24" ht="21.0" customFormat="1" customHeight="1">
      <c r="A66" s="25" t="str">
        <f t="shared" si="0"/>
        <v/>
      </c>
      <c r="B66" s="26"/>
      <c r="C66" s="26"/>
      <c r="D66" s="43"/>
      <c r="E66" s="34"/>
      <c r="F66" s="29"/>
      <c r="G66" s="29"/>
      <c r="H66" s="42"/>
      <c r="I66" s="36"/>
      <c r="J66" s="32"/>
      <c r="K66" s="32"/>
      <c r="L66" s="32"/>
      <c r="M66" s="32"/>
      <c r="N66" s="32"/>
      <c r="O66" s="32"/>
    </row>
    <row r="67" spans="8:8" s="24" ht="21.0" customFormat="1" customHeight="1">
      <c r="A67" s="25" t="str">
        <f t="shared" si="0"/>
        <v/>
      </c>
      <c r="B67" s="26"/>
      <c r="C67" s="26"/>
      <c r="D67" s="43"/>
      <c r="E67" s="34"/>
      <c r="F67" s="29"/>
      <c r="G67" s="29"/>
      <c r="H67" s="42"/>
      <c r="I67" s="36"/>
      <c r="J67" s="32"/>
      <c r="K67" s="32"/>
      <c r="L67" s="32"/>
      <c r="M67" s="32"/>
      <c r="N67" s="32"/>
      <c r="O67" s="32"/>
    </row>
    <row r="68" spans="8:8" s="24" ht="21.0" customFormat="1" customHeight="1">
      <c r="A68" s="25" t="str">
        <f t="shared" si="0"/>
        <v/>
      </c>
      <c r="B68" s="26"/>
      <c r="C68" s="26"/>
      <c r="D68" s="43"/>
      <c r="E68" s="34"/>
      <c r="F68" s="29"/>
      <c r="G68" s="29"/>
      <c r="H68" s="42"/>
      <c r="I68" s="36"/>
      <c r="J68" s="32"/>
      <c r="K68" s="32"/>
      <c r="L68" s="32"/>
      <c r="M68" s="32"/>
      <c r="N68" s="32"/>
      <c r="O68" s="32"/>
    </row>
    <row r="69" spans="8:8" s="24" ht="21.0" customFormat="1" customHeight="1">
      <c r="A69" s="25" t="str">
        <f t="shared" si="0"/>
        <v/>
      </c>
      <c r="B69" s="26"/>
      <c r="C69" s="26"/>
      <c r="D69" s="43"/>
      <c r="E69" s="34"/>
      <c r="F69" s="29"/>
      <c r="G69" s="29"/>
      <c r="H69" s="42"/>
      <c r="I69" s="36"/>
      <c r="J69" s="32"/>
      <c r="K69" s="32"/>
      <c r="L69" s="32"/>
      <c r="M69" s="32"/>
      <c r="N69" s="32"/>
      <c r="O69" s="32"/>
    </row>
    <row r="70" spans="8:8" s="24" ht="21.0" customFormat="1" customHeight="1">
      <c r="A70" s="25" t="str">
        <f t="shared" si="0"/>
        <v/>
      </c>
      <c r="B70" s="26"/>
      <c r="C70" s="26"/>
      <c r="D70" s="43"/>
      <c r="E70" s="34"/>
      <c r="F70" s="29"/>
      <c r="G70" s="29"/>
      <c r="H70" s="42"/>
      <c r="I70" s="36"/>
      <c r="J70" s="32"/>
      <c r="K70" s="32"/>
      <c r="L70" s="32"/>
      <c r="M70" s="32"/>
      <c r="N70" s="32"/>
      <c r="O70" s="32"/>
    </row>
    <row r="71" spans="8:8" s="24" ht="21.0" customFormat="1" customHeight="1">
      <c r="A71" s="25" t="str">
        <f t="shared" si="0"/>
        <v/>
      </c>
      <c r="B71" s="26"/>
      <c r="C71" s="26"/>
      <c r="D71" s="43"/>
      <c r="E71" s="34"/>
      <c r="F71" s="29"/>
      <c r="G71" s="29"/>
      <c r="H71" s="42"/>
      <c r="I71" s="36"/>
      <c r="J71" s="32"/>
      <c r="K71" s="32"/>
      <c r="L71" s="32"/>
      <c r="M71" s="32"/>
      <c r="N71" s="32"/>
      <c r="O71" s="32"/>
    </row>
    <row r="72" spans="8:8" s="24" ht="21.0" customFormat="1" customHeight="1">
      <c r="A72" s="25" t="str">
        <f t="shared" si="0"/>
        <v/>
      </c>
      <c r="B72" s="26"/>
      <c r="C72" s="26"/>
      <c r="D72" s="43"/>
      <c r="E72" s="34"/>
      <c r="F72" s="29"/>
      <c r="G72" s="29"/>
      <c r="H72" s="42"/>
      <c r="I72" s="36"/>
      <c r="J72" s="32"/>
      <c r="K72" s="32"/>
      <c r="L72" s="32"/>
      <c r="M72" s="32"/>
      <c r="N72" s="32"/>
      <c r="O72" s="32"/>
    </row>
    <row r="73" spans="8:8" s="24" ht="21.0" customFormat="1" customHeight="1">
      <c r="A73" s="25" t="str">
        <f t="shared" si="0"/>
        <v/>
      </c>
      <c r="B73" s="26"/>
      <c r="C73" s="26"/>
      <c r="D73" s="43"/>
      <c r="E73" s="34"/>
      <c r="F73" s="29"/>
      <c r="G73" s="29"/>
      <c r="H73" s="42"/>
      <c r="I73" s="36"/>
      <c r="J73" s="32"/>
      <c r="K73" s="32"/>
      <c r="L73" s="32"/>
      <c r="M73" s="32"/>
      <c r="N73" s="32"/>
      <c r="O73" s="32"/>
    </row>
    <row r="74" spans="8:8" s="24" ht="21.0" customFormat="1" customHeight="1">
      <c r="A74" s="25" t="str">
        <f t="shared" si="0"/>
        <v/>
      </c>
      <c r="B74" s="26"/>
      <c r="C74" s="26"/>
      <c r="D74" s="43"/>
      <c r="E74" s="34"/>
      <c r="F74" s="29"/>
      <c r="G74" s="29"/>
      <c r="H74" s="42"/>
      <c r="I74" s="36"/>
      <c r="J74" s="32"/>
      <c r="K74" s="32"/>
      <c r="L74" s="32"/>
      <c r="M74" s="32"/>
      <c r="N74" s="32"/>
      <c r="O74" s="32"/>
    </row>
    <row r="75" spans="8:8" s="24" ht="21.0" customFormat="1" customHeight="1">
      <c r="A75" s="25" t="str">
        <f t="shared" si="1" ref="A75:A109">IF(B75="","",A74+1)</f>
        <v/>
      </c>
      <c r="B75" s="26"/>
      <c r="C75" s="26"/>
      <c r="D75" s="43"/>
      <c r="E75" s="34"/>
      <c r="F75" s="29"/>
      <c r="G75" s="29"/>
      <c r="H75" s="42"/>
      <c r="I75" s="36"/>
      <c r="J75" s="32"/>
      <c r="K75" s="32"/>
      <c r="L75" s="32"/>
      <c r="M75" s="32"/>
      <c r="N75" s="32"/>
      <c r="O75" s="32"/>
    </row>
    <row r="76" spans="8:8" s="24" ht="21.0" customFormat="1" customHeight="1">
      <c r="A76" s="25" t="str">
        <f t="shared" si="1"/>
        <v/>
      </c>
      <c r="B76" s="26"/>
      <c r="C76" s="26"/>
      <c r="D76" s="43"/>
      <c r="E76" s="34"/>
      <c r="F76" s="29"/>
      <c r="G76" s="29"/>
      <c r="H76" s="42"/>
      <c r="I76" s="36"/>
      <c r="J76" s="32"/>
      <c r="K76" s="32"/>
      <c r="L76" s="32"/>
      <c r="M76" s="32"/>
      <c r="N76" s="32"/>
      <c r="O76" s="32"/>
    </row>
    <row r="77" spans="8:8" s="24" ht="21.0" customFormat="1" customHeight="1">
      <c r="A77" s="25" t="str">
        <f t="shared" si="1"/>
        <v/>
      </c>
      <c r="B77" s="26"/>
      <c r="C77" s="26"/>
      <c r="D77" s="43"/>
      <c r="E77" s="34"/>
      <c r="F77" s="29"/>
      <c r="G77" s="29"/>
      <c r="H77" s="42"/>
      <c r="I77" s="36"/>
      <c r="J77" s="32"/>
      <c r="K77" s="32"/>
      <c r="L77" s="32"/>
      <c r="M77" s="32"/>
      <c r="N77" s="32"/>
      <c r="O77" s="32"/>
    </row>
    <row r="78" spans="8:8" s="24" ht="21.0" customFormat="1" customHeight="1">
      <c r="A78" s="25" t="str">
        <f t="shared" si="1"/>
        <v/>
      </c>
      <c r="B78" s="26"/>
      <c r="C78" s="26"/>
      <c r="D78" s="43"/>
      <c r="E78" s="34"/>
      <c r="F78" s="29"/>
      <c r="G78" s="29"/>
      <c r="H78" s="42"/>
      <c r="I78" s="36"/>
      <c r="J78" s="32"/>
      <c r="K78" s="32"/>
      <c r="L78" s="32"/>
      <c r="M78" s="32"/>
      <c r="N78" s="32"/>
      <c r="O78" s="32"/>
    </row>
    <row r="79" spans="8:8" s="24" ht="21.0" customFormat="1" customHeight="1">
      <c r="A79" s="25" t="str">
        <f t="shared" si="1"/>
        <v/>
      </c>
      <c r="B79" s="26"/>
      <c r="C79" s="26"/>
      <c r="D79" s="43"/>
      <c r="E79" s="34"/>
      <c r="F79" s="29"/>
      <c r="G79" s="29"/>
      <c r="H79" s="42"/>
      <c r="I79" s="36"/>
      <c r="J79" s="32"/>
      <c r="K79" s="32"/>
      <c r="L79" s="32"/>
      <c r="M79" s="32"/>
      <c r="N79" s="32"/>
      <c r="O79" s="32"/>
    </row>
    <row r="80" spans="8:8" s="24" ht="21.0" customFormat="1" customHeight="1">
      <c r="A80" s="25" t="str">
        <f t="shared" si="1"/>
        <v/>
      </c>
      <c r="B80" s="26"/>
      <c r="C80" s="26"/>
      <c r="D80" s="43"/>
      <c r="E80" s="34"/>
      <c r="F80" s="29"/>
      <c r="G80" s="29"/>
      <c r="H80" s="42"/>
      <c r="I80" s="36"/>
      <c r="J80" s="32"/>
      <c r="K80" s="32"/>
      <c r="L80" s="32"/>
      <c r="M80" s="32"/>
      <c r="N80" s="32"/>
      <c r="O80" s="32"/>
    </row>
    <row r="81" spans="8:8" s="24" ht="21.0" customFormat="1" customHeight="1">
      <c r="A81" s="25" t="str">
        <f t="shared" si="1"/>
        <v/>
      </c>
      <c r="B81" s="26"/>
      <c r="C81" s="26"/>
      <c r="D81" s="43"/>
      <c r="E81" s="34"/>
      <c r="F81" s="29"/>
      <c r="G81" s="29"/>
      <c r="H81" s="42"/>
      <c r="I81" s="36"/>
      <c r="J81" s="32"/>
      <c r="K81" s="32"/>
      <c r="L81" s="32"/>
      <c r="M81" s="32"/>
      <c r="N81" s="32"/>
      <c r="O81" s="32"/>
    </row>
    <row r="82" spans="8:8" s="24" ht="21.0" customFormat="1" customHeight="1">
      <c r="A82" s="25" t="str">
        <f t="shared" si="1"/>
        <v/>
      </c>
      <c r="B82" s="26"/>
      <c r="C82" s="26"/>
      <c r="D82" s="43"/>
      <c r="E82" s="34"/>
      <c r="F82" s="29"/>
      <c r="G82" s="29"/>
      <c r="H82" s="42"/>
      <c r="I82" s="36"/>
      <c r="J82" s="32"/>
      <c r="K82" s="32"/>
      <c r="L82" s="32"/>
      <c r="M82" s="32"/>
      <c r="N82" s="32"/>
      <c r="O82" s="32"/>
    </row>
    <row r="83" spans="8:8" s="24" ht="21.0" customFormat="1" customHeight="1">
      <c r="A83" s="25" t="str">
        <f t="shared" si="1"/>
        <v/>
      </c>
      <c r="B83" s="26"/>
      <c r="C83" s="26"/>
      <c r="D83" s="43"/>
      <c r="E83" s="34"/>
      <c r="F83" s="29"/>
      <c r="G83" s="29"/>
      <c r="H83" s="42"/>
      <c r="I83" s="36"/>
      <c r="J83" s="32"/>
      <c r="K83" s="32"/>
      <c r="L83" s="32"/>
      <c r="M83" s="32"/>
      <c r="N83" s="32"/>
      <c r="O83" s="32"/>
    </row>
    <row r="84" spans="8:8" s="24" ht="21.0" customFormat="1" customHeight="1">
      <c r="A84" s="25" t="str">
        <f t="shared" si="1"/>
        <v/>
      </c>
      <c r="B84" s="26"/>
      <c r="C84" s="26"/>
      <c r="D84" s="43"/>
      <c r="E84" s="34"/>
      <c r="F84" s="29"/>
      <c r="G84" s="29"/>
      <c r="H84" s="42"/>
      <c r="I84" s="36"/>
      <c r="J84" s="32"/>
      <c r="K84" s="32"/>
      <c r="L84" s="32"/>
      <c r="M84" s="32"/>
      <c r="N84" s="32"/>
      <c r="O84" s="32"/>
    </row>
    <row r="85" spans="8:8" s="24" ht="21.0" customFormat="1" customHeight="1">
      <c r="A85" s="25" t="str">
        <f t="shared" si="1"/>
        <v/>
      </c>
      <c r="B85" s="26"/>
      <c r="C85" s="26"/>
      <c r="D85" s="43"/>
      <c r="E85" s="34"/>
      <c r="F85" s="29"/>
      <c r="G85" s="29"/>
      <c r="H85" s="42"/>
      <c r="I85" s="36"/>
      <c r="J85" s="32"/>
      <c r="K85" s="32"/>
      <c r="L85" s="32"/>
      <c r="M85" s="32"/>
      <c r="N85" s="32"/>
      <c r="O85" s="32"/>
    </row>
    <row r="86" spans="8:8" s="24" ht="21.0" customFormat="1" customHeight="1">
      <c r="A86" s="25" t="str">
        <f t="shared" si="1"/>
        <v/>
      </c>
      <c r="B86" s="26"/>
      <c r="C86" s="26"/>
      <c r="D86" s="43"/>
      <c r="E86" s="34"/>
      <c r="F86" s="29"/>
      <c r="G86" s="29"/>
      <c r="H86" s="42"/>
      <c r="I86" s="36"/>
      <c r="J86" s="32"/>
      <c r="K86" s="32"/>
      <c r="L86" s="32"/>
      <c r="M86" s="32"/>
      <c r="N86" s="32"/>
      <c r="O86" s="32"/>
    </row>
    <row r="87" spans="8:8" s="24" ht="21.0" customFormat="1" customHeight="1">
      <c r="A87" s="25" t="str">
        <f t="shared" si="1"/>
        <v/>
      </c>
      <c r="B87" s="26"/>
      <c r="C87" s="26"/>
      <c r="D87" s="43"/>
      <c r="E87" s="34"/>
      <c r="F87" s="29"/>
      <c r="G87" s="29"/>
      <c r="H87" s="42"/>
      <c r="I87" s="36"/>
      <c r="J87" s="32"/>
      <c r="K87" s="32"/>
      <c r="L87" s="32"/>
      <c r="M87" s="32"/>
      <c r="N87" s="32"/>
      <c r="O87" s="32"/>
    </row>
    <row r="88" spans="8:8" s="24" ht="21.0" customFormat="1" customHeight="1">
      <c r="A88" s="25" t="str">
        <f t="shared" si="1"/>
        <v/>
      </c>
      <c r="B88" s="26"/>
      <c r="C88" s="26"/>
      <c r="D88" s="43"/>
      <c r="E88" s="34"/>
      <c r="F88" s="29"/>
      <c r="G88" s="29"/>
      <c r="H88" s="42"/>
      <c r="I88" s="36"/>
      <c r="J88" s="32"/>
      <c r="K88" s="32"/>
      <c r="L88" s="32"/>
      <c r="M88" s="32"/>
      <c r="N88" s="32"/>
      <c r="O88" s="32"/>
    </row>
    <row r="89" spans="8:8" s="24" ht="21.0" customFormat="1" customHeight="1">
      <c r="A89" s="25" t="str">
        <f t="shared" si="1"/>
        <v/>
      </c>
      <c r="B89" s="26"/>
      <c r="C89" s="26"/>
      <c r="D89" s="43"/>
      <c r="E89" s="34"/>
      <c r="F89" s="29"/>
      <c r="G89" s="29"/>
      <c r="H89" s="42"/>
      <c r="I89" s="36"/>
      <c r="J89" s="32"/>
      <c r="K89" s="32"/>
      <c r="L89" s="32"/>
      <c r="M89" s="32"/>
      <c r="N89" s="32"/>
      <c r="O89" s="32"/>
    </row>
    <row r="90" spans="8:8" s="24" ht="21.0" customFormat="1" customHeight="1">
      <c r="A90" s="25" t="str">
        <f t="shared" si="1"/>
        <v/>
      </c>
      <c r="B90" s="26"/>
      <c r="C90" s="26"/>
      <c r="D90" s="43"/>
      <c r="E90" s="34"/>
      <c r="F90" s="29"/>
      <c r="G90" s="29"/>
      <c r="H90" s="42"/>
      <c r="I90" s="36"/>
      <c r="J90" s="32"/>
      <c r="K90" s="32"/>
      <c r="L90" s="32"/>
      <c r="M90" s="32"/>
      <c r="N90" s="32"/>
      <c r="O90" s="32"/>
    </row>
    <row r="91" spans="8:8" s="24" ht="21.0" customFormat="1" customHeight="1">
      <c r="A91" s="25" t="str">
        <f t="shared" si="1"/>
        <v/>
      </c>
      <c r="B91" s="26"/>
      <c r="C91" s="26"/>
      <c r="D91" s="43"/>
      <c r="E91" s="34"/>
      <c r="F91" s="29"/>
      <c r="G91" s="29"/>
      <c r="H91" s="42"/>
      <c r="I91" s="36"/>
      <c r="J91" s="32"/>
      <c r="K91" s="32"/>
      <c r="L91" s="32"/>
      <c r="M91" s="32"/>
      <c r="N91" s="32"/>
      <c r="O91" s="32"/>
    </row>
    <row r="92" spans="8:8" s="24" ht="21.0" customFormat="1" customHeight="1">
      <c r="A92" s="25" t="str">
        <f t="shared" si="1"/>
        <v/>
      </c>
      <c r="B92" s="26"/>
      <c r="C92" s="26"/>
      <c r="D92" s="43"/>
      <c r="E92" s="34"/>
      <c r="F92" s="29"/>
      <c r="G92" s="29"/>
      <c r="H92" s="42"/>
      <c r="I92" s="36"/>
      <c r="J92" s="32"/>
      <c r="K92" s="32"/>
      <c r="L92" s="32"/>
      <c r="M92" s="32"/>
      <c r="N92" s="32"/>
      <c r="O92" s="32"/>
    </row>
    <row r="93" spans="8:8" s="24" ht="21.0" customFormat="1" customHeight="1">
      <c r="A93" s="25" t="str">
        <f t="shared" si="1"/>
        <v/>
      </c>
      <c r="B93" s="26"/>
      <c r="C93" s="26"/>
      <c r="D93" s="43"/>
      <c r="E93" s="34"/>
      <c r="F93" s="29"/>
      <c r="G93" s="29"/>
      <c r="H93" s="42"/>
      <c r="I93" s="36"/>
      <c r="J93" s="32"/>
      <c r="K93" s="32"/>
      <c r="L93" s="32"/>
      <c r="M93" s="32"/>
      <c r="N93" s="32"/>
      <c r="O93" s="32"/>
    </row>
    <row r="94" spans="8:8" s="24" ht="21.0" customFormat="1" customHeight="1">
      <c r="A94" s="25" t="str">
        <f t="shared" si="1"/>
        <v/>
      </c>
      <c r="B94" s="26"/>
      <c r="C94" s="26"/>
      <c r="D94" s="43"/>
      <c r="E94" s="34"/>
      <c r="F94" s="29"/>
      <c r="G94" s="29"/>
      <c r="H94" s="42"/>
      <c r="I94" s="36"/>
      <c r="J94" s="32"/>
      <c r="K94" s="32"/>
      <c r="L94" s="32"/>
      <c r="M94" s="32"/>
      <c r="N94" s="32"/>
      <c r="O94" s="32"/>
    </row>
    <row r="95" spans="8:8" s="24" ht="21.0" customFormat="1" customHeight="1">
      <c r="A95" s="25" t="str">
        <f t="shared" si="1"/>
        <v/>
      </c>
      <c r="B95" s="26"/>
      <c r="C95" s="26"/>
      <c r="D95" s="43"/>
      <c r="E95" s="34"/>
      <c r="F95" s="29"/>
      <c r="G95" s="29"/>
      <c r="H95" s="42"/>
      <c r="I95" s="36"/>
      <c r="J95" s="32"/>
      <c r="K95" s="32"/>
      <c r="L95" s="32"/>
      <c r="M95" s="32"/>
      <c r="N95" s="32"/>
      <c r="O95" s="32"/>
    </row>
    <row r="96" spans="8:8" s="24" ht="21.0" customFormat="1" customHeight="1">
      <c r="A96" s="25" t="str">
        <f t="shared" si="1"/>
        <v/>
      </c>
      <c r="B96" s="26"/>
      <c r="C96" s="26"/>
      <c r="D96" s="43"/>
      <c r="E96" s="34"/>
      <c r="F96" s="29"/>
      <c r="G96" s="29"/>
      <c r="H96" s="42"/>
      <c r="I96" s="36"/>
      <c r="J96" s="32"/>
      <c r="K96" s="32"/>
      <c r="L96" s="32"/>
      <c r="M96" s="32"/>
      <c r="N96" s="32"/>
      <c r="O96" s="32"/>
    </row>
    <row r="97" spans="8:8" s="24" ht="21.0" customFormat="1" customHeight="1">
      <c r="A97" s="25" t="str">
        <f t="shared" si="1"/>
        <v/>
      </c>
      <c r="B97" s="26"/>
      <c r="C97" s="26"/>
      <c r="D97" s="43"/>
      <c r="E97" s="34"/>
      <c r="F97" s="29"/>
      <c r="G97" s="29"/>
      <c r="H97" s="42"/>
      <c r="I97" s="36"/>
      <c r="J97" s="32"/>
      <c r="K97" s="32"/>
      <c r="L97" s="32"/>
      <c r="M97" s="32"/>
      <c r="N97" s="32"/>
      <c r="O97" s="32"/>
    </row>
    <row r="98" spans="8:8" s="24" ht="21.0" customFormat="1" customHeight="1">
      <c r="A98" s="25" t="str">
        <f t="shared" si="1"/>
        <v/>
      </c>
      <c r="B98" s="26"/>
      <c r="C98" s="26"/>
      <c r="D98" s="43"/>
      <c r="E98" s="34"/>
      <c r="F98" s="29"/>
      <c r="G98" s="29"/>
      <c r="H98" s="42"/>
      <c r="I98" s="36"/>
      <c r="J98" s="32"/>
      <c r="K98" s="32"/>
      <c r="L98" s="32"/>
      <c r="M98" s="32"/>
      <c r="N98" s="32"/>
      <c r="O98" s="32"/>
    </row>
    <row r="99" spans="8:8" s="24" ht="21.0" customFormat="1" customHeight="1">
      <c r="A99" s="25" t="str">
        <f t="shared" si="1"/>
        <v/>
      </c>
      <c r="B99" s="26"/>
      <c r="C99" s="26"/>
      <c r="D99" s="43"/>
      <c r="E99" s="34"/>
      <c r="F99" s="29"/>
      <c r="G99" s="29"/>
      <c r="H99" s="42"/>
      <c r="I99" s="36"/>
      <c r="J99" s="32"/>
      <c r="K99" s="32"/>
      <c r="L99" s="32"/>
      <c r="M99" s="32"/>
      <c r="N99" s="32"/>
      <c r="O99" s="32"/>
    </row>
    <row r="100" spans="8:8" s="24" ht="21.0" customFormat="1" customHeight="1">
      <c r="A100" s="25" t="str">
        <f t="shared" si="1"/>
        <v/>
      </c>
      <c r="B100" s="26"/>
      <c r="C100" s="26"/>
      <c r="D100" s="43"/>
      <c r="E100" s="34"/>
      <c r="F100" s="29"/>
      <c r="G100" s="29"/>
      <c r="H100" s="42"/>
      <c r="I100" s="36"/>
      <c r="J100" s="32"/>
      <c r="K100" s="32"/>
      <c r="L100" s="32"/>
      <c r="M100" s="32"/>
      <c r="N100" s="32"/>
      <c r="O100" s="32"/>
    </row>
    <row r="101" spans="8:8" s="24" ht="21.0" customFormat="1" customHeight="1">
      <c r="A101" s="25" t="str">
        <f t="shared" si="1"/>
        <v/>
      </c>
      <c r="B101" s="26"/>
      <c r="C101" s="26"/>
      <c r="D101" s="43"/>
      <c r="E101" s="34"/>
      <c r="F101" s="29"/>
      <c r="G101" s="29"/>
      <c r="H101" s="42"/>
      <c r="I101" s="36"/>
      <c r="J101" s="32"/>
      <c r="K101" s="32"/>
      <c r="L101" s="32"/>
      <c r="M101" s="32"/>
      <c r="N101" s="32"/>
      <c r="O101" s="32"/>
    </row>
    <row r="102" spans="8:8" s="24" ht="21.0" customFormat="1" customHeight="1">
      <c r="A102" s="25" t="str">
        <f t="shared" si="1"/>
        <v/>
      </c>
      <c r="B102" s="26"/>
      <c r="C102" s="26"/>
      <c r="D102" s="43"/>
      <c r="E102" s="34"/>
      <c r="F102" s="29"/>
      <c r="G102" s="29"/>
      <c r="H102" s="42"/>
      <c r="I102" s="36"/>
      <c r="J102" s="32"/>
      <c r="K102" s="32"/>
      <c r="L102" s="32"/>
      <c r="M102" s="32"/>
      <c r="N102" s="32"/>
      <c r="O102" s="32"/>
    </row>
    <row r="103" spans="8:8" s="24" ht="21.0" customFormat="1" customHeight="1">
      <c r="A103" s="25" t="str">
        <f t="shared" si="1"/>
        <v/>
      </c>
      <c r="B103" s="26"/>
      <c r="C103" s="26"/>
      <c r="D103" s="43"/>
      <c r="E103" s="34"/>
      <c r="F103" s="29"/>
      <c r="G103" s="29"/>
      <c r="H103" s="42"/>
      <c r="I103" s="36"/>
      <c r="J103" s="32"/>
      <c r="K103" s="32"/>
      <c r="L103" s="32"/>
      <c r="M103" s="32"/>
      <c r="N103" s="32"/>
      <c r="O103" s="32"/>
    </row>
    <row r="104" spans="8:8" s="24" ht="21.0" customFormat="1" customHeight="1">
      <c r="A104" s="25" t="str">
        <f t="shared" si="1"/>
        <v/>
      </c>
      <c r="B104" s="26"/>
      <c r="C104" s="26"/>
      <c r="D104" s="43"/>
      <c r="E104" s="34"/>
      <c r="F104" s="29"/>
      <c r="G104" s="29"/>
      <c r="H104" s="42"/>
      <c r="I104" s="36"/>
      <c r="J104" s="32"/>
      <c r="K104" s="32"/>
      <c r="L104" s="32"/>
      <c r="M104" s="32"/>
      <c r="N104" s="32"/>
      <c r="O104" s="32"/>
    </row>
    <row r="105" spans="8:8" s="24" ht="21.0" customFormat="1" customHeight="1">
      <c r="A105" s="25" t="str">
        <f t="shared" si="1"/>
        <v/>
      </c>
      <c r="B105" s="26"/>
      <c r="C105" s="26"/>
      <c r="D105" s="43"/>
      <c r="E105" s="34"/>
      <c r="F105" s="29"/>
      <c r="G105" s="29"/>
      <c r="H105" s="42"/>
      <c r="I105" s="36"/>
      <c r="J105" s="32"/>
      <c r="K105" s="32"/>
      <c r="L105" s="32"/>
      <c r="M105" s="32"/>
      <c r="N105" s="32"/>
      <c r="O105" s="32"/>
    </row>
    <row r="106" spans="8:8" s="24" ht="21.0" customFormat="1" customHeight="1">
      <c r="A106" s="25" t="str">
        <f t="shared" si="1"/>
        <v/>
      </c>
      <c r="B106" s="26"/>
      <c r="C106" s="26"/>
      <c r="D106" s="43"/>
      <c r="E106" s="34"/>
      <c r="F106" s="29"/>
      <c r="G106" s="29"/>
      <c r="H106" s="44"/>
      <c r="I106" s="36"/>
      <c r="J106" s="32"/>
      <c r="K106" s="32"/>
      <c r="L106" s="32"/>
      <c r="M106" s="32"/>
      <c r="N106" s="32"/>
      <c r="O106" s="32"/>
    </row>
    <row r="107" spans="8:8" s="24" ht="21.0" customFormat="1" customHeight="1">
      <c r="A107" s="25" t="str">
        <f t="shared" si="1"/>
        <v/>
      </c>
      <c r="B107" s="26"/>
      <c r="C107" s="26"/>
      <c r="D107" s="43"/>
      <c r="E107" s="34"/>
      <c r="F107" s="29"/>
      <c r="G107" s="45"/>
      <c r="H107" s="46"/>
      <c r="I107" s="36"/>
      <c r="J107" s="32"/>
      <c r="K107" s="32"/>
      <c r="L107" s="32"/>
      <c r="M107" s="32"/>
      <c r="N107" s="32"/>
      <c r="O107" s="32"/>
    </row>
    <row r="108" spans="8:8" s="24" ht="21.0" customFormat="1" customHeight="1">
      <c r="A108" s="25" t="str">
        <f t="shared" si="1"/>
        <v/>
      </c>
      <c r="B108" s="26"/>
      <c r="C108" s="26"/>
      <c r="D108" s="43"/>
      <c r="E108" s="34"/>
      <c r="F108" s="29"/>
      <c r="G108" s="29"/>
      <c r="H108" s="42"/>
      <c r="I108" s="36"/>
      <c r="J108" s="32"/>
      <c r="K108" s="32"/>
      <c r="L108" s="32"/>
      <c r="M108" s="32"/>
      <c r="N108" s="32"/>
      <c r="O108" s="32"/>
    </row>
    <row r="109" spans="8:8" s="24" ht="21.0" customFormat="1" customHeight="1">
      <c r="A109" s="25" t="str">
        <f t="shared" si="1"/>
        <v/>
      </c>
      <c r="B109" s="26"/>
      <c r="C109" s="26"/>
      <c r="D109" s="43"/>
      <c r="E109" s="34"/>
      <c r="F109" s="29"/>
      <c r="G109" s="29"/>
      <c r="H109" s="42"/>
      <c r="I109" s="36"/>
      <c r="J109" s="32"/>
      <c r="K109" s="32"/>
      <c r="L109" s="32"/>
      <c r="M109" s="32"/>
      <c r="N109" s="32"/>
      <c r="O109" s="32"/>
    </row>
    <row r="110" spans="8:8" ht="39.75" customHeight="1">
      <c r="A110" s="47" t="s">
        <v>73</v>
      </c>
      <c r="B110" s="47"/>
      <c r="C110" s="47"/>
      <c r="D110" s="47"/>
      <c r="E110" s="47"/>
      <c r="F110" s="47"/>
      <c r="G110" s="47"/>
      <c r="H110" s="47"/>
    </row>
    <row r="111" spans="8:8" ht="33.0" customHeight="1">
      <c r="A111" s="48" t="s">
        <v>110</v>
      </c>
      <c r="B111" s="48"/>
      <c r="C111" s="48"/>
      <c r="D111" s="48"/>
      <c r="E111" s="48"/>
      <c r="F111" s="48"/>
      <c r="G111" s="48"/>
      <c r="H111" s="48"/>
    </row>
    <row r="112" spans="8:8" ht="80.25" customHeight="1">
      <c r="A112" s="49" t="s">
        <v>74</v>
      </c>
      <c r="B112" s="49"/>
      <c r="C112" s="49"/>
      <c r="D112" s="49"/>
      <c r="E112" s="49"/>
      <c r="F112" s="49"/>
      <c r="G112" s="49"/>
      <c r="H112" s="49"/>
    </row>
    <row r="113" spans="8:8" ht="15.0"/>
  </sheetData>
  <sheetProtection algorithmName="SHA-512" hashValue="ai3ZGAuqfwCVloH/pE7IG4AR9GkxIxdlqaqo7/WdbL4VgZkskcUvrfDI0+sdvWa/RX2PE7k72ysnvMHZnB1eDA==" saltValue="YkYhGRU3qoMzbKivmTBKIg==" spinCount="100000" sheet="1" formatCells="0"/>
  <mergeCells count="11">
    <mergeCell ref="A112:H112"/>
    <mergeCell ref="A111:H111"/>
    <mergeCell ref="A110:H110"/>
    <mergeCell ref="A1:H1"/>
    <mergeCell ref="A4:B4"/>
    <mergeCell ref="C2:E2"/>
    <mergeCell ref="A6:B6"/>
    <mergeCell ref="C4:H4"/>
    <mergeCell ref="A5:B5"/>
    <mergeCell ref="E5:G5"/>
    <mergeCell ref="E6:G6"/>
  </mergeCells>
  <dataValidations count="7">
    <dataValidation allowBlank="1" type="list" errorStyle="stop" showInputMessage="1" showErrorMessage="1" sqref="F9:F109">
      <formula1>"GPF, GPF-2004"</formula1>
    </dataValidation>
    <dataValidation allowBlank="1" type="list" errorStyle="stop" showInputMessage="1" showErrorMessage="1" sqref="H9:H109">
      <formula1>month</formula1>
    </dataValidation>
    <dataValidation allowBlank="1" type="list" errorStyle="stop" showInputMessage="1" showErrorMessage="1" sqref="I9">
      <formula1>"YES,NO"</formula1>
    </dataValidation>
    <dataValidation allowBlank="1" type="list" errorStyle="stop" showInputMessage="1" showErrorMessage="1" sqref="H5:H6">
      <formula1>"5,6,7,8,9,10,11,12,13,14,15,16,17,18,19,20,21,22,23,24,25,26,27,28,29,30"</formula1>
    </dataValidation>
    <dataValidation allowBlank="1" type="whole" operator="lessThanOrEqual" errorStyle="stop" showInputMessage="1" showErrorMessage="1" sqref="D20:D109">
      <formula1>3</formula1>
    </dataValidation>
    <dataValidation allowBlank="1" type="list" errorStyle="stop" showInputMessage="1" showErrorMessage="1" sqref="C5:C6">
      <formula1>"40,41,42,43,44,45,46,47,48,49,50,51,52,53,54,55,56,57,58,59,60,61,62,63,64,65,66,67,68,69,70,71,72,73,74,75"</formula1>
    </dataValidation>
    <dataValidation allowBlank="1" type="whole" operator="lessThanOrEqual" errorStyle="stop" showInputMessage="1" showErrorMessage="1" sqref="D9:D19">
      <formula1>9</formula1>
    </dataValidation>
  </dataValidations>
  <pageMargins left="0.7" right="0.7" top="0.75" bottom="0.75" header="0.3" footer="0.3"/>
  <drawing r:id="rId1"/>
</worksheet>
</file>

<file path=xl/worksheets/sheet2.xml><?xml version="1.0" encoding="utf-8"?>
<worksheet xmlns:r="http://schemas.openxmlformats.org/officeDocument/2006/relationships" xmlns="http://schemas.openxmlformats.org/spreadsheetml/2006/main">
  <sheetPr>
    <tabColor rgb="FFFF0000"/>
    <pageSetUpPr fitToPage="1"/>
  </sheetPr>
  <dimension ref="A1:AN43"/>
  <sheetViews>
    <sheetView workbookViewId="0" showGridLines="0">
      <selection activeCell="AK2" sqref="Y1:AK1048576"/>
    </sheetView>
  </sheetViews>
  <sheetFormatPr defaultRowHeight="15.0" defaultColWidth="0" zeroHeight="1"/>
  <cols>
    <col min="1" max="1" customWidth="1" width="4.2851562" style="2"/>
    <col min="2" max="2" customWidth="1" width="9.855469" style="2"/>
    <col min="3" max="3" customWidth="1" width="8.0" style="2"/>
    <col min="4" max="5" customWidth="1" width="6.7109375" style="2"/>
    <col min="6" max="6" hidden="1" customWidth="1" width="6.7109375" style="2"/>
    <col min="7" max="7" customWidth="1" width="7.5703125" style="2"/>
    <col min="8" max="8" customWidth="1" width="7.7109375" style="2"/>
    <col min="9" max="10" customWidth="1" width="6.7109375" style="2"/>
    <col min="11" max="11" hidden="1" customWidth="1" width="6.7109375" style="2"/>
    <col min="12" max="12" customWidth="1" width="7.2851562" style="2"/>
    <col min="13" max="13" customWidth="1" width="6.5703125" style="2"/>
    <col min="14" max="14" customWidth="1" width="6.7109375" style="2"/>
    <col min="15" max="15" customWidth="1" width="6.2851562" style="2"/>
    <col min="16" max="16" hidden="1" customWidth="1" width="6.2851562" style="2"/>
    <col min="17" max="17" customWidth="1" width="7.0" style="2"/>
    <col min="18" max="18" customWidth="1" width="7.5703125" style="2"/>
    <col min="19" max="19" customWidth="1" width="7.140625" style="2"/>
    <col min="20" max="20" hidden="1" customWidth="1" width="7.140625" style="2"/>
    <col min="21" max="21" customWidth="1" width="8.5703125" style="2"/>
    <col min="22" max="22" customWidth="1" width="8.285156" style="2"/>
    <col min="23" max="23" customWidth="1" width="10.425781" style="2"/>
    <col min="24" max="24" customWidth="1" width="2.5703125" style="2"/>
    <col min="25" max="31" hidden="1" customWidth="1" width="10.425781" style="2"/>
    <col min="32" max="37" hidden="1" customWidth="1" width="9.140625" style="2"/>
    <col min="38" max="38" customWidth="1" width="2.4257812" style="2"/>
    <col min="39" max="16384" hidden="1" customWidth="0" width="9.140625" style="2"/>
  </cols>
  <sheetData>
    <row r="1" spans="8:8" ht="27.0" customHeight="1">
      <c r="A1" s="50" t="str">
        <f>'MASTER DATA'!A1</f>
        <v>निर्माणकर्ता :-भागीरथ मल कलवानियां (कोलिया) अध्यापक L-1,MOB NO 9828789204   G.S.S.S.DASANA KHURD (MOULASAR)DEEDWANA-KUCHAMAN                                                                                            EMAIL ID.bhagirathmalkalwania@gmail.com</v>
      </c>
      <c r="B1" s="50"/>
      <c r="C1" s="50"/>
      <c r="D1" s="50"/>
      <c r="E1" s="50"/>
      <c r="F1" s="50"/>
      <c r="G1" s="50"/>
      <c r="H1" s="50"/>
      <c r="I1" s="50"/>
      <c r="J1" s="50"/>
      <c r="K1" s="50"/>
      <c r="L1" s="50"/>
      <c r="M1" s="50"/>
      <c r="N1" s="50"/>
      <c r="O1" s="50"/>
      <c r="P1" s="50"/>
      <c r="Q1" s="50"/>
      <c r="R1" s="50"/>
      <c r="S1" s="50"/>
      <c r="T1" s="50"/>
      <c r="U1" s="50"/>
      <c r="V1" s="50"/>
      <c r="W1" s="50"/>
    </row>
    <row r="2" spans="8:8" ht="17.25" customHeight="1">
      <c r="A2" s="51" t="s">
        <v>129</v>
      </c>
      <c r="B2" s="51"/>
      <c r="C2" s="51"/>
      <c r="D2" s="51"/>
      <c r="E2" s="51"/>
      <c r="F2" s="51"/>
      <c r="G2" s="51"/>
      <c r="H2" s="51"/>
      <c r="I2" s="51"/>
      <c r="J2" s="51"/>
      <c r="K2" s="51"/>
      <c r="L2" s="51"/>
      <c r="M2" s="51"/>
      <c r="N2" s="51"/>
      <c r="O2" s="51"/>
      <c r="P2" s="51"/>
      <c r="Q2" s="51"/>
      <c r="R2" s="51"/>
      <c r="S2" s="51"/>
      <c r="T2" s="51"/>
      <c r="U2" s="51"/>
      <c r="V2" s="51"/>
      <c r="W2" s="51"/>
      <c r="X2" s="52"/>
      <c r="Y2" s="52"/>
      <c r="Z2" s="52"/>
      <c r="AA2" s="52"/>
      <c r="AB2" s="52"/>
      <c r="AC2" s="53"/>
      <c r="AD2" s="53"/>
      <c r="AE2" s="53"/>
      <c r="AF2" s="2">
        <f>IF(ISNA(VLOOKUP($D$6,'MASTER DATA'!A$9:J$113,4,FALSE)),"",VLOOKUP($D$6,'MASTER DATA'!A$9:N$113,4,FALSE))</f>
        <v>4.0</v>
      </c>
      <c r="AG2" s="2" t="str">
        <f>IF(ISNA(VLOOKUP($D$6,'MASTER DATA'!A$9:J$113,6,FALSE)),"",VLOOKUP($D$6,'MASTER DATA'!A$9:N$113,6,FALSE))</f>
        <v>GPF-2004</v>
      </c>
      <c r="AH2" s="2" t="s">
        <v>9</v>
      </c>
      <c r="AI2" s="2" t="s">
        <v>2</v>
      </c>
      <c r="AJ2" s="2">
        <f>IF(ISNA(VLOOKUP($D$6,'MASTER DATA'!A$9:J$113,7,FALSE)),"",VLOOKUP($D$6,'MASTER DATA'!A$9:N$113,7,FALSE))</f>
        <v>10.0</v>
      </c>
    </row>
    <row r="3" spans="8:8" ht="18.75" customHeight="1">
      <c r="A3" s="54" t="str">
        <f>IF(AND('MASTER DATA'!C4=""),"",CONCATENATE("कार्यालय :-- ",'MASTER DATA'!C4))</f>
        <v>कार्यालय :-- राजकीय उच्च माध्यमिक विद्यालय डसाणा खुर्द,मौलासर (डीडवाना-कुचामन)</v>
      </c>
      <c r="B3" s="54"/>
      <c r="C3" s="54"/>
      <c r="D3" s="54"/>
      <c r="E3" s="54"/>
      <c r="F3" s="54"/>
      <c r="G3" s="54"/>
      <c r="H3" s="54"/>
      <c r="I3" s="54"/>
      <c r="J3" s="54"/>
      <c r="K3" s="54"/>
      <c r="L3" s="54"/>
      <c r="M3" s="54"/>
      <c r="N3" s="54"/>
      <c r="O3" s="54"/>
      <c r="P3" s="54"/>
      <c r="Q3" s="54"/>
      <c r="R3" s="54"/>
      <c r="S3" s="54"/>
      <c r="T3" s="54"/>
      <c r="U3" s="54"/>
      <c r="V3" s="54"/>
      <c r="W3" s="54"/>
      <c r="X3" s="55"/>
      <c r="Y3" s="55"/>
      <c r="Z3" s="55"/>
      <c r="AA3" s="55"/>
      <c r="AB3" s="55"/>
      <c r="AC3" s="56"/>
      <c r="AD3" s="56"/>
      <c r="AE3" s="56"/>
      <c r="AG3" s="57">
        <f>IF(ISNA(VLOOKUP($D$6,'MASTER DATA'!A$9:J$113,8,FALSE)),"",VLOOKUP($D$6,'MASTER DATA'!A$9:N$113,8,FALSE))</f>
        <v>46023.0</v>
      </c>
      <c r="AH3" s="2" t="s">
        <v>8</v>
      </c>
    </row>
    <row r="4" spans="8:8" ht="19.5" customHeight="1">
      <c r="A4" s="58" t="s">
        <v>113</v>
      </c>
      <c r="C4" s="59"/>
      <c r="D4" s="59"/>
      <c r="E4" s="59"/>
      <c r="F4" s="59"/>
      <c r="G4" s="59"/>
      <c r="H4" s="59"/>
      <c r="I4" s="59"/>
      <c r="J4" s="60" t="s">
        <v>67</v>
      </c>
      <c r="K4" s="60"/>
      <c r="L4" s="60"/>
      <c r="M4" s="60"/>
      <c r="N4" s="60"/>
      <c r="O4" s="60"/>
      <c r="P4" s="61"/>
      <c r="Q4" s="61"/>
      <c r="R4" s="61"/>
      <c r="S4" s="61"/>
      <c r="T4" s="61"/>
      <c r="U4" s="62" t="s">
        <v>69</v>
      </c>
      <c r="V4" s="63" t="s">
        <v>112</v>
      </c>
      <c r="W4" s="64"/>
      <c r="X4" s="61"/>
      <c r="Y4" s="61"/>
      <c r="Z4" s="61"/>
      <c r="AA4" s="61"/>
      <c r="AB4" s="61"/>
      <c r="AC4" s="56"/>
      <c r="AD4" s="56"/>
      <c r="AE4" s="56"/>
      <c r="AG4" s="65"/>
    </row>
    <row r="5" spans="8:8" ht="48.75" customHeight="1">
      <c r="A5" s="66" t="s">
        <v>116</v>
      </c>
      <c r="B5" s="66"/>
      <c r="C5" s="66"/>
      <c r="D5" s="66"/>
      <c r="E5" s="66"/>
      <c r="F5" s="66"/>
      <c r="G5" s="66"/>
      <c r="H5" s="66"/>
      <c r="I5" s="66"/>
      <c r="J5" s="66"/>
      <c r="K5" s="66"/>
      <c r="L5" s="66"/>
      <c r="M5" s="66"/>
      <c r="N5" s="66"/>
      <c r="O5" s="66"/>
      <c r="P5" s="66"/>
      <c r="Q5" s="66"/>
      <c r="R5" s="66"/>
      <c r="S5" s="66"/>
      <c r="T5" s="66"/>
      <c r="U5" s="66"/>
      <c r="V5" s="66"/>
      <c r="W5" s="66"/>
      <c r="X5" s="67"/>
      <c r="Y5" s="67"/>
      <c r="Z5" s="67"/>
      <c r="AA5" s="67"/>
      <c r="AB5" s="67"/>
      <c r="AC5" s="56"/>
      <c r="AD5" s="56"/>
      <c r="AE5" s="56"/>
      <c r="AG5" s="65"/>
    </row>
    <row r="6" spans="8:8" ht="18.75">
      <c r="C6" s="68" t="s">
        <v>56</v>
      </c>
      <c r="D6" s="69">
        <v>1.0</v>
      </c>
      <c r="E6" s="70" t="s">
        <v>41</v>
      </c>
      <c r="F6" s="70"/>
      <c r="G6" s="70"/>
      <c r="H6" s="70"/>
      <c r="I6" s="70"/>
      <c r="J6" s="70"/>
      <c r="K6" s="71"/>
      <c r="L6" s="72" t="str">
        <f>IF(ISNA(VLOOKUP($D$6,'MASTER DATA'!A$9:J$113,2,FALSE)),"",VLOOKUP($D$6,'MASTER DATA'!A$9:O$113,2,FALSE))</f>
        <v>KISHNA RAM</v>
      </c>
      <c r="M6" s="72"/>
      <c r="N6" s="72"/>
      <c r="O6" s="72"/>
      <c r="P6" s="72"/>
      <c r="Q6" s="72"/>
      <c r="R6" s="73" t="s">
        <v>3</v>
      </c>
      <c r="S6" s="72" t="str">
        <f>UPPER(IF(ISNA(VLOOKUP($D$6,'MASTER DATA'!A$9:J$113,3,FALSE)),"",VLOOKUP($D$6,'MASTER DATA'!A$9:O$113,3,FALSE)))</f>
        <v>SR. TEACHER</v>
      </c>
      <c r="T6" s="72"/>
      <c r="U6" s="72"/>
      <c r="V6" s="72"/>
      <c r="W6" s="72"/>
      <c r="X6" s="74"/>
      <c r="Y6" s="74"/>
      <c r="Z6" s="74"/>
      <c r="AA6" s="74"/>
      <c r="AB6" s="74"/>
      <c r="AC6" s="75"/>
      <c r="AD6" s="75"/>
      <c r="AE6" s="75"/>
    </row>
    <row r="7" spans="8:8" ht="2.25" customHeight="1">
      <c r="B7" s="76"/>
      <c r="C7" s="76"/>
      <c r="D7" s="76"/>
      <c r="E7" s="76"/>
      <c r="F7" s="76"/>
      <c r="G7" s="76"/>
      <c r="H7" s="76"/>
      <c r="I7" s="76"/>
      <c r="J7" s="76"/>
      <c r="K7" s="76"/>
      <c r="L7" s="76"/>
      <c r="M7" s="76"/>
      <c r="N7" s="76"/>
      <c r="O7" s="76"/>
      <c r="P7" s="76"/>
      <c r="Q7" s="76"/>
      <c r="R7" s="76"/>
      <c r="S7" s="76"/>
      <c r="T7" s="76"/>
      <c r="U7" s="76"/>
      <c r="V7" s="76"/>
      <c r="W7" s="76"/>
    </row>
    <row r="8" spans="8:8" ht="19.5" customHeight="1">
      <c r="A8" s="77" t="s">
        <v>19</v>
      </c>
      <c r="B8" s="77" t="s">
        <v>43</v>
      </c>
      <c r="C8" s="78" t="s">
        <v>53</v>
      </c>
      <c r="D8" s="78"/>
      <c r="E8" s="78"/>
      <c r="F8" s="78"/>
      <c r="G8" s="78"/>
      <c r="H8" s="78" t="s">
        <v>54</v>
      </c>
      <c r="I8" s="78"/>
      <c r="J8" s="78"/>
      <c r="K8" s="78"/>
      <c r="L8" s="78"/>
      <c r="M8" s="78" t="s">
        <v>49</v>
      </c>
      <c r="N8" s="78"/>
      <c r="O8" s="78"/>
      <c r="P8" s="78"/>
      <c r="Q8" s="78"/>
      <c r="R8" s="78" t="s">
        <v>50</v>
      </c>
      <c r="S8" s="78"/>
      <c r="T8" s="78"/>
      <c r="U8" s="78"/>
      <c r="V8" s="79" t="s">
        <v>57</v>
      </c>
      <c r="W8" s="79" t="s">
        <v>58</v>
      </c>
      <c r="X8" s="80"/>
      <c r="Y8" s="80"/>
      <c r="Z8" s="80"/>
      <c r="AA8" s="80"/>
      <c r="AB8" s="80"/>
      <c r="AC8" s="81"/>
      <c r="AD8" s="81"/>
      <c r="AE8" s="81"/>
    </row>
    <row r="9" spans="8:8" ht="55.5" customHeight="1">
      <c r="A9" s="77"/>
      <c r="B9" s="77"/>
      <c r="C9" s="82" t="s">
        <v>22</v>
      </c>
      <c r="D9" s="82" t="s">
        <v>45</v>
      </c>
      <c r="E9" s="82" t="s">
        <v>44</v>
      </c>
      <c r="F9" s="83" t="s">
        <v>39</v>
      </c>
      <c r="G9" s="82" t="s">
        <v>46</v>
      </c>
      <c r="H9" s="82" t="s">
        <v>22</v>
      </c>
      <c r="I9" s="82" t="s">
        <v>45</v>
      </c>
      <c r="J9" s="82" t="s">
        <v>44</v>
      </c>
      <c r="K9" s="83" t="s">
        <v>39</v>
      </c>
      <c r="L9" s="82" t="s">
        <v>46</v>
      </c>
      <c r="M9" s="82" t="s">
        <v>22</v>
      </c>
      <c r="N9" s="82" t="s">
        <v>45</v>
      </c>
      <c r="O9" s="82" t="s">
        <v>44</v>
      </c>
      <c r="P9" s="83" t="s">
        <v>39</v>
      </c>
      <c r="Q9" s="82" t="s">
        <v>46</v>
      </c>
      <c r="R9" s="82" t="s">
        <v>55</v>
      </c>
      <c r="S9" s="82" t="s">
        <v>48</v>
      </c>
      <c r="T9" s="83" t="s">
        <v>39</v>
      </c>
      <c r="U9" s="82" t="s">
        <v>47</v>
      </c>
      <c r="V9" s="79"/>
      <c r="W9" s="79"/>
      <c r="X9" s="80"/>
      <c r="Y9" s="80"/>
      <c r="Z9" s="80"/>
      <c r="AA9" s="80"/>
      <c r="AB9" s="80"/>
      <c r="AC9" s="81"/>
      <c r="AD9" s="81"/>
      <c r="AE9" s="81"/>
    </row>
    <row r="10" spans="8:8" ht="9.75" hidden="1" customHeight="1">
      <c r="A10" s="84">
        <v>1.0</v>
      </c>
      <c r="B10" s="84">
        <v>2.0</v>
      </c>
      <c r="C10" s="84">
        <v>3.0</v>
      </c>
      <c r="D10" s="84">
        <v>4.0</v>
      </c>
      <c r="E10" s="84">
        <v>5.0</v>
      </c>
      <c r="F10" s="84"/>
      <c r="G10" s="84">
        <v>6.0</v>
      </c>
      <c r="H10" s="84">
        <v>7.0</v>
      </c>
      <c r="I10" s="84">
        <v>8.0</v>
      </c>
      <c r="J10" s="84">
        <v>9.0</v>
      </c>
      <c r="K10" s="84"/>
      <c r="L10" s="84">
        <v>10.0</v>
      </c>
      <c r="M10" s="84">
        <v>11.0</v>
      </c>
      <c r="N10" s="84">
        <v>12.0</v>
      </c>
      <c r="O10" s="84">
        <v>13.0</v>
      </c>
      <c r="P10" s="84"/>
      <c r="Q10" s="84">
        <v>14.0</v>
      </c>
      <c r="R10" s="84">
        <v>15.0</v>
      </c>
      <c r="S10" s="84">
        <v>17.0</v>
      </c>
      <c r="T10" s="84"/>
      <c r="U10" s="84">
        <v>18.0</v>
      </c>
      <c r="V10" s="84">
        <v>19.0</v>
      </c>
      <c r="W10" s="84">
        <v>20.0</v>
      </c>
      <c r="X10" s="85"/>
      <c r="Y10" s="85"/>
      <c r="Z10" s="85"/>
      <c r="AA10" s="85"/>
      <c r="AB10" s="85"/>
      <c r="AC10" s="85"/>
      <c r="AD10" s="85"/>
      <c r="AE10" s="85"/>
    </row>
    <row r="11" spans="8:8" ht="16.5" customHeight="1">
      <c r="A11" s="86">
        <v>1.0</v>
      </c>
      <c r="B11" s="87">
        <f>IF(AND($D$6=""),"",AG11)</f>
        <v>46023.0</v>
      </c>
      <c r="C11" s="88">
        <f>IF(ISNA(VLOOKUP(D6,'MASTER DATA'!A$9:J$113,5,FALSE)),"",VLOOKUP($D$6,'MASTER DATA'!A$9:N$113,5,FALSE))</f>
        <v>77700.0</v>
      </c>
      <c r="D11" s="88">
        <f>IF(AND(C11=""),"",IF(AND($D$6=""),"",ROUND(C11*'MASTER DATA'!C$6%,0)))</f>
        <v>46620.0</v>
      </c>
      <c r="E11" s="88">
        <f>IF(AND(C11=""),"",IF(AND($D$6=""),"",ROUND(C11*'MASTER DATA'!H$6%,0)))</f>
        <v>7770.0</v>
      </c>
      <c r="F11" s="88" t="s">
        <v>59</v>
      </c>
      <c r="G11" s="89">
        <f t="shared" si="0" ref="G11:G16">IF(AND(C11=""),"",SUM(C11:E11))</f>
        <v>132090.0</v>
      </c>
      <c r="H11" s="88">
        <f>IF(ISNA(VLOOKUP($D$6,'MASTER DATA'!A$9:J$113,5,FALSE)),"",VLOOKUP($D$6,'MASTER DATA'!A$9:N$113,5,FALSE))</f>
        <v>77700.0</v>
      </c>
      <c r="I11" s="88">
        <f>IF(AND(H11=""),"",IF(AND($D$6=""),"",ROUND(H11*'MASTER DATA'!C$5%,0)))</f>
        <v>45066.0</v>
      </c>
      <c r="J11" s="88">
        <f>IF(AND(H11=""),"",IF(AND($D$6=""),"",ROUND(H11*'MASTER DATA'!H$5%,0)))</f>
        <v>7770.0</v>
      </c>
      <c r="K11" s="88" t="s">
        <v>40</v>
      </c>
      <c r="L11" s="89">
        <f>IF(AND(C11=""),"",SUM(H11:K11))</f>
        <v>130536.0</v>
      </c>
      <c r="M11" s="88">
        <f t="shared" si="1" ref="M11:O16">IF(AND(C11=""),"",IF(AND(H11=""),"",C11-H11))</f>
        <v>0.0</v>
      </c>
      <c r="N11" s="88">
        <f t="shared" si="1"/>
        <v>1554.0</v>
      </c>
      <c r="O11" s="88">
        <f t="shared" si="1"/>
        <v>0.0</v>
      </c>
      <c r="P11" s="88"/>
      <c r="Q11" s="89">
        <f t="shared" si="2" ref="Q11:Q16">IF(AND(G11=""),"",IF(AND(L11=""),"",G11-L11))</f>
        <v>1554.0</v>
      </c>
      <c r="R11" s="88">
        <f>IF(AND(C11=""),"",IF(OR(B11=$AH$11,B11=$AH$12,B11=$AH$13,B11=$AH$14,B11=$AH$15,B11=$AH$16),Q11-O11-S11,"0"))</f>
        <v>1399.0</v>
      </c>
      <c r="S11" s="88">
        <f t="shared" si="3" ref="S11:S16">IF(AND($D$6=""),"",IF(AND(Q11=""),"",ROUND(Q11*AJ$2%,0)))</f>
        <v>155.0</v>
      </c>
      <c r="T11" s="88"/>
      <c r="U11" s="89">
        <f t="shared" si="4" ref="U11:U16">IF(AND($D$6=""),"",IF(AND(C11=""),"",IF(AND(R11=""),"",SUM(R11,S11))))</f>
        <v>1554.0</v>
      </c>
      <c r="V11" s="89">
        <f t="shared" si="5" ref="V11:V16">IF(AND(Q11=""),"",IF(AND(U11=""),"",Q11-U11))</f>
        <v>0.0</v>
      </c>
      <c r="W11" s="90"/>
      <c r="X11" s="91"/>
      <c r="Y11" s="91">
        <f>H11/2</f>
        <v>38850.0</v>
      </c>
      <c r="Z11" s="91"/>
      <c r="AA11" s="91"/>
      <c r="AB11" s="91"/>
      <c r="AC11" s="91"/>
      <c r="AD11" s="91"/>
      <c r="AE11" s="91"/>
      <c r="AG11" s="87">
        <f>IF(ISNA(VLOOKUP($D$6,'MASTER DATA'!A$9:J$113,8,FALSE)),"",VLOOKUP($D$6,'MASTER DATA'!A$9:N$113,8,FALSE))</f>
        <v>46023.0</v>
      </c>
      <c r="AH11" s="87">
        <v>46023.0</v>
      </c>
    </row>
    <row r="12" spans="8:8" ht="16.5" customHeight="1">
      <c r="A12" s="86">
        <v>2.0</v>
      </c>
      <c r="B12" s="87">
        <f>IF(AND($D$6=""),"",IF(AND('ARREAR SHEET SINGLE EMPLOYEE'!AF$2&lt;2),"",AG12))</f>
        <v>46054.0</v>
      </c>
      <c r="C12" s="88">
        <f>IF(AND($D$6=""),"",IF(AND('ARREAR SHEET SINGLE EMPLOYEE'!AF$2&lt;2),"",'ARREAR SHEET SINGLE EMPLOYEE'!C11))</f>
        <v>77700.0</v>
      </c>
      <c r="D12" s="88">
        <f>IF(AND(C12=""),"",IF(AND($D$6=""),"",ROUND(C12*'MASTER DATA'!C$6%,0)))</f>
        <v>46620.0</v>
      </c>
      <c r="E12" s="88">
        <f>IF(AND(C12=""),"",IF(AND($D$6=""),"",ROUND(C12*'MASTER DATA'!H$6%,0)))</f>
        <v>7770.0</v>
      </c>
      <c r="F12" s="88">
        <f>IF(AND(C12=""),"",IF(AND($D$6=""),"",ROUND(Y12*'MASTER DATA'!C$6%+Y12,0)))</f>
        <v>0.0</v>
      </c>
      <c r="G12" s="89">
        <f t="shared" si="0"/>
        <v>132090.0</v>
      </c>
      <c r="H12" s="88">
        <f>IF(AND($D$6=""),"",IF(AND('ARREAR SHEET SINGLE EMPLOYEE'!AF$2&lt;2),"",H11))</f>
        <v>77700.0</v>
      </c>
      <c r="I12" s="88">
        <f>IF(AND(H12=""),"",IF(AND($D$6=""),"",ROUND(H12*'MASTER DATA'!C$5%,0)))</f>
        <v>45066.0</v>
      </c>
      <c r="J12" s="88">
        <f>IF(AND(H12=""),"",IF(AND($D$6=""),"",ROUND(H12*'MASTER DATA'!H$5%,0)))</f>
        <v>7770.0</v>
      </c>
      <c r="K12" s="88">
        <f>IF(AND(H12=""),"",IF(AND($D$6=""),"",ROUND(Y12*'MASTER DATA'!C$5%+Y12,0)))</f>
        <v>0.0</v>
      </c>
      <c r="L12" s="89">
        <f>IF(AND(C12=""),"",SUM(H12:J12))</f>
        <v>130536.0</v>
      </c>
      <c r="M12" s="88">
        <f t="shared" si="1"/>
        <v>0.0</v>
      </c>
      <c r="N12" s="88">
        <f t="shared" si="1"/>
        <v>1554.0</v>
      </c>
      <c r="O12" s="88">
        <f t="shared" si="1"/>
        <v>0.0</v>
      </c>
      <c r="P12" s="88"/>
      <c r="Q12" s="89">
        <f t="shared" si="2"/>
        <v>1554.0</v>
      </c>
      <c r="R12" s="88">
        <f t="shared" si="6" ref="R12:R16">IF(AND(C12=""),"",IF(OR(B12=$AH$11,B12=$AH$12,B12=$AH$13,B12=$AH$14,B12=$AH$15,B12=$AH$16),Q12-O12-S12,"0"))</f>
        <v>1399.0</v>
      </c>
      <c r="S12" s="88">
        <f t="shared" si="3"/>
        <v>155.0</v>
      </c>
      <c r="T12" s="88"/>
      <c r="U12" s="89">
        <f t="shared" si="4"/>
        <v>1554.0</v>
      </c>
      <c r="V12" s="89">
        <f t="shared" si="5"/>
        <v>0.0</v>
      </c>
      <c r="W12" s="90"/>
      <c r="X12" s="91"/>
      <c r="Y12" s="91"/>
      <c r="Z12" s="91"/>
      <c r="AA12" s="91"/>
      <c r="AB12" s="91"/>
      <c r="AC12" s="91"/>
      <c r="AD12" s="91"/>
      <c r="AE12" s="91"/>
      <c r="AG12" s="87">
        <f t="shared" si="7" ref="AG12:AG17">DATE(YEAR(AG11),MONTH(AG11)+1,DAY(AG11))</f>
        <v>46054.0</v>
      </c>
      <c r="AH12" s="87">
        <v>46054.0</v>
      </c>
    </row>
    <row r="13" spans="8:8" ht="16.5" customHeight="1">
      <c r="A13" s="86">
        <v>3.0</v>
      </c>
      <c r="B13" s="87">
        <f>IF(AND($D$6=""),"",IF(AND('ARREAR SHEET SINGLE EMPLOYEE'!AF$2&lt;3),"",AG13))</f>
        <v>46082.0</v>
      </c>
      <c r="C13" s="88">
        <f>IF(AND($D$6=""),"",IF(AND('ARREAR SHEET SINGLE EMPLOYEE'!AF$2&lt;3),"",'ARREAR SHEET SINGLE EMPLOYEE'!C12))</f>
        <v>77700.0</v>
      </c>
      <c r="D13" s="88">
        <f>IF(AND(C13=""),"",IF(AND($D$6=""),"",ROUND(C13*'MASTER DATA'!C$6%,0)))</f>
        <v>46620.0</v>
      </c>
      <c r="E13" s="88">
        <f>IF(AND(C13=""),"",IF(AND($D$6=""),"",ROUND(C13*'MASTER DATA'!H$6%,0)))</f>
        <v>7770.0</v>
      </c>
      <c r="F13" s="88">
        <f>IF(AND(C13=""),"",IF(AND($D$6=""),"",ROUND(Y13*'MASTER DATA'!C$6%+Y13,0)))</f>
        <v>0.0</v>
      </c>
      <c r="G13" s="89">
        <f t="shared" si="0"/>
        <v>132090.0</v>
      </c>
      <c r="H13" s="88">
        <f>IF(AND($D$6=""),"",IF(AND('ARREAR SHEET SINGLE EMPLOYEE'!AF$2&lt;3),"",H12))</f>
        <v>77700.0</v>
      </c>
      <c r="I13" s="88">
        <f>IF(AND(H13=""),"",IF(AND($D$6=""),"",ROUND(H13*'MASTER DATA'!C$5%,0)))</f>
        <v>45066.0</v>
      </c>
      <c r="J13" s="88">
        <f>IF(AND(H13=""),"",IF(AND($D$6=""),"",ROUND(H13*'MASTER DATA'!H$5%,0)))</f>
        <v>7770.0</v>
      </c>
      <c r="K13" s="88">
        <f>IF(AND(H13=""),"",IF(AND($D$6=""),"",ROUND(Y13*'MASTER DATA'!C$5%+Y13,0)))</f>
        <v>0.0</v>
      </c>
      <c r="L13" s="89">
        <f>IF(AND(C13=""),"",SUM(H13:J13))</f>
        <v>130536.0</v>
      </c>
      <c r="M13" s="88">
        <f t="shared" si="1"/>
        <v>0.0</v>
      </c>
      <c r="N13" s="88">
        <f t="shared" si="1"/>
        <v>1554.0</v>
      </c>
      <c r="O13" s="88">
        <f t="shared" si="1"/>
        <v>0.0</v>
      </c>
      <c r="P13" s="88"/>
      <c r="Q13" s="89">
        <f t="shared" si="2"/>
        <v>1554.0</v>
      </c>
      <c r="R13" s="88">
        <f t="shared" si="6"/>
        <v>1399.0</v>
      </c>
      <c r="S13" s="88">
        <f t="shared" si="3"/>
        <v>155.0</v>
      </c>
      <c r="T13" s="88"/>
      <c r="U13" s="89">
        <f t="shared" si="4"/>
        <v>1554.0</v>
      </c>
      <c r="V13" s="89">
        <f t="shared" si="5"/>
        <v>0.0</v>
      </c>
      <c r="W13" s="90"/>
      <c r="X13" s="91"/>
      <c r="Y13" s="91"/>
      <c r="Z13" s="91"/>
      <c r="AA13" s="91"/>
      <c r="AB13" s="91"/>
      <c r="AC13" s="91"/>
      <c r="AD13" s="91"/>
      <c r="AE13" s="91"/>
      <c r="AG13" s="87">
        <f t="shared" si="7"/>
        <v>46082.0</v>
      </c>
      <c r="AH13" s="87">
        <v>46082.0</v>
      </c>
    </row>
    <row r="14" spans="8:8" ht="16.5" customHeight="1">
      <c r="A14" s="86">
        <v>4.0</v>
      </c>
      <c r="B14" s="87">
        <f>IF(AND($D$6=""),"",IF(AND('ARREAR SHEET SINGLE EMPLOYEE'!AF$2&lt;4),"",AG14))</f>
        <v>46113.0</v>
      </c>
      <c r="C14" s="88">
        <f>IF(AND($D$6=""),"",IF(AND('ARREAR SHEET SINGLE EMPLOYEE'!AF$2&lt;4),"",'ARREAR SHEET SINGLE EMPLOYEE'!C13))</f>
        <v>77700.0</v>
      </c>
      <c r="D14" s="88">
        <f>IF(AND(C14=""),"",IF(AND($D$6=""),"",ROUND(C14*'MASTER DATA'!C$6%,0)))</f>
        <v>46620.0</v>
      </c>
      <c r="E14" s="88">
        <f>IF(AND(C14=""),"",IF(AND($D$6=""),"",ROUND(C14*'MASTER DATA'!H$6%,0)))</f>
        <v>7770.0</v>
      </c>
      <c r="F14" s="88">
        <f>IF(AND(C14=""),"",IF(AND($D$6=""),"",ROUND(Y14*'MASTER DATA'!C$6%+Y14,0)))</f>
        <v>0.0</v>
      </c>
      <c r="G14" s="89">
        <f t="shared" si="0"/>
        <v>132090.0</v>
      </c>
      <c r="H14" s="88">
        <f>IF(AND($D$6=""),"",IF(AND('ARREAR SHEET SINGLE EMPLOYEE'!AF$2&lt;4),"",H13))</f>
        <v>77700.0</v>
      </c>
      <c r="I14" s="88">
        <f>IF(AND(H14=""),"",IF(AND($D$6=""),"",ROUND(H14*'MASTER DATA'!C$5%,0)))</f>
        <v>45066.0</v>
      </c>
      <c r="J14" s="88">
        <f>IF(AND(H14=""),"",IF(AND($D$6=""),"",ROUND(H14*'MASTER DATA'!H$5%,0)))</f>
        <v>7770.0</v>
      </c>
      <c r="K14" s="88">
        <f>IF(AND(H14=""),"",IF(AND($D$6=""),"",ROUND(Y14*'MASTER DATA'!C$5%+Y14,0)))</f>
        <v>0.0</v>
      </c>
      <c r="L14" s="89">
        <f>IF(AND(C14=""),"",SUM(H14:J14))</f>
        <v>130536.0</v>
      </c>
      <c r="M14" s="88">
        <f t="shared" si="1"/>
        <v>0.0</v>
      </c>
      <c r="N14" s="88">
        <f t="shared" si="1"/>
        <v>1554.0</v>
      </c>
      <c r="O14" s="88">
        <f t="shared" si="1"/>
        <v>0.0</v>
      </c>
      <c r="P14" s="88"/>
      <c r="Q14" s="89">
        <f t="shared" si="2"/>
        <v>1554.0</v>
      </c>
      <c r="R14" s="88">
        <f t="shared" si="6"/>
        <v>1399.0</v>
      </c>
      <c r="S14" s="88">
        <f t="shared" si="3"/>
        <v>155.0</v>
      </c>
      <c r="T14" s="88"/>
      <c r="U14" s="89">
        <f t="shared" si="4"/>
        <v>1554.0</v>
      </c>
      <c r="V14" s="89">
        <f t="shared" si="5"/>
        <v>0.0</v>
      </c>
      <c r="W14" s="90"/>
      <c r="X14" s="91"/>
      <c r="Y14" s="91"/>
      <c r="Z14" s="91"/>
      <c r="AA14" s="91"/>
      <c r="AB14" s="91"/>
      <c r="AC14" s="91"/>
      <c r="AD14" s="91"/>
      <c r="AE14" s="91"/>
      <c r="AG14" s="87">
        <f t="shared" si="7"/>
        <v>46113.0</v>
      </c>
      <c r="AH14" s="87">
        <v>46113.0</v>
      </c>
    </row>
    <row r="15" spans="8:8" ht="16.5" customHeight="1">
      <c r="A15" s="86">
        <v>5.0</v>
      </c>
      <c r="B15" s="87" t="str">
        <f>IF(AND($D$6=""),"",IF(AND('ARREAR SHEET SINGLE EMPLOYEE'!AF$2&lt;5),"",AG15))</f>
        <v/>
      </c>
      <c r="C15" s="88" t="str">
        <f>IF(AND($D$6=""),"",IF(AND('ARREAR SHEET SINGLE EMPLOYEE'!AF$2&lt;5),"",'ARREAR SHEET SINGLE EMPLOYEE'!C14))</f>
        <v/>
      </c>
      <c r="D15" s="88" t="str">
        <f>IF(AND(C15=""),"",IF(AND($D$6=""),"",ROUND(C15*'MASTER DATA'!C$6%,0)))</f>
        <v/>
      </c>
      <c r="E15" s="88" t="str">
        <f>IF(AND(C15=""),"",IF(AND($D$6=""),"",ROUND(C15*'MASTER DATA'!H$6%,0)))</f>
        <v/>
      </c>
      <c r="F15" s="88" t="str">
        <f>IF(AND(C15=""),"",IF(AND($D$6=""),"",ROUND(Y15*'MASTER DATA'!C$6%+Y15,0)))</f>
        <v/>
      </c>
      <c r="G15" s="88" t="str">
        <f t="shared" si="0"/>
        <v/>
      </c>
      <c r="H15" s="88" t="str">
        <f>IF(AND($D$6=""),"",IF(AND('ARREAR SHEET SINGLE EMPLOYEE'!AF$2&lt;5),"",H14))</f>
        <v/>
      </c>
      <c r="I15" s="88" t="str">
        <f>IF(AND(H15=""),"",IF(AND($D$6=""),"",ROUND(H15*'MASTER DATA'!C$5%,0)))</f>
        <v/>
      </c>
      <c r="J15" s="88" t="str">
        <f>IF(AND(H15=""),"",IF(AND($D$6=""),"",ROUND(H15*'MASTER DATA'!H$5%,0)))</f>
        <v/>
      </c>
      <c r="K15" s="88"/>
      <c r="L15" s="88" t="str">
        <f>IF(AND(C15=""),"",SUM(H15:J15))</f>
        <v/>
      </c>
      <c r="M15" s="88" t="str">
        <f t="shared" si="1"/>
        <v/>
      </c>
      <c r="N15" s="88" t="str">
        <f t="shared" si="1"/>
        <v/>
      </c>
      <c r="O15" s="88" t="str">
        <f t="shared" si="1"/>
        <v/>
      </c>
      <c r="P15" s="88"/>
      <c r="Q15" s="88" t="str">
        <f t="shared" si="2"/>
        <v/>
      </c>
      <c r="R15" s="88" t="str">
        <f t="shared" si="6"/>
        <v/>
      </c>
      <c r="S15" s="88" t="str">
        <f t="shared" si="3"/>
        <v/>
      </c>
      <c r="T15" s="88"/>
      <c r="U15" s="88" t="str">
        <f t="shared" si="4"/>
        <v/>
      </c>
      <c r="V15" s="88" t="str">
        <f t="shared" si="5"/>
        <v/>
      </c>
      <c r="W15" s="90"/>
      <c r="X15" s="91"/>
      <c r="Y15" s="91"/>
      <c r="Z15" s="91"/>
      <c r="AA15" s="91"/>
      <c r="AB15" s="91"/>
      <c r="AC15" s="91"/>
      <c r="AD15" s="91"/>
      <c r="AE15" s="91"/>
      <c r="AG15" s="87">
        <f t="shared" si="7"/>
        <v>46143.0</v>
      </c>
      <c r="AH15" s="87"/>
    </row>
    <row r="16" spans="8:8" ht="16.5" customHeight="1">
      <c r="A16" s="86">
        <v>6.0</v>
      </c>
      <c r="B16" s="87" t="str">
        <f>IF(AND($D$6=""),"",IF(AND('ARREAR SHEET SINGLE EMPLOYEE'!AF$2&lt;6),"",AG16))</f>
        <v/>
      </c>
      <c r="C16" s="88" t="str">
        <f>IF(AND($D$6=""),"",IF(AND('ARREAR SHEET SINGLE EMPLOYEE'!AF$2&lt;6),"",'ARREAR SHEET SINGLE EMPLOYEE'!C15))</f>
        <v/>
      </c>
      <c r="D16" s="88" t="str">
        <f>IF(AND(C16=""),"",IF(AND($D$6=""),"",ROUND(C16*'MASTER DATA'!C$6%,0)))</f>
        <v/>
      </c>
      <c r="E16" s="88" t="str">
        <f>IF(AND(C16=""),"",IF(AND($D$6=""),"",ROUND(C16*'MASTER DATA'!H$6%,0)))</f>
        <v/>
      </c>
      <c r="F16" s="88" t="str">
        <f>IF(AND(C16=""),"",IF(AND($D$6=""),"",ROUND(Y16*'MASTER DATA'!C$6%+Y16,0)))</f>
        <v/>
      </c>
      <c r="G16" s="88" t="str">
        <f t="shared" si="0"/>
        <v/>
      </c>
      <c r="H16" s="88" t="str">
        <f>IF(AND($D$6=""),"",IF(AND('ARREAR SHEET SINGLE EMPLOYEE'!AF$2&lt;6),"",H15))</f>
        <v/>
      </c>
      <c r="I16" s="88" t="str">
        <f>IF(AND(H16=""),"",IF(AND($D$6=""),"",ROUND(H16*'MASTER DATA'!C$5%,0)))</f>
        <v/>
      </c>
      <c r="J16" s="88" t="str">
        <f>IF(AND(H16=""),"",IF(AND($D$6=""),"",ROUND(H16*'MASTER DATA'!H$5%,0)))</f>
        <v/>
      </c>
      <c r="K16" s="88"/>
      <c r="L16" s="88" t="str">
        <f>IF(AND(C16=""),"",SUM(H16:J16))</f>
        <v/>
      </c>
      <c r="M16" s="88" t="str">
        <f t="shared" si="1"/>
        <v/>
      </c>
      <c r="N16" s="88" t="str">
        <f t="shared" si="1"/>
        <v/>
      </c>
      <c r="O16" s="88" t="str">
        <f t="shared" si="1"/>
        <v/>
      </c>
      <c r="P16" s="88"/>
      <c r="Q16" s="88" t="str">
        <f t="shared" si="2"/>
        <v/>
      </c>
      <c r="R16" s="88" t="str">
        <f t="shared" si="6"/>
        <v/>
      </c>
      <c r="S16" s="88" t="str">
        <f t="shared" si="3"/>
        <v/>
      </c>
      <c r="T16" s="88"/>
      <c r="U16" s="88" t="str">
        <f t="shared" si="4"/>
        <v/>
      </c>
      <c r="V16" s="88" t="str">
        <f t="shared" si="5"/>
        <v/>
      </c>
      <c r="W16" s="90"/>
      <c r="X16" s="91"/>
      <c r="Y16" s="91"/>
      <c r="Z16" s="91"/>
      <c r="AA16" s="91"/>
      <c r="AB16" s="91"/>
      <c r="AC16" s="91"/>
      <c r="AD16" s="91"/>
      <c r="AE16" s="91"/>
      <c r="AG16" s="87">
        <f t="shared" si="7"/>
        <v>46174.0</v>
      </c>
      <c r="AH16" s="87"/>
    </row>
    <row r="17" spans="8:8" ht="19.5" customHeight="1">
      <c r="A17" s="92" t="s">
        <v>0</v>
      </c>
      <c r="B17" s="92"/>
      <c r="C17" s="93">
        <f>IF(AND($D$6=""),"",SUM(C11:C16))</f>
        <v>310800.0</v>
      </c>
      <c r="D17" s="93">
        <f t="shared" si="8" ref="D17:V17">IF(AND($D$6=""),"",SUM(D11:D16))</f>
        <v>186480.0</v>
      </c>
      <c r="E17" s="93">
        <f t="shared" si="8"/>
        <v>31080.0</v>
      </c>
      <c r="F17" s="93"/>
      <c r="G17" s="93">
        <f t="shared" si="8"/>
        <v>528360.0</v>
      </c>
      <c r="H17" s="93">
        <f t="shared" si="8"/>
        <v>310800.0</v>
      </c>
      <c r="I17" s="93">
        <f t="shared" si="8"/>
        <v>180264.0</v>
      </c>
      <c r="J17" s="93">
        <f t="shared" si="8"/>
        <v>31080.0</v>
      </c>
      <c r="K17" s="93"/>
      <c r="L17" s="93">
        <f t="shared" si="8"/>
        <v>522144.0</v>
      </c>
      <c r="M17" s="93">
        <f t="shared" si="8"/>
        <v>0.0</v>
      </c>
      <c r="N17" s="93">
        <f t="shared" si="8"/>
        <v>6216.0</v>
      </c>
      <c r="O17" s="93">
        <f t="shared" si="8"/>
        <v>0.0</v>
      </c>
      <c r="P17" s="93"/>
      <c r="Q17" s="93">
        <f t="shared" si="8"/>
        <v>6216.0</v>
      </c>
      <c r="R17" s="93">
        <f t="shared" si="8"/>
        <v>5596.0</v>
      </c>
      <c r="S17" s="93">
        <f t="shared" si="8"/>
        <v>620.0</v>
      </c>
      <c r="T17" s="93"/>
      <c r="U17" s="93">
        <f t="shared" si="8"/>
        <v>6216.0</v>
      </c>
      <c r="V17" s="93">
        <f t="shared" si="8"/>
        <v>0.0</v>
      </c>
      <c r="W17" s="94"/>
      <c r="X17" s="95"/>
      <c r="Y17" s="95"/>
      <c r="Z17" s="95"/>
      <c r="AA17" s="95"/>
      <c r="AB17" s="95"/>
      <c r="AC17" s="95"/>
      <c r="AD17" s="95"/>
      <c r="AE17" s="95"/>
      <c r="AG17" s="87">
        <f t="shared" si="7"/>
        <v>46204.0</v>
      </c>
      <c r="AH17" s="87"/>
    </row>
    <row r="18" spans="8:8" ht="20.25" customHeight="1">
      <c r="A18" s="96" t="str">
        <f>IF(AG2="GPF","जी.पी.एफ.में जमा राशि शब्दों में   :-","जी.पी.एफ. -2004 में जमा राशि शब्दों में  :-")</f>
        <v>जी.पी.एफ. -2004 में जमा राशि शब्दों में  :-</v>
      </c>
      <c r="B18" s="96"/>
      <c r="C18" s="96"/>
      <c r="D18" s="96"/>
      <c r="E18" s="96"/>
      <c r="F18" s="96"/>
      <c r="G18" s="96"/>
      <c r="H18" s="96"/>
      <c r="I18" s="97"/>
      <c r="K18" s="98"/>
      <c r="X18" s="99"/>
      <c r="Y18" s="99"/>
      <c r="Z18" s="99"/>
      <c r="AA18" s="99"/>
      <c r="AB18" s="99"/>
      <c r="AC18" s="100"/>
      <c r="AD18" s="100"/>
      <c r="AE18" s="100"/>
      <c r="AG18" s="87"/>
      <c r="AH18" s="87"/>
    </row>
    <row r="19" spans="8:8" ht="18.75" customHeight="1">
      <c r="A19" s="101" t="s">
        <v>93</v>
      </c>
      <c r="B19" s="101"/>
      <c r="C19" s="101"/>
      <c r="D19" s="101"/>
      <c r="E19" s="101"/>
      <c r="F19" s="101"/>
      <c r="G19" s="101"/>
      <c r="H19" s="101"/>
      <c r="I19" s="97"/>
      <c r="K19" s="98"/>
      <c r="X19" s="99"/>
      <c r="Y19" s="99"/>
      <c r="Z19" s="99"/>
      <c r="AA19" s="99"/>
      <c r="AB19" s="99"/>
      <c r="AC19" s="100"/>
      <c r="AD19" s="100"/>
      <c r="AE19" s="100"/>
      <c r="AG19" s="87"/>
      <c r="AH19" s="87"/>
    </row>
    <row r="20" spans="8:8" ht="5.25" customHeight="1">
      <c r="A20" s="102"/>
      <c r="B20" s="103"/>
      <c r="C20" s="104"/>
      <c r="D20" s="104"/>
      <c r="E20" s="105"/>
      <c r="F20" s="105"/>
      <c r="G20" s="105"/>
      <c r="H20" s="105"/>
      <c r="I20" s="105"/>
      <c r="J20" s="105"/>
      <c r="K20" s="105"/>
      <c r="L20" s="106"/>
      <c r="M20" s="106"/>
      <c r="N20" s="106"/>
      <c r="O20" s="106"/>
      <c r="P20" s="106"/>
      <c r="Q20" s="106"/>
      <c r="R20" s="106"/>
      <c r="S20" s="106"/>
      <c r="T20" s="106"/>
      <c r="U20" s="106"/>
      <c r="V20" s="106"/>
      <c r="W20" s="106"/>
      <c r="X20" s="106"/>
      <c r="Y20" s="106"/>
      <c r="Z20" s="106"/>
      <c r="AA20" s="106"/>
      <c r="AB20" s="106"/>
      <c r="AC20" s="107"/>
      <c r="AD20" s="107"/>
      <c r="AE20" s="107"/>
      <c r="AG20" s="87"/>
      <c r="AH20" s="87"/>
    </row>
    <row r="21" spans="8:8" ht="20.25" customHeight="1">
      <c r="A21" s="102"/>
      <c r="B21" s="108" t="s">
        <v>87</v>
      </c>
      <c r="C21" s="108"/>
      <c r="D21" s="108"/>
      <c r="E21" s="109" t="s">
        <v>88</v>
      </c>
      <c r="F21" s="108"/>
      <c r="G21" s="108"/>
      <c r="H21" s="108"/>
      <c r="I21" s="110" t="s">
        <v>89</v>
      </c>
      <c r="J21" s="110"/>
      <c r="K21" s="110"/>
      <c r="L21" s="110"/>
      <c r="M21" s="111" t="s">
        <v>90</v>
      </c>
      <c r="N21" s="111"/>
      <c r="O21" s="112" t="s">
        <v>91</v>
      </c>
      <c r="P21" s="112"/>
      <c r="Q21" s="112"/>
      <c r="R21" s="113"/>
      <c r="S21" s="113"/>
      <c r="T21" s="113"/>
      <c r="U21" s="113"/>
      <c r="V21" s="113"/>
      <c r="W21" s="104"/>
      <c r="X21" s="104"/>
      <c r="Y21" s="104"/>
      <c r="Z21" s="104"/>
      <c r="AA21" s="104"/>
      <c r="AB21" s="104"/>
      <c r="AC21" s="104"/>
      <c r="AD21" s="104"/>
      <c r="AE21" s="104"/>
      <c r="AG21" s="87"/>
      <c r="AH21" s="87"/>
    </row>
    <row r="22" spans="8:8" ht="18.75">
      <c r="A22" s="102"/>
      <c r="B22" s="114" t="s">
        <v>13</v>
      </c>
      <c r="C22" s="114" t="s">
        <v>11</v>
      </c>
      <c r="D22" s="115" t="s">
        <v>12</v>
      </c>
      <c r="E22" s="116" t="s">
        <v>13</v>
      </c>
      <c r="F22" s="114"/>
      <c r="G22" s="115" t="s">
        <v>11</v>
      </c>
      <c r="H22" s="114" t="s">
        <v>12</v>
      </c>
      <c r="I22" s="114" t="s">
        <v>13</v>
      </c>
      <c r="J22" s="115" t="s">
        <v>11</v>
      </c>
      <c r="K22" s="115"/>
      <c r="L22" s="114" t="s">
        <v>12</v>
      </c>
      <c r="M22" s="111"/>
      <c r="N22" s="111"/>
      <c r="O22" s="112"/>
      <c r="P22" s="112"/>
      <c r="Q22" s="112"/>
      <c r="R22" s="113"/>
      <c r="S22" s="113"/>
      <c r="T22" s="113"/>
      <c r="U22" s="113"/>
      <c r="V22" s="113"/>
      <c r="W22" s="104"/>
      <c r="X22" s="104"/>
      <c r="Y22" s="104"/>
      <c r="Z22" s="104"/>
      <c r="AA22" s="104"/>
      <c r="AB22" s="104"/>
      <c r="AC22" s="104"/>
      <c r="AD22" s="104"/>
      <c r="AE22" s="104"/>
      <c r="AG22" s="87"/>
      <c r="AH22" s="87"/>
    </row>
    <row r="23" spans="8:8" ht="18.75">
      <c r="A23" s="102"/>
      <c r="B23" s="117">
        <f>C17</f>
        <v>310800.0</v>
      </c>
      <c r="C23" s="117">
        <f>D17</f>
        <v>186480.0</v>
      </c>
      <c r="D23" s="117">
        <f>E17</f>
        <v>31080.0</v>
      </c>
      <c r="E23" s="118">
        <f>H17</f>
        <v>310800.0</v>
      </c>
      <c r="F23" s="117"/>
      <c r="G23" s="117">
        <f>I17</f>
        <v>180264.0</v>
      </c>
      <c r="H23" s="117">
        <f>J17</f>
        <v>31080.0</v>
      </c>
      <c r="I23" s="119">
        <f>B23-E23</f>
        <v>0.0</v>
      </c>
      <c r="J23" s="119">
        <f>C23-G23</f>
        <v>6216.0</v>
      </c>
      <c r="K23" s="119"/>
      <c r="L23" s="119">
        <f>D23-H23</f>
        <v>0.0</v>
      </c>
      <c r="M23" s="120">
        <f>R17</f>
        <v>5596.0</v>
      </c>
      <c r="N23" s="120"/>
      <c r="O23" s="120">
        <f>V17</f>
        <v>0.0</v>
      </c>
      <c r="P23" s="120"/>
      <c r="Q23" s="120"/>
      <c r="R23" s="113"/>
      <c r="S23" s="113"/>
      <c r="T23" s="113"/>
      <c r="U23" s="113"/>
      <c r="V23" s="113"/>
      <c r="W23" s="104"/>
      <c r="X23" s="104"/>
      <c r="Y23" s="104"/>
      <c r="Z23" s="104"/>
      <c r="AA23" s="104"/>
      <c r="AB23" s="104"/>
      <c r="AC23" s="104"/>
      <c r="AD23" s="104"/>
      <c r="AE23" s="104"/>
    </row>
    <row r="24" spans="8:8" ht="1.5" customHeight="1">
      <c r="A24" s="102"/>
      <c r="B24" s="121"/>
      <c r="C24" s="121"/>
      <c r="D24" s="121"/>
      <c r="E24" s="121"/>
      <c r="F24" s="121"/>
      <c r="G24" s="121"/>
      <c r="H24" s="121"/>
      <c r="I24" s="121"/>
      <c r="J24" s="121"/>
      <c r="K24" s="121"/>
      <c r="L24" s="121"/>
      <c r="M24" s="113"/>
      <c r="N24" s="113"/>
      <c r="O24" s="113"/>
      <c r="P24" s="113"/>
      <c r="Q24" s="113"/>
      <c r="X24" s="122"/>
      <c r="Y24" s="122"/>
      <c r="Z24" s="122"/>
      <c r="AA24" s="122"/>
      <c r="AB24" s="122"/>
      <c r="AC24" s="123"/>
      <c r="AD24" s="123"/>
      <c r="AE24" s="123"/>
    </row>
    <row r="25" spans="8:8" ht="13.5" customHeight="1">
      <c r="I25" s="124"/>
      <c r="J25" s="125"/>
      <c r="K25" s="125"/>
      <c r="L25" s="125"/>
      <c r="M25" s="126"/>
      <c r="N25" s="126"/>
      <c r="O25" s="126"/>
      <c r="P25" s="127"/>
      <c r="R25" s="128"/>
      <c r="S25" s="129"/>
      <c r="T25" s="130" t="s">
        <v>71</v>
      </c>
      <c r="U25" s="131"/>
      <c r="V25" s="129" t="s">
        <v>71</v>
      </c>
      <c r="W25" s="128"/>
      <c r="X25" s="122"/>
      <c r="Y25" s="122"/>
      <c r="Z25" s="122"/>
      <c r="AA25" s="122"/>
      <c r="AB25" s="122"/>
      <c r="AC25" s="123"/>
      <c r="AD25" s="123"/>
      <c r="AE25" s="123"/>
    </row>
    <row r="26" spans="8:8" ht="15.75" customHeight="1">
      <c r="I26" s="132"/>
      <c r="J26" s="133"/>
      <c r="K26" s="133"/>
      <c r="S26" s="129"/>
      <c r="T26" s="130" t="s">
        <v>72</v>
      </c>
      <c r="U26" s="134"/>
      <c r="V26" s="129" t="s">
        <v>72</v>
      </c>
    </row>
    <row r="27" spans="8:8" ht="18.75" customHeight="1">
      <c r="A27" s="135" t="str">
        <f>A4</f>
        <v>क्रमांक:--डखू/DA/   /----/---/</v>
      </c>
      <c r="B27" s="135"/>
      <c r="C27" s="135"/>
      <c r="D27" s="135"/>
      <c r="E27" s="135"/>
      <c r="F27" s="135"/>
      <c r="G27" s="135"/>
      <c r="H27" s="135"/>
      <c r="I27" s="136"/>
      <c r="J27" s="137"/>
      <c r="K27" s="137"/>
      <c r="S27" s="138"/>
      <c r="T27" s="138"/>
      <c r="U27" s="139" t="s">
        <v>86</v>
      </c>
      <c r="V27" s="140" t="str">
        <f>V4</f>
        <v>  -   -20</v>
      </c>
      <c r="W27" s="140"/>
    </row>
    <row r="28" spans="8:8" ht="13.5" customHeight="1">
      <c r="A28" s="141" t="s">
        <v>61</v>
      </c>
      <c r="B28" s="132"/>
      <c r="C28" s="132"/>
      <c r="D28" s="132"/>
      <c r="E28" s="132"/>
      <c r="F28" s="132"/>
      <c r="G28" s="132"/>
      <c r="H28" s="132"/>
      <c r="I28" s="142"/>
      <c r="J28" s="142"/>
      <c r="K28" s="142"/>
      <c r="L28" s="142"/>
      <c r="M28" s="142"/>
      <c r="N28" s="142"/>
      <c r="O28" s="142"/>
      <c r="P28" s="74"/>
    </row>
    <row r="29" spans="8:8" ht="17.25">
      <c r="A29" s="141" t="s">
        <v>62</v>
      </c>
      <c r="B29" s="136"/>
      <c r="C29" s="136"/>
      <c r="D29" s="136"/>
      <c r="E29" s="136"/>
      <c r="F29" s="136"/>
      <c r="G29" s="136"/>
      <c r="H29" s="136"/>
    </row>
    <row r="30" spans="8:8" ht="17.25">
      <c r="A30" s="143" t="s">
        <v>96</v>
      </c>
      <c r="D30" s="62" t="str">
        <f>L6</f>
        <v>KISHNA RAM</v>
      </c>
      <c r="F30" s="136"/>
      <c r="G30" s="136"/>
      <c r="H30" s="144"/>
    </row>
    <row r="31" spans="8:8" ht="15.75">
      <c r="A31" s="141" t="s">
        <v>95</v>
      </c>
    </row>
    <row r="32" spans="8:8" ht="15.75">
      <c r="A32" s="145" t="s">
        <v>64</v>
      </c>
      <c r="U32" s="131"/>
      <c r="V32" s="129" t="s">
        <v>71</v>
      </c>
      <c r="W32" s="146"/>
    </row>
    <row r="33" spans="8:8" ht="17.25">
      <c r="B33" s="136"/>
      <c r="C33" s="136"/>
      <c r="D33" s="136"/>
      <c r="E33" s="136"/>
      <c r="U33" s="134"/>
      <c r="V33" s="129" t="s">
        <v>72</v>
      </c>
    </row>
    <row r="34" spans="8:8" ht="15.0">
      <c r="U34" s="139" t="s">
        <v>86</v>
      </c>
      <c r="V34" s="147" t="str">
        <f>V27</f>
        <v>  -   -20</v>
      </c>
      <c r="W34" s="147"/>
    </row>
    <row r="35" spans="8:8" ht="60.75" customHeight="1">
      <c r="A35" s="148" t="s">
        <v>100</v>
      </c>
      <c r="B35" s="148"/>
      <c r="C35" s="148"/>
      <c r="D35" s="148"/>
      <c r="E35" s="148"/>
      <c r="F35" s="148"/>
      <c r="G35" s="148"/>
      <c r="H35" s="148"/>
      <c r="I35" s="148"/>
      <c r="J35" s="148"/>
      <c r="K35" s="148"/>
      <c r="L35" s="148"/>
      <c r="M35" s="148"/>
      <c r="N35" s="148"/>
      <c r="O35" s="148"/>
      <c r="P35" s="148"/>
      <c r="Q35" s="148"/>
      <c r="R35" s="148"/>
      <c r="S35" s="148"/>
      <c r="T35" s="148"/>
      <c r="U35" s="148"/>
      <c r="V35" s="148"/>
      <c r="W35" s="148"/>
    </row>
    <row r="36" spans="8:8" ht="15.0" hidden="1"/>
    <row r="37" spans="8:8" ht="15.0" hidden="1"/>
    <row r="38" spans="8:8" ht="15.0" hidden="1"/>
    <row r="39" spans="8:8" ht="15.0" hidden="1"/>
    <row r="40" spans="8:8" ht="15.0" hidden="1"/>
    <row r="41" spans="8:8" ht="15.0" hidden="1">
      <c r="M41" s="149" t="s">
        <v>92</v>
      </c>
      <c r="N41" s="149"/>
      <c r="O41" s="149"/>
      <c r="P41" s="149"/>
      <c r="Q41" s="149"/>
      <c r="R41" s="149"/>
      <c r="S41" s="149"/>
      <c r="T41" s="149"/>
      <c r="U41" s="149"/>
      <c r="V41" s="149"/>
      <c r="W41" s="149"/>
      <c r="X41" s="149"/>
    </row>
    <row r="42" spans="8:8" ht="15.0" hidden="1">
      <c r="M42" s="149" t="s">
        <v>94</v>
      </c>
      <c r="N42" s="149"/>
      <c r="O42" s="149"/>
      <c r="P42" s="149"/>
      <c r="Q42" s="149"/>
      <c r="R42" s="149"/>
      <c r="S42" s="149"/>
      <c r="T42" s="149"/>
      <c r="U42" s="149"/>
      <c r="V42" s="149"/>
      <c r="W42" s="149"/>
      <c r="X42" s="149"/>
    </row>
    <row r="43" spans="8:8" ht="15.0"/>
  </sheetData>
  <sheetProtection algorithmName="SHA-512" hashValue="ai3ZGAuqfwCVloH/pE7IG4AR9GkxIxdlqaqo7/WdbL4VgZkskcUvrfDI0+sdvWa/RX2PE7k72ysnvMHZnB1eDA==" saltValue="YkYhGRU3qoMzbKivmTBKIg==" spinCount="100000" sheet="1" formatCells="0" formatRows="0"/>
  <mergeCells count="32">
    <mergeCell ref="A35:W35"/>
    <mergeCell ref="E21:H21"/>
    <mergeCell ref="A3:W3"/>
    <mergeCell ref="A17:B17"/>
    <mergeCell ref="S6:W6"/>
    <mergeCell ref="A5:W5"/>
    <mergeCell ref="A1:W1"/>
    <mergeCell ref="R8:U8"/>
    <mergeCell ref="C8:G8"/>
    <mergeCell ref="H8:L8"/>
    <mergeCell ref="A18:H18"/>
    <mergeCell ref="V4:W4"/>
    <mergeCell ref="J4:O4"/>
    <mergeCell ref="B8:B9"/>
    <mergeCell ref="V8:V9"/>
    <mergeCell ref="A19:H19"/>
    <mergeCell ref="V34:W34"/>
    <mergeCell ref="B21:D21"/>
    <mergeCell ref="M25:O25"/>
    <mergeCell ref="O21:Q22"/>
    <mergeCell ref="M21:N22"/>
    <mergeCell ref="M23:N23"/>
    <mergeCell ref="O23:Q23"/>
    <mergeCell ref="J25:L25"/>
    <mergeCell ref="V27:W27"/>
    <mergeCell ref="I21:L21"/>
    <mergeCell ref="W8:W9"/>
    <mergeCell ref="A2:W2"/>
    <mergeCell ref="E6:J6"/>
    <mergeCell ref="M8:Q8"/>
    <mergeCell ref="L6:Q6"/>
    <mergeCell ref="A8:A9"/>
  </mergeCells>
  <pageMargins left="0.2755905511811024" right="0.11811023622047245" top="0.1968503937007874" bottom="0.1968503937007874" header="0.11811023622047245" footer="0.11811023622047245"/>
  <pageSetup paperSize="9" fitToHeight="0" orientation="landscape"/>
  <headerFooter>
    <oddFooter>&amp;F</oddFooter>
  </headerFooter>
</worksheet>
</file>

<file path=xl/worksheets/sheet3.xml><?xml version="1.0" encoding="utf-8"?>
<worksheet xmlns:r="http://schemas.openxmlformats.org/officeDocument/2006/relationships" xmlns="http://schemas.openxmlformats.org/spreadsheetml/2006/main">
  <sheetPr>
    <tabColor rgb="FF7030A0"/>
  </sheetPr>
  <dimension ref="A1:AD29"/>
  <sheetViews>
    <sheetView workbookViewId="0" topLeftCell="B1" showGridLines="0">
      <selection activeCell="J15" sqref="J15:S15"/>
    </sheetView>
  </sheetViews>
  <sheetFormatPr defaultRowHeight="15.0" defaultColWidth="0" zeroHeight="1"/>
  <cols>
    <col min="1" max="1" customWidth="1" width="4.140625" style="150"/>
    <col min="2" max="2" customWidth="1" width="19.425781" style="150"/>
    <col min="3" max="3" customWidth="1" width="8.0" style="150"/>
    <col min="4" max="5" customWidth="1" width="6.7109375" style="150"/>
    <col min="6" max="6" customWidth="1" width="7.5703125" style="150"/>
    <col min="7" max="7" customWidth="1" width="7.7109375" style="150"/>
    <col min="8" max="9" customWidth="1" width="6.7109375" style="150"/>
    <col min="10" max="10" customWidth="1" width="7.2851562" style="150"/>
    <col min="11" max="11" customWidth="1" width="6.5703125" style="150"/>
    <col min="12" max="12" customWidth="1" width="6.7109375" style="150"/>
    <col min="13" max="13" customWidth="1" width="6.2851562" style="150"/>
    <col min="14" max="14" customWidth="1" width="6.7109375" style="150"/>
    <col min="15" max="15" customWidth="1" width="7.5703125" style="150"/>
    <col min="16" max="16" customWidth="1" width="7.140625" style="150"/>
    <col min="17" max="17" customWidth="1" width="8.5703125" style="150"/>
    <col min="18" max="18" customWidth="1" width="8.7109375" style="150"/>
    <col min="19" max="19" customWidth="1" width="8.855469" style="150"/>
    <col min="20" max="20" customWidth="1" width="3.2851562" style="150"/>
    <col min="21" max="27" hidden="1" customWidth="1" width="9.140625" style="150"/>
    <col min="28" max="28" customWidth="1" width="3.2851562" style="150"/>
    <col min="29" max="16384" hidden="1" customWidth="0" width="9.140625" style="150"/>
  </cols>
  <sheetData>
    <row r="1" spans="8:8" ht="27.75" customHeight="1">
      <c r="A1" s="151" t="s">
        <v>75</v>
      </c>
      <c r="B1" s="151"/>
      <c r="C1" s="151"/>
      <c r="D1" s="151"/>
      <c r="E1" s="151"/>
      <c r="F1" s="151"/>
      <c r="G1" s="151"/>
      <c r="H1" s="151"/>
      <c r="I1" s="151"/>
      <c r="J1" s="151"/>
      <c r="K1" s="151"/>
      <c r="L1" s="151"/>
      <c r="M1" s="151"/>
      <c r="N1" s="151"/>
      <c r="O1" s="151"/>
      <c r="P1" s="151"/>
      <c r="Q1" s="151"/>
      <c r="R1" s="151"/>
      <c r="S1" s="151"/>
    </row>
    <row r="2" spans="8:8" ht="18.0" customHeight="1">
      <c r="A2" s="152" t="s">
        <v>130</v>
      </c>
      <c r="B2" s="152"/>
      <c r="C2" s="152"/>
      <c r="D2" s="152"/>
      <c r="E2" s="152"/>
      <c r="F2" s="152"/>
      <c r="G2" s="152"/>
      <c r="H2" s="152"/>
      <c r="I2" s="152"/>
      <c r="J2" s="152"/>
      <c r="K2" s="152"/>
      <c r="L2" s="152"/>
      <c r="M2" s="152"/>
      <c r="N2" s="152"/>
      <c r="O2" s="152"/>
      <c r="P2" s="152"/>
      <c r="Q2" s="152"/>
      <c r="R2" s="152"/>
      <c r="S2" s="152"/>
      <c r="W2" s="150">
        <f>IF(ISNA(VLOOKUP($D$6,'MASTER DATA'!A$9:J$113,4,FALSE)),"",VLOOKUP($D$6,'MASTER DATA'!A$9:N$113,4,FALSE))</f>
        <v>4.0</v>
      </c>
      <c r="X2" s="150" t="str">
        <f>IF(ISNA(VLOOKUP($D$6,'MASTER DATA'!A$9:J$128,6,FALSE)),"",VLOOKUP($D$6,'MASTER DATA'!A$9:N$113,6,FALSE))</f>
        <v>GPF-2004</v>
      </c>
      <c r="Y2" s="150" t="s">
        <v>9</v>
      </c>
      <c r="Z2" s="150" t="s">
        <v>2</v>
      </c>
      <c r="AA2" s="150">
        <f>IF(ISNA(VLOOKUP($D$6,'MASTER DATA'!A$9:J$113,7,FALSE)),"",VLOOKUP($D$6,'MASTER DATA'!A$9:N$113,7,FALSE))</f>
        <v>10.0</v>
      </c>
    </row>
    <row r="3" spans="8:8" ht="24.0" customHeight="1">
      <c r="A3" s="153" t="str">
        <f>IF(AND('MASTER DATA'!C4=""),"",CONCATENATE("कार्यालय :-- ",'MASTER DATA'!C4))</f>
        <v>कार्यालय :-- राजकीय उच्च माध्यमिक विद्यालय डसाणा खुर्द,मौलासर (डीडवाना-कुचामन)</v>
      </c>
      <c r="B3" s="153"/>
      <c r="C3" s="153"/>
      <c r="D3" s="153"/>
      <c r="E3" s="153"/>
      <c r="F3" s="153"/>
      <c r="G3" s="153"/>
      <c r="H3" s="153"/>
      <c r="I3" s="153"/>
      <c r="J3" s="153"/>
      <c r="K3" s="153"/>
      <c r="L3" s="153"/>
      <c r="M3" s="153"/>
      <c r="N3" s="153"/>
      <c r="O3" s="153"/>
      <c r="P3" s="153"/>
      <c r="Q3" s="153"/>
      <c r="R3" s="153"/>
      <c r="S3" s="153"/>
      <c r="X3" s="150">
        <f>IF(ISNA(VLOOKUP($D$6,'MASTER DATA'!A$9:J$113,8,FALSE)),"",VLOOKUP($D$6,'MASTER DATA'!A$9:N$113,8,FALSE))</f>
        <v>46023.0</v>
      </c>
      <c r="Y3" s="150" t="s">
        <v>8</v>
      </c>
    </row>
    <row r="4" spans="8:8" ht="24.0" customHeight="1">
      <c r="A4" s="154" t="s">
        <v>85</v>
      </c>
      <c r="B4" s="155"/>
      <c r="C4" s="156"/>
      <c r="D4" s="156"/>
      <c r="E4" s="156"/>
      <c r="F4" s="156"/>
      <c r="G4" s="156"/>
      <c r="H4" s="156"/>
      <c r="I4" s="157" t="s">
        <v>84</v>
      </c>
      <c r="J4" s="158"/>
      <c r="K4" s="158"/>
      <c r="L4" s="158"/>
      <c r="M4" s="159"/>
      <c r="N4" s="159"/>
      <c r="O4" s="159"/>
      <c r="P4" s="159"/>
      <c r="Q4" s="160" t="s">
        <v>68</v>
      </c>
      <c r="R4" s="161" t="s">
        <v>118</v>
      </c>
      <c r="S4" s="162"/>
    </row>
    <row r="5" spans="8:8" ht="49.5" customHeight="1">
      <c r="A5" s="163" t="s">
        <v>117</v>
      </c>
      <c r="B5" s="163"/>
      <c r="C5" s="163"/>
      <c r="D5" s="163"/>
      <c r="E5" s="163"/>
      <c r="F5" s="163"/>
      <c r="G5" s="163"/>
      <c r="H5" s="163"/>
      <c r="I5" s="163"/>
      <c r="J5" s="163"/>
      <c r="K5" s="163"/>
      <c r="L5" s="163"/>
      <c r="M5" s="163"/>
      <c r="N5" s="163"/>
      <c r="O5" s="163"/>
      <c r="P5" s="163"/>
      <c r="Q5" s="163"/>
      <c r="R5" s="163"/>
      <c r="S5" s="163"/>
    </row>
    <row r="6" spans="8:8" ht="20.25" customHeight="1">
      <c r="C6" s="164" t="s">
        <v>56</v>
      </c>
      <c r="D6" s="69">
        <v>1.0</v>
      </c>
      <c r="E6" s="153" t="s">
        <v>41</v>
      </c>
      <c r="F6" s="153"/>
      <c r="G6" s="153"/>
      <c r="H6" s="153"/>
      <c r="I6" s="153"/>
      <c r="J6" s="165" t="str">
        <f>IF(ISNA(VLOOKUP($D$6,'MASTER DATA'!A$9:J$128,2,FALSE)),"",VLOOKUP($D$6,'MASTER DATA'!A$9:N$128,2,FALSE))</f>
        <v>KISHNA RAM</v>
      </c>
      <c r="K6" s="165"/>
      <c r="L6" s="165"/>
      <c r="M6" s="165"/>
      <c r="N6" s="165"/>
      <c r="O6" s="165"/>
      <c r="P6" s="166" t="s">
        <v>42</v>
      </c>
      <c r="Q6" s="165" t="str">
        <f>IF(ISNA(VLOOKUP($D$6,'MASTER DATA'!A$9:J$113,3,FALSE)),"",VLOOKUP($D$6,'MASTER DATA'!A$9:N$113,3,FALSE))</f>
        <v>Sr. Teacher</v>
      </c>
      <c r="R6" s="165"/>
      <c r="S6" s="165"/>
    </row>
    <row r="7" spans="8:8" ht="6.75" customHeight="1">
      <c r="E7" s="167"/>
      <c r="F7" s="168"/>
      <c r="G7" s="169"/>
      <c r="H7" s="169"/>
      <c r="J7" s="170"/>
      <c r="K7" s="170"/>
      <c r="L7" s="170"/>
      <c r="M7" s="171"/>
      <c r="N7" s="171"/>
      <c r="O7" s="172"/>
      <c r="P7" s="172"/>
    </row>
    <row r="8" spans="8:8" ht="47.25" customHeight="1">
      <c r="A8" s="77" t="s">
        <v>19</v>
      </c>
      <c r="B8" s="77" t="s">
        <v>83</v>
      </c>
      <c r="C8" s="173" t="s">
        <v>53</v>
      </c>
      <c r="D8" s="173"/>
      <c r="E8" s="173"/>
      <c r="F8" s="173"/>
      <c r="G8" s="173" t="s">
        <v>54</v>
      </c>
      <c r="H8" s="173"/>
      <c r="I8" s="173"/>
      <c r="J8" s="173"/>
      <c r="K8" s="173" t="s">
        <v>49</v>
      </c>
      <c r="L8" s="173"/>
      <c r="M8" s="173"/>
      <c r="N8" s="173"/>
      <c r="O8" s="173" t="s">
        <v>50</v>
      </c>
      <c r="P8" s="173"/>
      <c r="Q8" s="173"/>
      <c r="R8" s="77" t="s">
        <v>51</v>
      </c>
      <c r="S8" s="77" t="s">
        <v>52</v>
      </c>
    </row>
    <row r="9" spans="8:8" ht="55.5" customHeight="1">
      <c r="A9" s="77"/>
      <c r="B9" s="77"/>
      <c r="C9" s="174" t="s">
        <v>22</v>
      </c>
      <c r="D9" s="174" t="s">
        <v>45</v>
      </c>
      <c r="E9" s="174" t="s">
        <v>44</v>
      </c>
      <c r="F9" s="174" t="s">
        <v>46</v>
      </c>
      <c r="G9" s="174" t="s">
        <v>22</v>
      </c>
      <c r="H9" s="174" t="s">
        <v>45</v>
      </c>
      <c r="I9" s="174" t="s">
        <v>44</v>
      </c>
      <c r="J9" s="174" t="s">
        <v>46</v>
      </c>
      <c r="K9" s="174" t="s">
        <v>22</v>
      </c>
      <c r="L9" s="174" t="s">
        <v>45</v>
      </c>
      <c r="M9" s="174" t="s">
        <v>44</v>
      </c>
      <c r="N9" s="174" t="s">
        <v>46</v>
      </c>
      <c r="O9" s="174" t="s">
        <v>55</v>
      </c>
      <c r="P9" s="174" t="s">
        <v>48</v>
      </c>
      <c r="Q9" s="174" t="s">
        <v>47</v>
      </c>
      <c r="R9" s="77"/>
      <c r="S9" s="77"/>
    </row>
    <row r="10" spans="8:8" ht="1.5" customHeight="1">
      <c r="A10" s="175">
        <v>1.0</v>
      </c>
      <c r="B10" s="175">
        <v>2.0</v>
      </c>
      <c r="C10" s="175">
        <v>3.0</v>
      </c>
      <c r="D10" s="175">
        <v>4.0</v>
      </c>
      <c r="E10" s="175">
        <v>5.0</v>
      </c>
      <c r="F10" s="175">
        <v>6.0</v>
      </c>
      <c r="G10" s="175">
        <v>7.0</v>
      </c>
      <c r="H10" s="175">
        <v>8.0</v>
      </c>
      <c r="I10" s="175">
        <v>9.0</v>
      </c>
      <c r="J10" s="175">
        <v>10.0</v>
      </c>
      <c r="K10" s="175">
        <v>11.0</v>
      </c>
      <c r="L10" s="175">
        <v>12.0</v>
      </c>
      <c r="M10" s="175">
        <v>13.0</v>
      </c>
      <c r="N10" s="175">
        <v>14.0</v>
      </c>
      <c r="O10" s="175">
        <v>15.0</v>
      </c>
      <c r="P10" s="175">
        <v>17.0</v>
      </c>
      <c r="Q10" s="175">
        <v>18.0</v>
      </c>
      <c r="R10" s="175">
        <v>19.0</v>
      </c>
      <c r="S10" s="175">
        <v>20.0</v>
      </c>
      <c r="X10" s="176">
        <v>45474.0</v>
      </c>
    </row>
    <row r="11" spans="8:8" ht="40.5" customHeight="1">
      <c r="A11" s="177">
        <f>IF(D6&gt;=1,1,"")</f>
        <v>1.0</v>
      </c>
      <c r="B11" s="178" t="s">
        <v>78</v>
      </c>
      <c r="C11" s="179">
        <f>_xlfn.IFERROR(IF(A11="","",IF(ISNA(VLOOKUP(D6,'MASTER DATA'!A$9:J$113,5,FALSE)),"",VLOOKUP($D$6,'MASTER DATA'!A$9:N$113,5,FALSE))/2),"")</f>
        <v>38850.0</v>
      </c>
      <c r="D11" s="179">
        <f>IF(AND(C11=""),"",IF(AND($D$6=""),"",ROUND(C11*'MASTER DATA'!C$6%,0)))</f>
        <v>23310.0</v>
      </c>
      <c r="E11" s="179"/>
      <c r="F11" s="179">
        <f>IF(AND(C11=""),"",SUM(C11:E11))</f>
        <v>62160.0</v>
      </c>
      <c r="G11" s="179">
        <f>_xlfn.IFERROR(IF(A11="","",IF(ISNA(VLOOKUP($D$6,'MASTER DATA'!A$9:J$113,5,FALSE)),"",VLOOKUP($D$6,'MASTER DATA'!A$9:N$113,5,FALSE))/2),"")</f>
        <v>38850.0</v>
      </c>
      <c r="H11" s="179">
        <f>IF(AND(G11=""),"",IF(AND($D$6=""),"",ROUND(G11*'MASTER DATA'!C$5%,0)))</f>
        <v>22533.0</v>
      </c>
      <c r="I11" s="179"/>
      <c r="J11" s="179">
        <f>IF(AND(C11=""),"",SUM(G11:I11))</f>
        <v>61383.0</v>
      </c>
      <c r="K11" s="179">
        <f>IF(AND(C11=""),"",IF(AND(G11=""),"",C11-G11))</f>
        <v>0.0</v>
      </c>
      <c r="L11" s="179">
        <f>IF(AND(D11=""),"",IF(AND(H11=""),"",D11-H11))</f>
        <v>777.0</v>
      </c>
      <c r="M11" s="179" t="str">
        <f>IF(AND(E11=""),"",IF(AND(I11=""),"",E11-I11))</f>
        <v/>
      </c>
      <c r="N11" s="179">
        <f>IF(AND(F11=""),"",IF(AND(J11=""),"",F11-J11))</f>
        <v>777.0</v>
      </c>
      <c r="O11" s="179">
        <f>IF(AND(C11=""),"",IF(AND(C11="",D11=""),"0",N11-P11))</f>
        <v>699.0</v>
      </c>
      <c r="P11" s="179">
        <f>IF(AND($D$6=""),"",IF(AND(N11=""),"",ROUND(N11*AA$2%,0)))</f>
        <v>78.0</v>
      </c>
      <c r="Q11" s="179">
        <f>IF(AND($D$6=""),"",IF(AND(C11=""),"",IF(AND(O11=""),"",SUM(O11,P11))))</f>
        <v>777.0</v>
      </c>
      <c r="R11" s="179">
        <f>IF(AND(N11=""),"",IF(AND(Q11=""),"",N11-Q11))</f>
        <v>0.0</v>
      </c>
      <c r="S11" s="180"/>
      <c r="X11" s="176">
        <v>45658.0</v>
      </c>
    </row>
    <row r="12" spans="8:8" ht="27.75" customHeight="1">
      <c r="A12" s="181" t="s">
        <v>0</v>
      </c>
      <c r="B12" s="181"/>
      <c r="C12" s="182">
        <f t="shared" si="0" ref="C12:R12">IF(AND($D$6=""),"",SUM(C11:C11))</f>
        <v>38850.0</v>
      </c>
      <c r="D12" s="182">
        <f t="shared" si="0"/>
        <v>23310.0</v>
      </c>
      <c r="E12" s="182">
        <f t="shared" si="0"/>
        <v>0.0</v>
      </c>
      <c r="F12" s="182">
        <f t="shared" si="0"/>
        <v>62160.0</v>
      </c>
      <c r="G12" s="182">
        <f t="shared" si="0"/>
        <v>38850.0</v>
      </c>
      <c r="H12" s="182">
        <f t="shared" si="0"/>
        <v>22533.0</v>
      </c>
      <c r="I12" s="182">
        <f t="shared" si="0"/>
        <v>0.0</v>
      </c>
      <c r="J12" s="182">
        <f t="shared" si="0"/>
        <v>61383.0</v>
      </c>
      <c r="K12" s="182">
        <f t="shared" si="0"/>
        <v>0.0</v>
      </c>
      <c r="L12" s="182">
        <f t="shared" si="0"/>
        <v>777.0</v>
      </c>
      <c r="M12" s="182">
        <f t="shared" si="0"/>
        <v>0.0</v>
      </c>
      <c r="N12" s="182">
        <f t="shared" si="0"/>
        <v>777.0</v>
      </c>
      <c r="O12" s="182">
        <f t="shared" si="0"/>
        <v>699.0</v>
      </c>
      <c r="P12" s="182">
        <f t="shared" si="0"/>
        <v>78.0</v>
      </c>
      <c r="Q12" s="182">
        <f t="shared" si="0"/>
        <v>777.0</v>
      </c>
      <c r="R12" s="182">
        <f t="shared" si="0"/>
        <v>0.0</v>
      </c>
      <c r="S12" s="183"/>
    </row>
    <row r="13" spans="8:8" ht="18.75">
      <c r="A13" s="184"/>
      <c r="B13" s="185"/>
      <c r="C13" s="186" t="str">
        <f>IF(X2="GPF","AMOUNT IN WORDS DEPOSITE IN GPF  :-","AMOUNT IN WORDS DEPOSITE IN GP-2004  :-")</f>
        <v>AMOUNT IN WORDS DEPOSITE IN GP-2004  :-</v>
      </c>
      <c r="D13" s="186"/>
      <c r="E13" s="186"/>
      <c r="F13" s="186"/>
      <c r="G13" s="186"/>
      <c r="H13" s="186"/>
      <c r="I13" s="186"/>
      <c r="J13" s="187"/>
      <c r="K13" s="187"/>
      <c r="L13" s="187"/>
      <c r="M13" s="187"/>
      <c r="N13" s="187"/>
      <c r="O13" s="187"/>
      <c r="P13" s="187"/>
      <c r="Q13" s="187"/>
      <c r="R13" s="187"/>
      <c r="S13" s="187"/>
    </row>
    <row r="14" spans="8:8" ht="18.75">
      <c r="A14" s="184"/>
      <c r="B14" s="185"/>
      <c r="C14" s="186" t="s">
        <v>103</v>
      </c>
      <c r="D14" s="186"/>
      <c r="E14" s="186"/>
      <c r="F14" s="186"/>
      <c r="G14" s="186"/>
      <c r="H14" s="186"/>
      <c r="I14" s="186"/>
      <c r="J14" s="187"/>
      <c r="K14" s="187"/>
      <c r="L14" s="187"/>
      <c r="M14" s="187"/>
      <c r="N14" s="187"/>
      <c r="O14" s="187"/>
      <c r="P14" s="187"/>
      <c r="Q14" s="187"/>
      <c r="R14" s="187"/>
      <c r="S14" s="187"/>
    </row>
    <row r="15" spans="8:8" ht="18.0" customHeight="1">
      <c r="C15" s="186" t="s">
        <v>79</v>
      </c>
      <c r="D15" s="186"/>
      <c r="E15" s="186"/>
      <c r="F15" s="186"/>
      <c r="G15" s="186"/>
      <c r="H15" s="186"/>
      <c r="I15" s="186"/>
      <c r="J15" s="188" t="s">
        <v>115</v>
      </c>
      <c r="K15" s="188"/>
      <c r="L15" s="188"/>
      <c r="M15" s="188"/>
      <c r="N15" s="188"/>
      <c r="O15" s="188"/>
      <c r="P15" s="188"/>
      <c r="Q15" s="188"/>
      <c r="R15" s="188"/>
      <c r="S15" s="188"/>
    </row>
    <row r="16" spans="8:8" ht="18.0" customHeight="1">
      <c r="C16" s="189"/>
      <c r="D16" s="189"/>
      <c r="E16" s="189"/>
      <c r="F16" s="189"/>
      <c r="G16" s="189"/>
      <c r="H16" s="189"/>
      <c r="I16" s="189"/>
      <c r="J16" s="190"/>
      <c r="K16" s="190"/>
      <c r="L16" s="190"/>
      <c r="M16" s="190"/>
      <c r="N16" s="190"/>
      <c r="O16" s="191"/>
      <c r="P16" s="191"/>
      <c r="Q16" s="191"/>
      <c r="R16" s="191"/>
      <c r="S16" s="191"/>
    </row>
    <row r="17" spans="8:8" ht="18.75">
      <c r="A17" s="192" t="str">
        <f>A4</f>
        <v>क्रमांक:--</v>
      </c>
      <c r="B17" s="193"/>
      <c r="C17" s="194"/>
      <c r="D17" s="194"/>
      <c r="E17" s="194"/>
      <c r="F17" s="194"/>
      <c r="G17" s="194"/>
      <c r="H17" s="195"/>
      <c r="I17" s="196"/>
      <c r="J17" s="197"/>
      <c r="K17" s="198"/>
      <c r="L17" s="198"/>
      <c r="M17" s="198"/>
      <c r="N17" s="199"/>
      <c r="O17" s="200" t="s">
        <v>81</v>
      </c>
      <c r="P17" s="200"/>
      <c r="Q17" s="200"/>
      <c r="R17" s="200"/>
      <c r="S17" s="200"/>
    </row>
    <row r="18" spans="8:8" ht="18.75">
      <c r="A18" s="201" t="s">
        <v>61</v>
      </c>
      <c r="B18" s="201"/>
      <c r="C18" s="202"/>
      <c r="D18" s="195"/>
      <c r="E18" s="195"/>
      <c r="F18" s="195"/>
      <c r="G18" s="195"/>
      <c r="H18" s="195"/>
      <c r="I18" s="196"/>
      <c r="J18" s="203"/>
      <c r="K18" s="203"/>
      <c r="L18" s="203"/>
      <c r="M18" s="203"/>
      <c r="N18" s="199"/>
      <c r="O18" s="200" t="s">
        <v>60</v>
      </c>
      <c r="P18" s="200"/>
      <c r="Q18" s="200"/>
      <c r="R18" s="200"/>
      <c r="S18" s="200"/>
    </row>
    <row r="19" spans="8:8" ht="18.75" customHeight="1">
      <c r="A19" s="201" t="s">
        <v>62</v>
      </c>
      <c r="B19" s="201"/>
      <c r="C19" s="202"/>
      <c r="D19" s="195"/>
      <c r="E19" s="195"/>
      <c r="F19" s="195"/>
      <c r="G19" s="195"/>
      <c r="H19" s="195"/>
      <c r="I19" s="196"/>
      <c r="J19" s="203"/>
      <c r="K19" s="203"/>
      <c r="L19" s="203"/>
      <c r="M19" s="203"/>
      <c r="N19" s="199"/>
      <c r="P19" s="204" t="s">
        <v>68</v>
      </c>
      <c r="Q19" s="205" t="str">
        <f>R4</f>
        <v>  /    /2026</v>
      </c>
      <c r="R19" s="205"/>
    </row>
    <row r="20" spans="8:8" ht="18.75">
      <c r="A20" s="201" t="s">
        <v>63</v>
      </c>
      <c r="B20" s="201"/>
      <c r="C20" s="202"/>
      <c r="D20" s="195"/>
      <c r="E20" s="195"/>
      <c r="F20" s="195"/>
      <c r="G20" s="195"/>
      <c r="H20" s="195"/>
      <c r="I20" s="196"/>
      <c r="J20" s="206"/>
      <c r="K20" s="206"/>
      <c r="L20" s="206"/>
      <c r="M20" s="206"/>
      <c r="N20" s="199"/>
    </row>
    <row r="21" spans="8:8" ht="15.75">
      <c r="A21" s="201" t="s">
        <v>82</v>
      </c>
      <c r="B21" s="201"/>
      <c r="C21" s="207" t="str">
        <f>J6</f>
        <v>KISHNA RAM</v>
      </c>
      <c r="D21" s="195"/>
      <c r="E21" s="195"/>
      <c r="F21" s="195"/>
      <c r="G21" s="195"/>
      <c r="H21" s="195"/>
      <c r="I21" s="196"/>
      <c r="J21" s="203"/>
      <c r="K21" s="203"/>
      <c r="L21" s="203"/>
      <c r="M21" s="203"/>
      <c r="N21" s="199"/>
    </row>
    <row r="22" spans="8:8" ht="18.75">
      <c r="A22" s="201" t="s">
        <v>64</v>
      </c>
      <c r="B22" s="201"/>
      <c r="C22" s="202"/>
      <c r="D22" s="195"/>
      <c r="E22" s="195"/>
      <c r="F22" s="195"/>
      <c r="G22" s="195"/>
      <c r="H22" s="199"/>
      <c r="I22" s="199"/>
      <c r="J22" s="199"/>
      <c r="K22" s="199"/>
      <c r="L22" s="199"/>
      <c r="M22" s="199"/>
      <c r="N22" s="199"/>
    </row>
    <row r="23" spans="8:8" ht="15.0">
      <c r="A23" s="199"/>
      <c r="B23" s="199"/>
      <c r="C23" s="199"/>
      <c r="D23" s="199"/>
      <c r="E23" s="199"/>
      <c r="F23" s="199"/>
      <c r="G23" s="199"/>
      <c r="H23" s="208"/>
      <c r="I23" s="208"/>
      <c r="J23" s="199"/>
      <c r="K23" s="199"/>
      <c r="L23" s="199"/>
      <c r="M23" s="199"/>
      <c r="N23" s="199"/>
      <c r="O23" s="200" t="s">
        <v>80</v>
      </c>
      <c r="P23" s="200"/>
      <c r="Q23" s="200"/>
      <c r="R23" s="200"/>
      <c r="S23" s="200"/>
    </row>
    <row r="24" spans="8:8" ht="15.0">
      <c r="A24" s="199"/>
      <c r="B24" s="208"/>
      <c r="C24" s="208"/>
      <c r="D24" s="208"/>
      <c r="E24" s="208"/>
      <c r="F24" s="208"/>
      <c r="G24" s="208"/>
      <c r="H24" s="209"/>
      <c r="I24" s="209"/>
      <c r="J24" s="199"/>
      <c r="K24" s="199"/>
      <c r="L24" s="199"/>
      <c r="M24" s="199"/>
      <c r="N24" s="199"/>
      <c r="O24" s="200" t="s">
        <v>60</v>
      </c>
      <c r="P24" s="200"/>
      <c r="Q24" s="200"/>
      <c r="R24" s="200"/>
      <c r="S24" s="200"/>
    </row>
    <row r="25" spans="8:8" ht="57.75" customHeight="1">
      <c r="A25" s="210" t="s">
        <v>99</v>
      </c>
      <c r="B25" s="210"/>
      <c r="C25" s="210"/>
      <c r="D25" s="210"/>
      <c r="E25" s="210"/>
      <c r="F25" s="210"/>
      <c r="G25" s="210"/>
      <c r="H25" s="210"/>
      <c r="I25" s="210"/>
      <c r="J25" s="210"/>
      <c r="K25" s="210"/>
      <c r="L25" s="210"/>
      <c r="M25" s="210"/>
      <c r="N25" s="210"/>
      <c r="O25" s="210"/>
      <c r="P25" s="210"/>
      <c r="Q25" s="210"/>
      <c r="R25" s="210"/>
      <c r="S25" s="210"/>
      <c r="T25" s="210"/>
    </row>
    <row r="26" spans="8:8" ht="15.0"/>
    <row r="27" spans="8:8" ht="15.0" hidden="1"/>
    <row r="28" spans="8:8" ht="15.0" hidden="1"/>
    <row r="29" spans="8:8" ht="15.0" hidden="1"/>
  </sheetData>
  <sheetProtection algorithmName="SHA-512" hashValue="ai3ZGAuqfwCVloH/pE7IG4AR9GkxIxdlqaqo7/WdbL4VgZkskcUvrfDI0+sdvWa/RX2PE7k72ysnvMHZnB1eDA==" saltValue="YkYhGRU3qoMzbKivmTBKIg==" spinCount="100000" sheet="1" formatCells="0"/>
  <mergeCells count="29">
    <mergeCell ref="A1:S1"/>
    <mergeCell ref="J15:S15"/>
    <mergeCell ref="A2:S2"/>
    <mergeCell ref="R4:S4"/>
    <mergeCell ref="A5:S5"/>
    <mergeCell ref="J6:O6"/>
    <mergeCell ref="E6:I6"/>
    <mergeCell ref="A3:S3"/>
    <mergeCell ref="C14:I14"/>
    <mergeCell ref="A25:T25"/>
    <mergeCell ref="J14:S14"/>
    <mergeCell ref="A8:A9"/>
    <mergeCell ref="Q6:S6"/>
    <mergeCell ref="G8:J8"/>
    <mergeCell ref="O8:Q8"/>
    <mergeCell ref="C13:I13"/>
    <mergeCell ref="O24:S24"/>
    <mergeCell ref="B8:B9"/>
    <mergeCell ref="O18:S18"/>
    <mergeCell ref="R8:R9"/>
    <mergeCell ref="K8:N8"/>
    <mergeCell ref="C15:I15"/>
    <mergeCell ref="O23:S23"/>
    <mergeCell ref="Q19:R19"/>
    <mergeCell ref="C8:F8"/>
    <mergeCell ref="A12:B12"/>
    <mergeCell ref="S8:S9"/>
    <mergeCell ref="O17:S17"/>
    <mergeCell ref="J13:S13"/>
  </mergeCells>
  <pageMargins left="0.7086614173228347" right="0.4330708661417323" top="0.7480314960629921" bottom="0.7480314960629921" header="0.31496062992125984" footer="0.31496062992125984"/>
  <pageSetup paperSize="9" scale="90" orientation="landscape"/>
  <headerFooter>
    <oddFooter>&amp;L&amp;F</oddFooter>
  </headerFooter>
  <legacyDrawing r:id="rId1"/>
</worksheet>
</file>

<file path=xl/worksheets/sheet4.xml><?xml version="1.0" encoding="utf-8"?>
<worksheet xmlns:r="http://schemas.openxmlformats.org/officeDocument/2006/relationships" xmlns="http://schemas.openxmlformats.org/spreadsheetml/2006/main">
  <sheetPr>
    <tabColor rgb="FF00B0F0"/>
    <pageSetUpPr fitToPage="1"/>
  </sheetPr>
  <dimension ref="A1:XFD59"/>
  <sheetViews>
    <sheetView workbookViewId="0" topLeftCell="C1" showGridLines="0" zoomScale="80">
      <selection activeCell="A2" sqref="A2:S2"/>
    </sheetView>
  </sheetViews>
  <sheetFormatPr defaultRowHeight="15.0" defaultColWidth="0" zeroHeight="1"/>
  <cols>
    <col min="1" max="1" customWidth="1" width="5.4257812" style="150"/>
    <col min="2" max="2" customWidth="1" width="9.285156" style="150"/>
    <col min="3" max="18" customWidth="1" width="9.140625" style="150"/>
    <col min="19" max="19" customWidth="1" width="8.425781" style="150"/>
    <col min="20" max="21" customWidth="1" width="9.140625" style="2"/>
    <col min="22" max="22" customWidth="1" width="12.140625" style="2"/>
    <col min="23" max="27" hidden="1" customWidth="1" width="9.140625" style="2"/>
    <col min="28" max="28" customWidth="1" width="9.140625" style="2"/>
    <col min="29" max="16383" hidden="1" customWidth="0" width="9.140625" style="2"/>
    <col min="16384" max="16384" customWidth="1" width="3.5703125" style="2"/>
  </cols>
  <sheetData>
    <row r="1" spans="8:8" ht="26.25" customHeight="1">
      <c r="A1" s="211" t="s">
        <v>75</v>
      </c>
      <c r="B1" s="211"/>
      <c r="C1" s="211"/>
      <c r="D1" s="211"/>
      <c r="E1" s="211"/>
      <c r="F1" s="211"/>
      <c r="G1" s="211"/>
      <c r="H1" s="211"/>
      <c r="I1" s="211"/>
      <c r="J1" s="211"/>
      <c r="K1" s="211"/>
      <c r="L1" s="211"/>
      <c r="M1" s="211"/>
      <c r="N1" s="211"/>
      <c r="O1" s="211"/>
      <c r="P1" s="211"/>
      <c r="Q1" s="211"/>
      <c r="R1" s="211"/>
      <c r="S1" s="211"/>
    </row>
    <row r="2" spans="8:8" s="150" ht="17.25" customFormat="1" customHeight="1">
      <c r="A2" s="212" t="str">
        <f>'ARREAR SHEET SINGLE EMPLOYEE'!A2</f>
        <v>DA एरियर DIFFERENCE SHEET (58% to 60 %)</v>
      </c>
      <c r="B2" s="212"/>
      <c r="C2" s="212"/>
      <c r="D2" s="212"/>
      <c r="E2" s="212"/>
      <c r="F2" s="212"/>
      <c r="G2" s="212"/>
      <c r="H2" s="212"/>
      <c r="I2" s="212"/>
      <c r="J2" s="212"/>
      <c r="K2" s="212"/>
      <c r="L2" s="212"/>
      <c r="M2" s="212"/>
      <c r="N2" s="212"/>
      <c r="O2" s="212"/>
      <c r="P2" s="212"/>
      <c r="Q2" s="212"/>
      <c r="R2" s="212"/>
      <c r="S2" s="212"/>
      <c r="W2" s="150">
        <f>IF(ISNA(VLOOKUP($Y$5,'MASTER DATA'!A$9:J$113,4,FALSE)),"",VLOOKUP($Y$5,'MASTER DATA'!A$9:N$113,4,FALSE))</f>
        <v>4.0</v>
      </c>
      <c r="X2" s="150" t="str">
        <f>IF(ISNA(VLOOKUP($Y$5,'MASTER DATA'!A$9:J$113,6,FALSE)),"",VLOOKUP($Y$5,'MASTER DATA'!A$9:N$113,6,FALSE))</f>
        <v>GPF-2004</v>
      </c>
      <c r="Y2" s="150" t="s">
        <v>9</v>
      </c>
      <c r="Z2" s="150" t="s">
        <v>2</v>
      </c>
      <c r="AA2" s="150">
        <f>IF(ISNA(VLOOKUP($Y$5,'MASTER DATA'!A$9:J$113,7,FALSE)),"",VLOOKUP($Y$5,'MASTER DATA'!A$9:N$113,7,FALSE))</f>
        <v>10.0</v>
      </c>
    </row>
    <row r="3" spans="8:8" s="150" ht="18.0" customFormat="1" customHeight="1">
      <c r="A3" s="213" t="s">
        <v>70</v>
      </c>
      <c r="B3" s="213"/>
      <c r="C3" s="213"/>
      <c r="D3" s="213"/>
      <c r="E3" s="214" t="str">
        <f>IF(AND('MASTER DATA'!C4=""),"",CONCATENATE("कार्यालय :- ",'MASTER DATA'!C4))</f>
        <v>कार्यालय :- राजकीय उच्च माध्यमिक विद्यालय डसाणा खुर्द,मौलासर (डीडवाना-कुचामन)</v>
      </c>
      <c r="F3" s="214"/>
      <c r="G3" s="214"/>
      <c r="H3" s="214"/>
      <c r="I3" s="214"/>
      <c r="J3" s="214"/>
      <c r="K3" s="214"/>
      <c r="L3" s="214"/>
      <c r="M3" s="214"/>
      <c r="N3" s="214"/>
      <c r="O3" s="214"/>
      <c r="P3" s="214"/>
      <c r="Q3" s="215" t="s">
        <v>68</v>
      </c>
      <c r="R3" s="161" t="s">
        <v>119</v>
      </c>
      <c r="S3" s="162"/>
      <c r="X3" s="150">
        <f>IF(ISNA(VLOOKUP($Y$5,'MASTER DATA'!A$9:J$113,8,FALSE)),"",VLOOKUP($Y$5,'MASTER DATA'!A$9:N$113,8,FALSE))</f>
        <v>46023.0</v>
      </c>
      <c r="Y3" s="150" t="s">
        <v>8</v>
      </c>
      <c r="Z3" s="172"/>
    </row>
    <row r="4" spans="8:8" s="150" ht="57.0" customFormat="1" customHeight="1">
      <c r="A4" s="216" t="s">
        <v>120</v>
      </c>
      <c r="B4" s="216"/>
      <c r="C4" s="216"/>
      <c r="D4" s="216"/>
      <c r="E4" s="216"/>
      <c r="F4" s="216"/>
      <c r="G4" s="216"/>
      <c r="H4" s="216"/>
      <c r="I4" s="216"/>
      <c r="J4" s="216"/>
      <c r="K4" s="216"/>
      <c r="L4" s="216"/>
      <c r="M4" s="216"/>
      <c r="N4" s="216"/>
      <c r="O4" s="216"/>
      <c r="P4" s="216"/>
      <c r="Q4" s="216"/>
      <c r="R4" s="216"/>
      <c r="S4" s="216"/>
      <c r="U4" s="217">
        <v>1.0</v>
      </c>
      <c r="V4" s="217"/>
      <c r="Z4" s="172"/>
    </row>
    <row r="5" spans="8:8" s="150" ht="16.5" customFormat="1" customHeight="1">
      <c r="A5" s="218"/>
      <c r="B5" s="219" t="s">
        <v>19</v>
      </c>
      <c r="C5" s="218"/>
      <c r="D5" s="220">
        <f>U4</f>
        <v>1.0</v>
      </c>
      <c r="E5" s="221" t="s">
        <v>41</v>
      </c>
      <c r="F5" s="221"/>
      <c r="G5" s="163" t="str">
        <f>IF(ISNA(VLOOKUP($D$5,'MASTER DATA'!A$9:J$113,2,FALSE)),"",VLOOKUP($D$5,'MASTER DATA'!A$9:N$113,2,FALSE))</f>
        <v>KISHNA RAM</v>
      </c>
      <c r="H5" s="163"/>
      <c r="I5" s="163"/>
      <c r="J5" s="163"/>
      <c r="K5" s="222" t="s">
        <v>67</v>
      </c>
      <c r="L5" s="222"/>
      <c r="M5" s="222"/>
      <c r="O5" s="219"/>
      <c r="P5" s="219"/>
      <c r="Q5" s="219" t="s">
        <v>42</v>
      </c>
      <c r="R5" s="223" t="str">
        <f>IF(ISNA(VLOOKUP($D$5,'MASTER DATA'!A$9:J$113,3,FALSE)),"",VLOOKUP($D$5,'MASTER DATA'!A$9:N$113,3,FALSE))</f>
        <v>Sr. Teacher</v>
      </c>
      <c r="S5" s="219"/>
      <c r="U5" s="217"/>
      <c r="V5" s="217"/>
      <c r="X5" s="224" t="s">
        <v>10</v>
      </c>
      <c r="Y5" s="225">
        <f>D5</f>
        <v>1.0</v>
      </c>
    </row>
    <row r="6" spans="8:8" s="150" ht="2.25" customFormat="1" customHeight="1">
      <c r="A6" s="226" t="s">
        <v>65</v>
      </c>
      <c r="B6" s="226"/>
      <c r="C6" s="226"/>
      <c r="D6" s="226"/>
      <c r="E6" s="226"/>
      <c r="F6" s="226"/>
      <c r="G6" s="226"/>
      <c r="H6" s="226"/>
      <c r="I6" s="226"/>
      <c r="J6" s="226"/>
      <c r="K6" s="226"/>
      <c r="L6" s="226"/>
      <c r="M6" s="226"/>
      <c r="N6" s="226"/>
      <c r="O6" s="226"/>
      <c r="P6" s="226"/>
      <c r="Q6" s="226"/>
      <c r="R6" s="226"/>
      <c r="S6" s="226"/>
      <c r="U6" s="217"/>
      <c r="V6" s="217"/>
    </row>
    <row r="7" spans="8:8" s="150" ht="15.0" customFormat="1" customHeight="1">
      <c r="A7" s="227" t="s">
        <v>19</v>
      </c>
      <c r="B7" s="227" t="s">
        <v>43</v>
      </c>
      <c r="C7" s="228" t="s">
        <v>53</v>
      </c>
      <c r="D7" s="228"/>
      <c r="E7" s="228"/>
      <c r="F7" s="228"/>
      <c r="G7" s="228" t="s">
        <v>54</v>
      </c>
      <c r="H7" s="228"/>
      <c r="I7" s="228"/>
      <c r="J7" s="228"/>
      <c r="K7" s="228" t="s">
        <v>49</v>
      </c>
      <c r="L7" s="228"/>
      <c r="M7" s="228"/>
      <c r="N7" s="228"/>
      <c r="O7" s="228" t="s">
        <v>50</v>
      </c>
      <c r="P7" s="228"/>
      <c r="Q7" s="228"/>
      <c r="R7" s="229" t="s">
        <v>51</v>
      </c>
      <c r="S7" s="230" t="s">
        <v>52</v>
      </c>
      <c r="U7" s="199"/>
      <c r="V7" s="199"/>
    </row>
    <row r="8" spans="8:8" s="150" ht="42.0" customFormat="1" customHeight="1">
      <c r="A8" s="227"/>
      <c r="B8" s="227"/>
      <c r="C8" s="231" t="s">
        <v>22</v>
      </c>
      <c r="D8" s="231" t="s">
        <v>45</v>
      </c>
      <c r="E8" s="231" t="s">
        <v>44</v>
      </c>
      <c r="F8" s="231" t="s">
        <v>46</v>
      </c>
      <c r="G8" s="231" t="s">
        <v>22</v>
      </c>
      <c r="H8" s="231" t="s">
        <v>45</v>
      </c>
      <c r="I8" s="231" t="s">
        <v>44</v>
      </c>
      <c r="J8" s="231" t="s">
        <v>46</v>
      </c>
      <c r="K8" s="231" t="s">
        <v>22</v>
      </c>
      <c r="L8" s="231" t="s">
        <v>45</v>
      </c>
      <c r="M8" s="231" t="s">
        <v>44</v>
      </c>
      <c r="N8" s="231" t="s">
        <v>46</v>
      </c>
      <c r="O8" s="231" t="s">
        <v>55</v>
      </c>
      <c r="P8" s="231" t="s">
        <v>48</v>
      </c>
      <c r="Q8" s="231" t="s">
        <v>47</v>
      </c>
      <c r="R8" s="232"/>
      <c r="S8" s="233"/>
      <c r="U8" s="234"/>
      <c r="V8" s="234"/>
    </row>
    <row r="9" spans="8:8" s="150" ht="15.0" hidden="1" customFormat="1" customHeight="1">
      <c r="A9" s="175">
        <v>1.0</v>
      </c>
      <c r="B9" s="175">
        <v>2.0</v>
      </c>
      <c r="C9" s="175">
        <v>3.0</v>
      </c>
      <c r="D9" s="175">
        <v>4.0</v>
      </c>
      <c r="E9" s="175">
        <v>5.0</v>
      </c>
      <c r="F9" s="175">
        <v>6.0</v>
      </c>
      <c r="G9" s="175">
        <v>7.0</v>
      </c>
      <c r="H9" s="175">
        <v>8.0</v>
      </c>
      <c r="I9" s="175">
        <v>9.0</v>
      </c>
      <c r="J9" s="175">
        <v>10.0</v>
      </c>
      <c r="K9" s="175">
        <v>11.0</v>
      </c>
      <c r="L9" s="175">
        <v>12.0</v>
      </c>
      <c r="M9" s="175">
        <v>13.0</v>
      </c>
      <c r="N9" s="175">
        <v>14.0</v>
      </c>
      <c r="O9" s="175">
        <v>15.0</v>
      </c>
      <c r="P9" s="175">
        <v>17.0</v>
      </c>
      <c r="Q9" s="175">
        <v>18.0</v>
      </c>
      <c r="R9" s="175">
        <v>19.0</v>
      </c>
      <c r="S9" s="175">
        <v>20.0</v>
      </c>
      <c r="U9" s="199"/>
      <c r="V9" s="199"/>
    </row>
    <row r="10" spans="8:8" s="150" ht="13.5" customFormat="1" customHeight="1">
      <c r="A10" s="235">
        <f>IF(B10="","",1)</f>
        <v>1.0</v>
      </c>
      <c r="B10" s="236">
        <f>_xlfn.IFERROR(IF(ISNA(VLOOKUP($Y$5,'MASTER DATA'!A$9:J$113,8,FALSE)),"",VLOOKUP($Y$5,'MASTER DATA'!A$9:T$113,8,FALSE)),"")</f>
        <v>46023.0</v>
      </c>
      <c r="C10" s="237">
        <f>_xlfn.IFERROR(IF(ISNA(VLOOKUP($D$5,'MASTER DATA'!A$9:J$113,5,FALSE)),"",VLOOKUP($D$5,'MASTER DATA'!A$9:N$113,5,FALSE)),"")</f>
        <v>77700.0</v>
      </c>
      <c r="D10" s="237">
        <f>IF(AND(C10=""),"",IF(AND($D$5=""),"",ROUND(C10*'MASTER DATA'!C$6%,0)))</f>
        <v>46620.0</v>
      </c>
      <c r="E10" s="237">
        <f>IF(AND(C10=""),"",IF(AND($D$5=""),"",ROUND(C10*'MASTER DATA'!H$6%,0)))</f>
        <v>7770.0</v>
      </c>
      <c r="F10" s="237">
        <f>IF(AND(C10=""),"",SUM(C10:E10))</f>
        <v>132090.0</v>
      </c>
      <c r="G10" s="237">
        <f>_xlfn.IFERROR(IF(ISNA(VLOOKUP(D5,'MASTER DATA'!A$9:J$113,5,FALSE)),"",VLOOKUP($D$5,'MASTER DATA'!A$9:N$113,5,FALSE)),"")</f>
        <v>77700.0</v>
      </c>
      <c r="H10" s="237">
        <f>IF(AND(G10=""),"",IF(AND($D$5=""),"",ROUND(G10*'MASTER DATA'!C$5%,0)))</f>
        <v>45066.0</v>
      </c>
      <c r="I10" s="237">
        <f>IF(AND(G10=""),"",IF(AND($D$5=""),"",ROUND(G10*'MASTER DATA'!H$5%,0)))</f>
        <v>7770.0</v>
      </c>
      <c r="J10" s="237">
        <f>IF(AND(C10=""),"",SUM(G10:I10))</f>
        <v>130536.0</v>
      </c>
      <c r="K10" s="237">
        <f t="shared" si="0" ref="K10:L13">IF(AND(C10=""),"",IF(AND(G10=""),"",C10-G10))</f>
        <v>0.0</v>
      </c>
      <c r="L10" s="237">
        <f t="shared" si="0"/>
        <v>1554.0</v>
      </c>
      <c r="M10" s="237">
        <f>IF(AND(E10=""),"",IF(AND(I10=""),"",IF(AND(B10=$Y$10),"0",IF(AND(B10=$Y$11),"0",IF(AND(B10=$Y$12),"0",IF(AND(B10=$Y$13),"0",E10-I10))))))</f>
        <v>0.0</v>
      </c>
      <c r="N10" s="237">
        <f>IF(AND(F10=""),"",IF(AND(J10=""),"",SUM(K10:M10)))</f>
        <v>1554.0</v>
      </c>
      <c r="O10" s="237" t="str">
        <f>IF(AND(C10=""),"",IF(OR(B10=$Y$10,B10=$Y$11,B10=$Y$12),N10-M10-P10,"0"))</f>
        <v>0</v>
      </c>
      <c r="P10" s="237" t="str">
        <f>IF(AND($Y$5=""),"",IF(AND(N10=""),"0",IF(AND(O10="0"),"0",ROUND(SUM(K10:L10)*AA$2%,0))))</f>
        <v>0</v>
      </c>
      <c r="Q10" s="237" t="str">
        <f>IF(AND($Y$5=""),"",IF(AND(C10=""),"0",IF(AND(O10="0"),"0",SUM(O10,P10))))</f>
        <v>0</v>
      </c>
      <c r="R10" s="237">
        <f>IF(AND(N10=""),"",IF(B10=$Y$10,"0",IF(B10=$Y$11,"0",IF(B10=$Y$12,"0",IF(B10=$Y$13,"0",N10-Q10)))))</f>
        <v>1554.0</v>
      </c>
      <c r="S10" s="238"/>
      <c r="T10" s="2"/>
      <c r="U10" s="239"/>
      <c r="V10" s="239"/>
      <c r="W10" s="2"/>
      <c r="X10" s="87">
        <f>IF(ISNA(VLOOKUP($D$5,'MASTER DATA'!A$9:J$113,8,FALSE)),"",VLOOKUP($D$5,'MASTER DATA'!A$9:N$113,8,FALSE))</f>
        <v>46023.0</v>
      </c>
      <c r="Y10" s="87">
        <v>45839.0</v>
      </c>
    </row>
    <row r="11" spans="8:8" s="150" ht="13.5" customFormat="1" customHeight="1">
      <c r="A11" s="235">
        <f>IF(B11="","",A10+1)</f>
        <v>2.0</v>
      </c>
      <c r="B11" s="236">
        <f>IF(AND($D$5=""),"",IF(AND($W$2&lt;2),"",X11))</f>
        <v>46054.0</v>
      </c>
      <c r="C11" s="237">
        <f>IF(AND($D$5=""),"",IF(AND(B11=""),"",C10))</f>
        <v>77700.0</v>
      </c>
      <c r="D11" s="237">
        <f>IF(AND(C11=""),"",IF(AND($D$5=""),"",ROUND(C11*'MASTER DATA'!C$6%,0)))</f>
        <v>46620.0</v>
      </c>
      <c r="E11" s="237">
        <f>IF(AND(C11=""),"",IF(AND($D$5=""),"",ROUND(C11*'MASTER DATA'!H$6%,0)))</f>
        <v>7770.0</v>
      </c>
      <c r="F11" s="237">
        <f>IF(AND(C11=""),"",SUM(C11:E11))</f>
        <v>132090.0</v>
      </c>
      <c r="G11" s="237">
        <f>IF(C11="","",IF(AND($D$5=""),"",G10))</f>
        <v>77700.0</v>
      </c>
      <c r="H11" s="237">
        <f>IF(AND(G11=""),"",IF(AND($D$5=""),"",ROUND(G11*'MASTER DATA'!C$5%,0)))</f>
        <v>45066.0</v>
      </c>
      <c r="I11" s="237">
        <f>IF(AND(G11=""),"",IF(AND($D$5=""),"",ROUND(G11*'MASTER DATA'!H$5%,0)))</f>
        <v>7770.0</v>
      </c>
      <c r="J11" s="237">
        <f>IF(AND(C11=""),"",SUM(G11:I11))</f>
        <v>130536.0</v>
      </c>
      <c r="K11" s="237">
        <f t="shared" si="0"/>
        <v>0.0</v>
      </c>
      <c r="L11" s="237">
        <f t="shared" si="0"/>
        <v>1554.0</v>
      </c>
      <c r="M11" s="237">
        <f t="shared" si="1" ref="M11:M13">IF(AND(E11=""),"",IF(AND(I11=""),"",IF(AND(B11=$Y$10),"0",IF(AND(B11=$Y$11),"0",IF(AND(B11=$Y$12),"0",IF(AND(B11=$Y$13),"0",E11-I11))))))</f>
        <v>0.0</v>
      </c>
      <c r="N11" s="237">
        <f t="shared" si="2" ref="N11:N13">IF(AND(F11=""),"",IF(AND(J11=""),"",SUM(K11:M11)))</f>
        <v>1554.0</v>
      </c>
      <c r="O11" s="237" t="str">
        <f t="shared" si="3" ref="O11:O13">IF(AND(C11=""),"",IF(OR(B11=$Y$10,B11=$Y$11,B11=$Y$12),N11-M11-P11,"0"))</f>
        <v>0</v>
      </c>
      <c r="P11" s="237" t="str">
        <f t="shared" si="4" ref="P11:P13">IF(AND($Y$5=""),"",IF(AND(N11=""),"0",IF(AND(O11="0"),"0",ROUND(SUM(K11:L11)*AA$2%,0))))</f>
        <v>0</v>
      </c>
      <c r="Q11" s="237" t="str">
        <f t="shared" si="5" ref="Q11:Q13">IF(AND($Y$5=""),"",IF(AND(C11=""),"0",IF(AND(O11="0"),"0",SUM(O11,P11))))</f>
        <v>0</v>
      </c>
      <c r="R11" s="237">
        <f t="shared" si="6" ref="R11:R13">IF(AND(N11=""),"",IF(B11=$Y$10,"0",IF(B11=$Y$11,"0",IF(B11=$Y$12,"0",IF(B11=$Y$13,"0",N11-Q11)))))</f>
        <v>1554.0</v>
      </c>
      <c r="S11" s="238"/>
      <c r="T11" s="240" t="s">
        <v>76</v>
      </c>
      <c r="U11" s="240"/>
      <c r="V11" s="240"/>
      <c r="W11" s="2"/>
      <c r="X11" s="87">
        <f>DATE(YEAR(X10),MONTH(X10)+1,DAY(X10))</f>
        <v>46054.0</v>
      </c>
      <c r="Y11" s="87">
        <v>45870.0</v>
      </c>
    </row>
    <row r="12" spans="8:8" s="150" ht="13.5" customFormat="1" customHeight="1">
      <c r="A12" s="235">
        <f>IF(B12="","",A11+1)</f>
        <v>3.0</v>
      </c>
      <c r="B12" s="236">
        <f>IF(AND($D$5=""),"",IF(AND($W$2&lt;3),"",X12))</f>
        <v>46082.0</v>
      </c>
      <c r="C12" s="237">
        <f>IF(AND($D$5=""),"",IF(AND(B12=""),"",C11))</f>
        <v>77700.0</v>
      </c>
      <c r="D12" s="237">
        <f>IF(AND(C12=""),"",IF(AND($D$5=""),"",ROUND(C12*'MASTER DATA'!C$6%,0)))</f>
        <v>46620.0</v>
      </c>
      <c r="E12" s="237">
        <f>IF(AND(C12=""),"",IF(AND($D$5=""),"",ROUND(C12*'MASTER DATA'!H$6%,0)))</f>
        <v>7770.0</v>
      </c>
      <c r="F12" s="237">
        <f>IF(AND(C12=""),"",SUM(C12:E12))</f>
        <v>132090.0</v>
      </c>
      <c r="G12" s="237">
        <f>IF(C12="","",IF(AND($D$5=""),"",G11))</f>
        <v>77700.0</v>
      </c>
      <c r="H12" s="237">
        <f>IF(AND(G12=""),"",IF(AND($D$5=""),"",ROUND(G12*'MASTER DATA'!C$5%,0)))</f>
        <v>45066.0</v>
      </c>
      <c r="I12" s="237">
        <f>IF(AND(G12=""),"",IF(AND($D$5=""),"",ROUND(G12*'MASTER DATA'!H$5%,0)))</f>
        <v>7770.0</v>
      </c>
      <c r="J12" s="237">
        <f>IF(AND(C12=""),"",SUM(G12:I12))</f>
        <v>130536.0</v>
      </c>
      <c r="K12" s="237">
        <f t="shared" si="0"/>
        <v>0.0</v>
      </c>
      <c r="L12" s="237">
        <f t="shared" si="0"/>
        <v>1554.0</v>
      </c>
      <c r="M12" s="237">
        <f>IF(AND(E12=""),"",IF(AND(I12=""),"",IF(AND(B12=$Y$10),"0",IF(AND(B12=$Y$11),"0",IF(AND(B12=$Y$12),"0",IF(AND(B12=$Y$13),"0",E12-I12))))))</f>
        <v>0.0</v>
      </c>
      <c r="N12" s="237">
        <f t="shared" si="2"/>
        <v>1554.0</v>
      </c>
      <c r="O12" s="237" t="str">
        <f t="shared" si="3"/>
        <v>0</v>
      </c>
      <c r="P12" s="237" t="str">
        <f t="shared" si="4"/>
        <v>0</v>
      </c>
      <c r="Q12" s="237" t="str">
        <f t="shared" si="5"/>
        <v>0</v>
      </c>
      <c r="R12" s="237">
        <f t="shared" si="6"/>
        <v>1554.0</v>
      </c>
      <c r="S12" s="238"/>
      <c r="T12" s="240"/>
      <c r="U12" s="240"/>
      <c r="V12" s="240"/>
      <c r="W12" s="2"/>
      <c r="X12" s="87">
        <f>DATE(YEAR(X11),MONTH(X11)+1,DAY(X11))</f>
        <v>46082.0</v>
      </c>
      <c r="Y12" s="87">
        <v>45901.0</v>
      </c>
    </row>
    <row r="13" spans="8:8" s="150" ht="13.5" customFormat="1" customHeight="1">
      <c r="A13" s="235">
        <f>IF(B13="","",A12+1)</f>
        <v>4.0</v>
      </c>
      <c r="B13" s="236">
        <f>IF(AND($D$5=""),"",IF(AND($W$2&lt;4),"",X13))</f>
        <v>46113.0</v>
      </c>
      <c r="C13" s="237">
        <f>IF(AND($D$5=""),"",IF(AND(B13=""),"",C12))</f>
        <v>77700.0</v>
      </c>
      <c r="D13" s="237">
        <f>IF(AND(C13=""),"",IF(AND($D$5=""),"",ROUND(C13*'MASTER DATA'!C$6%,0)))</f>
        <v>46620.0</v>
      </c>
      <c r="E13" s="237">
        <f>IF(AND(C13=""),"",IF(AND($D$5=""),"",ROUND(C13*'MASTER DATA'!H$6%,0)))</f>
        <v>7770.0</v>
      </c>
      <c r="F13" s="237">
        <f>IF(AND(C13=""),"",SUM(C13:E13))</f>
        <v>132090.0</v>
      </c>
      <c r="G13" s="237">
        <f>IF(C13="","",IF(AND($D$5=""),"",G12))</f>
        <v>77700.0</v>
      </c>
      <c r="H13" s="237">
        <f>IF(AND(G13=""),"",IF(AND($D$5=""),"",ROUND(G13*'MASTER DATA'!C$5%,0)))</f>
        <v>45066.0</v>
      </c>
      <c r="I13" s="237">
        <f>IF(AND(G13=""),"",IF(AND($D$5=""),"",ROUND(G13*'MASTER DATA'!H$5%,0)))</f>
        <v>7770.0</v>
      </c>
      <c r="J13" s="237">
        <f>IF(AND(C13=""),"",SUM(G13:I13))</f>
        <v>130536.0</v>
      </c>
      <c r="K13" s="237">
        <f t="shared" si="0"/>
        <v>0.0</v>
      </c>
      <c r="L13" s="237">
        <f t="shared" si="0"/>
        <v>1554.0</v>
      </c>
      <c r="M13" s="237">
        <f t="shared" si="1"/>
        <v>0.0</v>
      </c>
      <c r="N13" s="237">
        <f t="shared" si="2"/>
        <v>1554.0</v>
      </c>
      <c r="O13" s="237" t="str">
        <f t="shared" si="3"/>
        <v>0</v>
      </c>
      <c r="P13" s="237" t="str">
        <f t="shared" si="4"/>
        <v>0</v>
      </c>
      <c r="Q13" s="237" t="str">
        <f t="shared" si="5"/>
        <v>0</v>
      </c>
      <c r="R13" s="237">
        <f t="shared" si="6"/>
        <v>1554.0</v>
      </c>
      <c r="S13" s="238"/>
      <c r="T13" s="240"/>
      <c r="U13" s="240"/>
      <c r="V13" s="240"/>
      <c r="W13" s="2"/>
      <c r="X13" s="87">
        <f>DATE(YEAR(X12),MONTH(X12)+1,DAY(X12))</f>
        <v>46113.0</v>
      </c>
      <c r="Y13" s="87"/>
    </row>
    <row r="14" spans="8:8" s="150" ht="13.5" customFormat="1" customHeight="1">
      <c r="A14" s="181" t="s">
        <v>0</v>
      </c>
      <c r="B14" s="181"/>
      <c r="C14" s="182">
        <f>IF(AND($Y$5=""),"",SUM(C10:C13))</f>
        <v>310800.0</v>
      </c>
      <c r="D14" s="182">
        <f t="shared" si="7" ref="D14:R14">IF(AND($Y$5=""),"",SUM(D10:D13))</f>
        <v>186480.0</v>
      </c>
      <c r="E14" s="182">
        <f t="shared" si="7"/>
        <v>31080.0</v>
      </c>
      <c r="F14" s="182">
        <f t="shared" si="7"/>
        <v>528360.0</v>
      </c>
      <c r="G14" s="182">
        <f t="shared" si="7"/>
        <v>310800.0</v>
      </c>
      <c r="H14" s="182">
        <f t="shared" si="7"/>
        <v>180264.0</v>
      </c>
      <c r="I14" s="182">
        <f t="shared" si="7"/>
        <v>31080.0</v>
      </c>
      <c r="J14" s="182">
        <f t="shared" si="7"/>
        <v>522144.0</v>
      </c>
      <c r="K14" s="182">
        <f t="shared" si="7"/>
        <v>0.0</v>
      </c>
      <c r="L14" s="182">
        <f t="shared" si="7"/>
        <v>6216.0</v>
      </c>
      <c r="M14" s="182">
        <f t="shared" si="7"/>
        <v>0.0</v>
      </c>
      <c r="N14" s="182">
        <f t="shared" si="7"/>
        <v>6216.0</v>
      </c>
      <c r="O14" s="182">
        <f t="shared" si="7"/>
        <v>0.0</v>
      </c>
      <c r="P14" s="182">
        <f t="shared" si="7"/>
        <v>0.0</v>
      </c>
      <c r="Q14" s="182">
        <f t="shared" si="7"/>
        <v>0.0</v>
      </c>
      <c r="R14" s="182">
        <f t="shared" si="7"/>
        <v>6216.0</v>
      </c>
      <c r="S14" s="183"/>
      <c r="T14" s="240"/>
      <c r="U14" s="240"/>
      <c r="V14" s="240"/>
      <c r="W14" s="2"/>
      <c r="X14" s="87">
        <f>DATE(YEAR(X13),MONTH(X13)+1,DAY(X13))</f>
        <v>46143.0</v>
      </c>
      <c r="Y14" s="87"/>
    </row>
    <row r="15" spans="8:8" ht="15.0" hidden="1" customHeight="1">
      <c r="T15" s="240"/>
      <c r="U15" s="240"/>
      <c r="V15" s="240"/>
    </row>
    <row r="16" spans="8:8" ht="17.25" customHeight="1">
      <c r="B16" s="219" t="s">
        <v>19</v>
      </c>
      <c r="C16" s="218"/>
      <c r="D16" s="241">
        <f>D5+1</f>
        <v>2.0</v>
      </c>
      <c r="E16" s="221" t="s">
        <v>41</v>
      </c>
      <c r="F16" s="221"/>
      <c r="G16" s="221"/>
      <c r="H16" s="221"/>
      <c r="I16" s="221"/>
      <c r="J16" s="242" t="str">
        <f>IF(ISNA(VLOOKUP($D$16,'MASTER DATA'!A$9:J$113,2,FALSE)),"",VLOOKUP($D$16,'MASTER DATA'!A$9:N$113,2,FALSE))</f>
        <v>BHAGU RAM</v>
      </c>
      <c r="K16" s="242"/>
      <c r="L16" s="242"/>
      <c r="M16" s="242"/>
      <c r="N16" s="242"/>
      <c r="O16" s="219" t="s">
        <v>42</v>
      </c>
      <c r="P16" s="243" t="str">
        <f>IF(ISNA(VLOOKUP($D$16,'MASTER DATA'!A$9:J$113,3,FALSE)),"",VLOOKUP($D$16,'MASTER DATA'!A$9:N$113,3,FALSE))</f>
        <v>Sr. Teacher</v>
      </c>
      <c r="Q16" s="243"/>
      <c r="R16" s="243"/>
      <c r="S16" s="243"/>
      <c r="T16" s="240"/>
      <c r="U16" s="240"/>
      <c r="V16" s="240"/>
      <c r="AB16" s="150" t="str">
        <f>IF(ISNA(VLOOKUP($Y$5,'MASTER DATA'!B$9:J$113,7,FALSE)),"",VLOOKUP($Y$5,'MASTER DATA'!B$9:O$113,7,FALSE))</f>
        <v/>
      </c>
    </row>
    <row r="17" spans="8:8" ht="15.0" hidden="1" customHeight="1">
      <c r="A17" s="226" t="s">
        <v>65</v>
      </c>
      <c r="B17" s="226"/>
      <c r="C17" s="226"/>
      <c r="D17" s="226"/>
      <c r="E17" s="226"/>
      <c r="F17" s="226"/>
      <c r="G17" s="226"/>
      <c r="H17" s="226"/>
      <c r="I17" s="226"/>
      <c r="J17" s="226"/>
      <c r="K17" s="226"/>
      <c r="L17" s="226"/>
      <c r="M17" s="226"/>
      <c r="N17" s="226"/>
      <c r="O17" s="226"/>
      <c r="P17" s="226"/>
      <c r="Q17" s="226"/>
      <c r="R17" s="226"/>
      <c r="S17" s="226"/>
      <c r="T17" s="240"/>
      <c r="U17" s="240"/>
      <c r="V17" s="240"/>
      <c r="W17" s="2">
        <f>IF(ISNA(VLOOKUP($Y$19,'MASTER DATA'!A$9:J$113,4,FALSE)),"",VLOOKUP($Y$19,'MASTER DATA'!A$9:N$113,4,FALSE))</f>
        <v>3.0</v>
      </c>
      <c r="X17" s="150" t="str">
        <f>IF(ISNA(VLOOKUP($Y$19,'MASTER DATA'!A$9:J$113,6,FALSE)),"",VLOOKUP($Y$19,'MASTER DATA'!A$9:N$113,6,FALSE))</f>
        <v>GPF-2004</v>
      </c>
      <c r="Y17" s="150" t="s">
        <v>9</v>
      </c>
      <c r="Z17" s="150" t="s">
        <v>2</v>
      </c>
      <c r="AA17" s="2">
        <f>IF(ISNA(VLOOKUP($Y$19,'MASTER DATA'!A$9:J$113,7,FALSE)),"",VLOOKUP($Y$19,'MASTER DATA'!A$9:N$113,7,FALSE))</f>
        <v>15.0</v>
      </c>
      <c r="AB17" s="150"/>
    </row>
    <row r="18" spans="8:8" ht="15.0" customHeight="1">
      <c r="A18" s="227" t="s">
        <v>19</v>
      </c>
      <c r="B18" s="227" t="s">
        <v>43</v>
      </c>
      <c r="C18" s="228" t="s">
        <v>53</v>
      </c>
      <c r="D18" s="228"/>
      <c r="E18" s="228"/>
      <c r="F18" s="228"/>
      <c r="G18" s="228" t="s">
        <v>54</v>
      </c>
      <c r="H18" s="228"/>
      <c r="I18" s="228"/>
      <c r="J18" s="228"/>
      <c r="K18" s="228" t="s">
        <v>49</v>
      </c>
      <c r="L18" s="228"/>
      <c r="M18" s="228"/>
      <c r="N18" s="228"/>
      <c r="O18" s="228" t="s">
        <v>50</v>
      </c>
      <c r="P18" s="228"/>
      <c r="Q18" s="228"/>
      <c r="R18" s="229" t="s">
        <v>51</v>
      </c>
      <c r="S18" s="229" t="s">
        <v>52</v>
      </c>
      <c r="T18" s="240"/>
      <c r="U18" s="240"/>
      <c r="V18" s="240"/>
      <c r="X18" s="150">
        <f>IF(ISNA(VLOOKUP($Y$19,'MASTER DATA'!A$9:J$113,8,FALSE)),"",VLOOKUP($Y$19,'MASTER DATA'!A$9:N$113,8,FALSE))</f>
        <v>46023.0</v>
      </c>
      <c r="Y18" s="150" t="s">
        <v>8</v>
      </c>
      <c r="Z18" s="150"/>
      <c r="AA18" s="172"/>
      <c r="AB18" s="150"/>
    </row>
    <row r="19" spans="8:8" ht="42.0" customHeight="1">
      <c r="A19" s="227"/>
      <c r="B19" s="227"/>
      <c r="C19" s="231" t="s">
        <v>22</v>
      </c>
      <c r="D19" s="231" t="s">
        <v>45</v>
      </c>
      <c r="E19" s="231" t="s">
        <v>44</v>
      </c>
      <c r="F19" s="231" t="s">
        <v>46</v>
      </c>
      <c r="G19" s="231" t="s">
        <v>22</v>
      </c>
      <c r="H19" s="231" t="s">
        <v>45</v>
      </c>
      <c r="I19" s="231" t="s">
        <v>44</v>
      </c>
      <c r="J19" s="231" t="s">
        <v>46</v>
      </c>
      <c r="K19" s="231" t="s">
        <v>22</v>
      </c>
      <c r="L19" s="231" t="s">
        <v>45</v>
      </c>
      <c r="M19" s="231" t="s">
        <v>44</v>
      </c>
      <c r="N19" s="231" t="s">
        <v>46</v>
      </c>
      <c r="O19" s="231" t="s">
        <v>55</v>
      </c>
      <c r="P19" s="231" t="s">
        <v>48</v>
      </c>
      <c r="Q19" s="231" t="s">
        <v>47</v>
      </c>
      <c r="R19" s="232"/>
      <c r="S19" s="232"/>
      <c r="T19" s="240"/>
      <c r="U19" s="240"/>
      <c r="V19" s="240"/>
      <c r="X19" s="224" t="s">
        <v>10</v>
      </c>
      <c r="Y19" s="225">
        <f>Y5+1</f>
        <v>2.0</v>
      </c>
      <c r="AA19" s="150"/>
      <c r="AB19" s="150"/>
    </row>
    <row r="20" spans="8:8" ht="15.0" hidden="1" customHeight="1">
      <c r="A20" s="175">
        <v>1.0</v>
      </c>
      <c r="B20" s="175">
        <v>2.0</v>
      </c>
      <c r="C20" s="175">
        <v>3.0</v>
      </c>
      <c r="D20" s="175">
        <v>4.0</v>
      </c>
      <c r="E20" s="175">
        <v>5.0</v>
      </c>
      <c r="F20" s="175">
        <v>6.0</v>
      </c>
      <c r="G20" s="175">
        <v>7.0</v>
      </c>
      <c r="H20" s="175">
        <v>8.0</v>
      </c>
      <c r="I20" s="175">
        <v>9.0</v>
      </c>
      <c r="J20" s="175">
        <v>10.0</v>
      </c>
      <c r="K20" s="175">
        <v>11.0</v>
      </c>
      <c r="L20" s="175">
        <v>12.0</v>
      </c>
      <c r="M20" s="175">
        <v>13.0</v>
      </c>
      <c r="N20" s="175">
        <v>14.0</v>
      </c>
      <c r="O20" s="175">
        <v>15.0</v>
      </c>
      <c r="P20" s="175">
        <v>17.0</v>
      </c>
      <c r="Q20" s="175">
        <v>18.0</v>
      </c>
      <c r="R20" s="175">
        <v>19.0</v>
      </c>
      <c r="S20" s="175">
        <v>20.0</v>
      </c>
      <c r="T20" s="240"/>
      <c r="U20" s="240"/>
      <c r="V20" s="240"/>
    </row>
    <row r="21" spans="8:8" ht="13.5" customHeight="1">
      <c r="A21" s="235">
        <f>IF(B21="","",1)</f>
        <v>1.0</v>
      </c>
      <c r="B21" s="236">
        <f>IF(AND($D$16=""),"",X21)</f>
        <v>46023.0</v>
      </c>
      <c r="C21" s="237">
        <f>_xlfn.IFERROR(IF(ISNA(VLOOKUP($D$16,'MASTER DATA'!A$9:J$113,5,FALSE)),"",VLOOKUP($D$16,'MASTER DATA'!A$9:N$113,5,FALSE)),"")</f>
        <v>47000.0</v>
      </c>
      <c r="D21" s="237">
        <f>IF(AND(C21=""),"",IF(AND($D$16=""),"",ROUND(C21*'MASTER DATA'!C$6%,0)))</f>
        <v>28200.0</v>
      </c>
      <c r="E21" s="237">
        <f>IF(AND(C21=""),"",IF(AND($D$16=""),"",ROUND(C21*'MASTER DATA'!H$6%,0)))</f>
        <v>4700.0</v>
      </c>
      <c r="F21" s="237">
        <f>IF(AND(C21=""),"",SUM(C21:E21))</f>
        <v>79900.0</v>
      </c>
      <c r="G21" s="237">
        <f>_xlfn.IFERROR(IF(ISNA(VLOOKUP($D$16,'MASTER DATA'!A$9:J$113,5,FALSE)),"",VLOOKUP($D$16,'MASTER DATA'!A$9:N$113,5,FALSE)),"")</f>
        <v>47000.0</v>
      </c>
      <c r="H21" s="237">
        <f>IF(AND(G21=""),"",IF(AND($D$16=""),"",ROUND(G21*'MASTER DATA'!C$5%,0)))</f>
        <v>27260.0</v>
      </c>
      <c r="I21" s="237">
        <f>IF(AND(G21=""),"",IF(AND($D$16=""),"",ROUND(G21*'MASTER DATA'!H$5%,0)))</f>
        <v>4700.0</v>
      </c>
      <c r="J21" s="237">
        <f>IF(AND(C21=""),"",SUM(G21:I21))</f>
        <v>78960.0</v>
      </c>
      <c r="K21" s="237">
        <f t="shared" si="8" ref="K21:L24">IF(AND(C21=""),"",IF(AND(G21=""),"",C21-G21))</f>
        <v>0.0</v>
      </c>
      <c r="L21" s="237">
        <f t="shared" si="8"/>
        <v>940.0</v>
      </c>
      <c r="M21" s="237">
        <f>IF(AND(E21=""),"",IF(AND(I21=""),"",IF(AND(B21=$Y$10),"0",IF(AND(B21=$Y$11),"0",IF(AND(B21=$Y$12),"0",IF(AND(B21=$Y$13),"0",E10-I10))))))</f>
        <v>0.0</v>
      </c>
      <c r="N21" s="237">
        <f>IF(AND(F21=""),"",IF(AND(J21=""),"",SUM(K21:M21)))</f>
        <v>940.0</v>
      </c>
      <c r="O21" s="237" t="str">
        <f>IF(AND(C21=""),"",IF(OR(B21=$Y$21,B21=$Y$22,B21=$Y$23),N21-M21-P21,"0"))</f>
        <v>0</v>
      </c>
      <c r="P21" s="237" t="str">
        <f>IF(AND($Y$19=""),"",IF(AND(N21="0"),"0",IF(AND(O21="0"),"0",ROUND(SUM(K21:M21)*AA$17%,0))))</f>
        <v>0</v>
      </c>
      <c r="Q21" s="237">
        <f>IF(AND($Y$19=""),"",IF(AND(C21=""),"",IF(AND(O21=""),"",SUM(O21,P21))))</f>
        <v>0.0</v>
      </c>
      <c r="R21" s="237">
        <f>IF(AND(N21=""),"",IF(AND(Q21=""),"",N21-Q21))</f>
        <v>940.0</v>
      </c>
      <c r="S21" s="238"/>
      <c r="T21" s="240"/>
      <c r="U21" s="240"/>
      <c r="V21" s="240"/>
      <c r="X21" s="87">
        <f>IF(ISNA(VLOOKUP($D$16,'MASTER DATA'!A$9:J$113,8,FALSE)),"",VLOOKUP($D$16,'MASTER DATA'!A$9:N$113,8,FALSE))</f>
        <v>46023.0</v>
      </c>
      <c r="Y21" s="87">
        <v>45839.0</v>
      </c>
    </row>
    <row r="22" spans="8:8" ht="13.5" customHeight="1">
      <c r="A22" s="235">
        <f>IF(B22="","",A21+1)</f>
        <v>2.0</v>
      </c>
      <c r="B22" s="236">
        <f>IF(AND($D$16=""),"",IF(AND($W$17&lt;2),"",X22))</f>
        <v>46054.0</v>
      </c>
      <c r="C22" s="237">
        <f>IF(AND($D$16=""),"",IF(AND(B22=""),"",C21))</f>
        <v>47000.0</v>
      </c>
      <c r="D22" s="237">
        <f>IF(AND(C22=""),"",IF(AND($D$16=""),"",ROUND(C22*'MASTER DATA'!C$6%,0)))</f>
        <v>28200.0</v>
      </c>
      <c r="E22" s="237">
        <f>IF(AND(C22=""),"",IF(AND($D$16=""),"",ROUND(C22*'MASTER DATA'!H$6%,0)))</f>
        <v>4700.0</v>
      </c>
      <c r="F22" s="237">
        <f>IF(AND(C22=""),"",SUM(C22:E22))</f>
        <v>79900.0</v>
      </c>
      <c r="G22" s="237">
        <f>IF(C22="","",IF(AND($D$16=""),"",G21))</f>
        <v>47000.0</v>
      </c>
      <c r="H22" s="237">
        <f>IF(AND(G22=""),"",IF(AND($D$16=""),"",ROUND(G22*'MASTER DATA'!C$5%,0)))</f>
        <v>27260.0</v>
      </c>
      <c r="I22" s="237">
        <f>IF(AND(G22=""),"",IF(AND($D$16=""),"",ROUND(G22*'MASTER DATA'!H$5%,0)))</f>
        <v>4700.0</v>
      </c>
      <c r="J22" s="237">
        <f>IF(AND(C22=""),"",SUM(G22:I22))</f>
        <v>78960.0</v>
      </c>
      <c r="K22" s="237">
        <f t="shared" si="8"/>
        <v>0.0</v>
      </c>
      <c r="L22" s="237">
        <f t="shared" si="8"/>
        <v>940.0</v>
      </c>
      <c r="M22" s="237">
        <f t="shared" si="9" ref="M22:M24">IF(AND(E22=""),"",IF(AND(I22=""),"",IF(AND(B22=$Y$10),"0",IF(AND(B22=$Y$11),"0",IF(AND(B22=$Y$12),"0",IF(AND(B22=$Y$13),"0",E11-I11))))))</f>
        <v>0.0</v>
      </c>
      <c r="N22" s="237">
        <f t="shared" si="10" ref="N22:N24">IF(AND(F22=""),"",IF(AND(J22=""),"",SUM(K22:M22)))</f>
        <v>940.0</v>
      </c>
      <c r="O22" s="237" t="str">
        <f t="shared" si="11" ref="O22:O24">IF(AND(C22=""),"",IF(OR(B22=$Y$21,B22=$Y$22,B22=$Y$23),N22-M22-P22,"0"))</f>
        <v>0</v>
      </c>
      <c r="P22" s="237" t="str">
        <f t="shared" si="12" ref="P22:P24">IF(AND($Y$19=""),"",IF(AND(N22="0"),"0",IF(AND(O22="0"),"0",ROUND(SUM(K22:M22)*AA$17%,0))))</f>
        <v>0</v>
      </c>
      <c r="Q22" s="237">
        <f t="shared" si="13" ref="Q22:Q24">IF(AND($Y$19=""),"",IF(AND(C22=""),"",IF(AND(O22=""),"",SUM(O22,P22))))</f>
        <v>0.0</v>
      </c>
      <c r="R22" s="237">
        <f>IF(AND(N22=""),"",IF(AND(Q22=""),"",N22-Q22))</f>
        <v>940.0</v>
      </c>
      <c r="S22" s="238"/>
      <c r="T22" s="240"/>
      <c r="U22" s="240"/>
      <c r="V22" s="240"/>
      <c r="X22" s="87">
        <f>DATE(YEAR(X21),MONTH(X21)+1,DAY(X21))</f>
        <v>46054.0</v>
      </c>
      <c r="Y22" s="87">
        <v>45870.0</v>
      </c>
    </row>
    <row r="23" spans="8:8" ht="13.5" customHeight="1">
      <c r="A23" s="235">
        <f>IF(B23="","",A22+1)</f>
        <v>3.0</v>
      </c>
      <c r="B23" s="236">
        <f>IF(AND($D$16=""),"",IF(AND($W$17&lt;3),"",X23))</f>
        <v>46082.0</v>
      </c>
      <c r="C23" s="237">
        <f>IF(AND($D$16=""),"",IF(AND(B23=""),"",C22))</f>
        <v>47000.0</v>
      </c>
      <c r="D23" s="237">
        <f>IF(AND(C23=""),"",IF(AND($D$16=""),"",ROUND(C23*'MASTER DATA'!C$6%,0)))</f>
        <v>28200.0</v>
      </c>
      <c r="E23" s="237">
        <f>IF(AND(C23=""),"",IF(AND($D$16=""),"",ROUND(C23*'MASTER DATA'!H$6%,0)))</f>
        <v>4700.0</v>
      </c>
      <c r="F23" s="237">
        <f>IF(AND(C23=""),"",SUM(C23:E23))</f>
        <v>79900.0</v>
      </c>
      <c r="G23" s="237">
        <f>IF(C23="","",IF(AND($D$16=""),"",G22))</f>
        <v>47000.0</v>
      </c>
      <c r="H23" s="237">
        <f>IF(AND(G23=""),"",IF(AND($D$16=""),"",ROUND(G23*'MASTER DATA'!C$5%,0)))</f>
        <v>27260.0</v>
      </c>
      <c r="I23" s="237">
        <f>IF(AND(G23=""),"",IF(AND($D$16=""),"",ROUND(G23*'MASTER DATA'!H$5%,0)))</f>
        <v>4700.0</v>
      </c>
      <c r="J23" s="237">
        <f>IF(AND(C23=""),"",SUM(G23:I23))</f>
        <v>78960.0</v>
      </c>
      <c r="K23" s="237">
        <f t="shared" si="8"/>
        <v>0.0</v>
      </c>
      <c r="L23" s="237">
        <f t="shared" si="8"/>
        <v>940.0</v>
      </c>
      <c r="M23" s="237">
        <f t="shared" si="9"/>
        <v>0.0</v>
      </c>
      <c r="N23" s="237">
        <f t="shared" si="10"/>
        <v>940.0</v>
      </c>
      <c r="O23" s="237" t="str">
        <f t="shared" si="11"/>
        <v>0</v>
      </c>
      <c r="P23" s="237" t="str">
        <f t="shared" si="12"/>
        <v>0</v>
      </c>
      <c r="Q23" s="237">
        <f t="shared" si="13"/>
        <v>0.0</v>
      </c>
      <c r="R23" s="237">
        <f>IF(AND(N23=""),"",IF(AND(Q23=""),"",N23-Q23))</f>
        <v>940.0</v>
      </c>
      <c r="S23" s="238"/>
      <c r="T23" s="240"/>
      <c r="U23" s="240"/>
      <c r="V23" s="240"/>
      <c r="X23" s="87">
        <f>DATE(YEAR(X22),MONTH(X22)+1,DAY(X22))</f>
        <v>46082.0</v>
      </c>
      <c r="Y23" s="87">
        <v>45901.0</v>
      </c>
    </row>
    <row r="24" spans="8:8" ht="13.5" customHeight="1">
      <c r="A24" s="235" t="str">
        <f>IF(B24="","",A23+1)</f>
        <v/>
      </c>
      <c r="B24" s="236" t="str">
        <f>IF(AND($D$16=""),"",IF(AND($W$17&lt;4),"",X24))</f>
        <v/>
      </c>
      <c r="C24" s="237" t="str">
        <f>IF(AND($D$16=""),"",IF(AND(B24=""),"",C23))</f>
        <v/>
      </c>
      <c r="D24" s="237" t="str">
        <f>IF(AND(C24=""),"",IF(AND($D$16=""),"",ROUND(C24*'MASTER DATA'!C$6%,0)))</f>
        <v/>
      </c>
      <c r="E24" s="237" t="str">
        <f>IF(AND(C24=""),"",IF(AND($D$16=""),"",ROUND(C24*'MASTER DATA'!H$6%,0)))</f>
        <v/>
      </c>
      <c r="F24" s="237" t="str">
        <f>IF(AND(C24=""),"",SUM(C24:E24))</f>
        <v/>
      </c>
      <c r="G24" s="237" t="str">
        <f>IF(C24="","",IF(AND($D$16=""),"",G23))</f>
        <v/>
      </c>
      <c r="H24" s="237" t="str">
        <f>IF(AND(G24=""),"",IF(AND($D$16=""),"",ROUND(G24*'MASTER DATA'!C$5%,0)))</f>
        <v/>
      </c>
      <c r="I24" s="237" t="str">
        <f>IF(AND(G24=""),"",IF(AND($D$16=""),"",ROUND(G24*'MASTER DATA'!H$5%,0)))</f>
        <v/>
      </c>
      <c r="J24" s="237" t="str">
        <f>IF(AND(C24=""),"",SUM(G24:I24))</f>
        <v/>
      </c>
      <c r="K24" s="237" t="str">
        <f t="shared" si="8"/>
        <v/>
      </c>
      <c r="L24" s="237" t="str">
        <f t="shared" si="8"/>
        <v/>
      </c>
      <c r="M24" s="237" t="str">
        <f t="shared" si="9"/>
        <v/>
      </c>
      <c r="N24" s="237" t="str">
        <f t="shared" si="10"/>
        <v/>
      </c>
      <c r="O24" s="237" t="str">
        <f t="shared" si="11"/>
        <v/>
      </c>
      <c r="P24" s="237">
        <f t="shared" si="12"/>
        <v>0.0</v>
      </c>
      <c r="Q24" s="237" t="str">
        <f t="shared" si="13"/>
        <v/>
      </c>
      <c r="R24" s="237" t="str">
        <f>IF(AND(N24=""),"",IF(AND(Q24=""),"",N24-Q24))</f>
        <v/>
      </c>
      <c r="S24" s="238"/>
      <c r="T24" s="240"/>
      <c r="U24" s="240"/>
      <c r="V24" s="240"/>
      <c r="X24" s="87">
        <f>DATE(YEAR(X23),MONTH(X23)+1,DAY(X23))</f>
        <v>46113.0</v>
      </c>
      <c r="Y24" s="87">
        <v>45931.0</v>
      </c>
    </row>
    <row r="25" spans="8:8" ht="15.0" customHeight="1">
      <c r="A25" s="181" t="s">
        <v>0</v>
      </c>
      <c r="B25" s="181"/>
      <c r="C25" s="182">
        <f>IF(AND($Y$5=""),"",SUM(C21:C24))</f>
        <v>141000.0</v>
      </c>
      <c r="D25" s="182">
        <f t="shared" si="14" ref="D25:R25">IF(AND($Y$5=""),"",SUM(D21:D24))</f>
        <v>84600.0</v>
      </c>
      <c r="E25" s="182">
        <f t="shared" si="14"/>
        <v>14100.0</v>
      </c>
      <c r="F25" s="182">
        <f t="shared" si="14"/>
        <v>239700.0</v>
      </c>
      <c r="G25" s="182">
        <f t="shared" si="14"/>
        <v>141000.0</v>
      </c>
      <c r="H25" s="182">
        <f t="shared" si="14"/>
        <v>81780.0</v>
      </c>
      <c r="I25" s="182">
        <f t="shared" si="14"/>
        <v>14100.0</v>
      </c>
      <c r="J25" s="182">
        <f t="shared" si="14"/>
        <v>236880.0</v>
      </c>
      <c r="K25" s="182">
        <f t="shared" si="14"/>
        <v>0.0</v>
      </c>
      <c r="L25" s="182">
        <f t="shared" si="14"/>
        <v>2820.0</v>
      </c>
      <c r="M25" s="182">
        <f t="shared" si="14"/>
        <v>0.0</v>
      </c>
      <c r="N25" s="182">
        <f t="shared" si="14"/>
        <v>2820.0</v>
      </c>
      <c r="O25" s="182">
        <f t="shared" si="14"/>
        <v>0.0</v>
      </c>
      <c r="P25" s="182">
        <f t="shared" si="14"/>
        <v>0.0</v>
      </c>
      <c r="Q25" s="182">
        <f t="shared" si="14"/>
        <v>0.0</v>
      </c>
      <c r="R25" s="182">
        <f t="shared" si="14"/>
        <v>2820.0</v>
      </c>
      <c r="S25" s="183"/>
      <c r="T25" s="240"/>
      <c r="U25" s="240"/>
      <c r="V25" s="240"/>
    </row>
    <row r="26" spans="8:8" ht="15.0" hidden="1" customHeight="1">
      <c r="T26" s="240"/>
      <c r="U26" s="240"/>
      <c r="V26" s="240"/>
    </row>
    <row r="27" spans="8:8" ht="17.25" customHeight="1">
      <c r="A27" s="218"/>
      <c r="B27" s="219" t="s">
        <v>19</v>
      </c>
      <c r="C27" s="218"/>
      <c r="D27" s="220">
        <f>D16+1</f>
        <v>3.0</v>
      </c>
      <c r="E27" s="221" t="s">
        <v>41</v>
      </c>
      <c r="F27" s="221"/>
      <c r="G27" s="221"/>
      <c r="H27" s="221"/>
      <c r="I27" s="221"/>
      <c r="J27" s="242" t="str">
        <f>IF(ISNA(VLOOKUP($D$27,'MASTER DATA'!A$9:I$113,2,FALSE)),"",VLOOKUP($D$27,'MASTER DATA'!A$9:O$113,2,FALSE))</f>
        <v>CHENA RAM</v>
      </c>
      <c r="K27" s="242"/>
      <c r="L27" s="242"/>
      <c r="M27" s="242"/>
      <c r="N27" s="242"/>
      <c r="O27" s="219" t="s">
        <v>42</v>
      </c>
      <c r="P27" s="243" t="str">
        <f>IF(ISNA(VLOOKUP($D$27,'MASTER DATA'!A$9:J$113,3,FALSE)),"",VLOOKUP($D$27,'MASTER DATA'!A$9:N$113,3,FALSE))</f>
        <v>Sr. Teacher</v>
      </c>
      <c r="Q27" s="243"/>
      <c r="R27" s="243"/>
      <c r="S27" s="243"/>
      <c r="T27" s="240"/>
      <c r="U27" s="240"/>
      <c r="V27" s="240"/>
    </row>
    <row r="28" spans="8:8" ht="15.0" hidden="1" customHeight="1">
      <c r="A28" s="226" t="s">
        <v>65</v>
      </c>
      <c r="B28" s="226"/>
      <c r="C28" s="226"/>
      <c r="D28" s="226"/>
      <c r="E28" s="226"/>
      <c r="F28" s="226"/>
      <c r="G28" s="226"/>
      <c r="H28" s="226"/>
      <c r="I28" s="226"/>
      <c r="J28" s="226"/>
      <c r="K28" s="226"/>
      <c r="L28" s="226"/>
      <c r="M28" s="226"/>
      <c r="N28" s="226"/>
      <c r="O28" s="226"/>
      <c r="P28" s="226"/>
      <c r="Q28" s="226"/>
      <c r="R28" s="226"/>
      <c r="S28" s="226"/>
      <c r="T28" s="240"/>
      <c r="U28" s="240"/>
      <c r="V28" s="240"/>
      <c r="W28" s="150">
        <f>IF(ISNA(VLOOKUP($Y$30,'MASTER DATA'!A$9:J$113,4,FALSE)),"",VLOOKUP($Y$30,'MASTER DATA'!A$9:N$113,4,FALSE))</f>
        <v>2.0</v>
      </c>
      <c r="X28" s="150" t="str">
        <f>IF(ISNA(VLOOKUP($Y$30,'MASTER DATA'!A$9:J$113,6,FALSE)),"",VLOOKUP($Y$30,'MASTER DATA'!A$9:N$113,6,FALSE))</f>
        <v>GPF-2004</v>
      </c>
      <c r="Y28" s="150" t="s">
        <v>9</v>
      </c>
      <c r="Z28" s="150" t="s">
        <v>2</v>
      </c>
      <c r="AA28" s="2">
        <f>IF(ISNA(VLOOKUP($Y$30,'MASTER DATA'!A$9:J$113,7,FALSE)),"",VLOOKUP($Y$30,'MASTER DATA'!A$9:N$113,7,FALSE))</f>
        <v>20.0</v>
      </c>
    </row>
    <row r="29" spans="8:8" ht="15.0" hidden="1" customHeight="1">
      <c r="A29" s="227" t="s">
        <v>19</v>
      </c>
      <c r="B29" s="227" t="s">
        <v>43</v>
      </c>
      <c r="C29" s="228" t="s">
        <v>53</v>
      </c>
      <c r="D29" s="228"/>
      <c r="E29" s="228"/>
      <c r="F29" s="228"/>
      <c r="G29" s="228" t="s">
        <v>54</v>
      </c>
      <c r="H29" s="228"/>
      <c r="I29" s="228"/>
      <c r="J29" s="228"/>
      <c r="K29" s="228" t="s">
        <v>49</v>
      </c>
      <c r="L29" s="228"/>
      <c r="M29" s="228"/>
      <c r="N29" s="228"/>
      <c r="O29" s="228" t="s">
        <v>50</v>
      </c>
      <c r="P29" s="228"/>
      <c r="Q29" s="228"/>
      <c r="R29" s="229" t="s">
        <v>51</v>
      </c>
      <c r="S29" s="229" t="s">
        <v>52</v>
      </c>
      <c r="T29" s="240"/>
      <c r="U29" s="240"/>
      <c r="V29" s="240"/>
      <c r="X29" s="150">
        <f>IF(ISNA(VLOOKUP($Y$30,'MASTER DATA'!A$9:J$113,8,FALSE)),"",VLOOKUP($Y$30,'MASTER DATA'!A$9:N$113,8,FALSE))</f>
        <v>46054.0</v>
      </c>
      <c r="Y29" s="150" t="s">
        <v>8</v>
      </c>
      <c r="Z29" s="150"/>
      <c r="AA29" s="172"/>
    </row>
    <row r="30" spans="8:8" ht="42.75" hidden="1" customHeight="1">
      <c r="A30" s="227"/>
      <c r="B30" s="227"/>
      <c r="C30" s="231" t="s">
        <v>22</v>
      </c>
      <c r="D30" s="231" t="s">
        <v>45</v>
      </c>
      <c r="E30" s="231" t="s">
        <v>44</v>
      </c>
      <c r="F30" s="231" t="s">
        <v>46</v>
      </c>
      <c r="G30" s="231" t="s">
        <v>22</v>
      </c>
      <c r="H30" s="231" t="s">
        <v>45</v>
      </c>
      <c r="I30" s="231" t="s">
        <v>44</v>
      </c>
      <c r="J30" s="231" t="s">
        <v>46</v>
      </c>
      <c r="K30" s="231" t="s">
        <v>22</v>
      </c>
      <c r="L30" s="231" t="s">
        <v>45</v>
      </c>
      <c r="M30" s="231" t="s">
        <v>44</v>
      </c>
      <c r="N30" s="231" t="s">
        <v>46</v>
      </c>
      <c r="O30" s="231" t="s">
        <v>55</v>
      </c>
      <c r="P30" s="231" t="s">
        <v>48</v>
      </c>
      <c r="Q30" s="231" t="s">
        <v>47</v>
      </c>
      <c r="R30" s="232"/>
      <c r="S30" s="232"/>
      <c r="T30" s="240"/>
      <c r="U30" s="240"/>
      <c r="V30" s="240"/>
      <c r="X30" s="224" t="s">
        <v>10</v>
      </c>
      <c r="Y30" s="225">
        <f>Y19+1</f>
        <v>3.0</v>
      </c>
      <c r="AA30" s="150"/>
    </row>
    <row r="31" spans="8:8" ht="15.0" hidden="1" customHeight="1">
      <c r="A31" s="175">
        <v>1.0</v>
      </c>
      <c r="B31" s="175">
        <v>2.0</v>
      </c>
      <c r="C31" s="175">
        <v>3.0</v>
      </c>
      <c r="D31" s="175">
        <v>4.0</v>
      </c>
      <c r="E31" s="175">
        <v>5.0</v>
      </c>
      <c r="F31" s="175">
        <v>6.0</v>
      </c>
      <c r="G31" s="175">
        <v>7.0</v>
      </c>
      <c r="H31" s="175">
        <v>8.0</v>
      </c>
      <c r="I31" s="175">
        <v>9.0</v>
      </c>
      <c r="J31" s="175">
        <v>10.0</v>
      </c>
      <c r="K31" s="175">
        <v>11.0</v>
      </c>
      <c r="L31" s="175">
        <v>12.0</v>
      </c>
      <c r="M31" s="175">
        <v>13.0</v>
      </c>
      <c r="N31" s="175">
        <v>14.0</v>
      </c>
      <c r="O31" s="175">
        <v>15.0</v>
      </c>
      <c r="P31" s="175">
        <v>17.0</v>
      </c>
      <c r="Q31" s="175">
        <v>18.0</v>
      </c>
      <c r="R31" s="175">
        <v>19.0</v>
      </c>
      <c r="S31" s="175">
        <v>20.0</v>
      </c>
      <c r="T31" s="240"/>
      <c r="U31" s="240"/>
      <c r="V31" s="240"/>
    </row>
    <row r="32" spans="8:8" ht="13.5" customHeight="1">
      <c r="A32" s="235">
        <f>IF(B32="","",1)</f>
        <v>1.0</v>
      </c>
      <c r="B32" s="236">
        <f>IF(AND($D$27=""),"",X32)</f>
        <v>46054.0</v>
      </c>
      <c r="C32" s="237">
        <f>_xlfn.IFERROR(IF(ISNA(VLOOKUP($D$27,'MASTER DATA'!A$9:J$113,5,FALSE)),"",VLOOKUP($D$27,'MASTER DATA'!A$9:N$113,5,FALSE)),"")</f>
        <v>71300.0</v>
      </c>
      <c r="D32" s="237">
        <f>IF(AND(C32=""),"",IF(AND($D$27=""),"",ROUND(C32*'MASTER DATA'!C$6%,0)))</f>
        <v>42780.0</v>
      </c>
      <c r="E32" s="237">
        <f>IF(AND(C32=""),"",IF(AND($D$27=""),"",ROUND(C32*'MASTER DATA'!H$6%,0)))</f>
        <v>7130.0</v>
      </c>
      <c r="F32" s="237">
        <f>IF(AND(C32=""),"",SUM(C32:E32))</f>
        <v>121210.0</v>
      </c>
      <c r="G32" s="237">
        <f>_xlfn.IFERROR(IF(ISNA(VLOOKUP(D27,'MASTER DATA'!A$9:J$113,5,FALSE)),"",VLOOKUP($D$27,'MASTER DATA'!A$9:N$113,5,FALSE)),"")</f>
        <v>71300.0</v>
      </c>
      <c r="H32" s="237">
        <f>IF(AND(G32=""),"",IF(AND($D$27=""),"",ROUND(G32*'MASTER DATA'!C$5%,0)))</f>
        <v>41354.0</v>
      </c>
      <c r="I32" s="237">
        <f>IF(AND(G32=""),"",IF(AND($D$27=""),"",ROUND(G32*'MASTER DATA'!H$5%,0)))</f>
        <v>7130.0</v>
      </c>
      <c r="J32" s="237">
        <f>IF(AND(C32=""),"",SUM(G32:I32))</f>
        <v>119784.0</v>
      </c>
      <c r="K32" s="237">
        <f t="shared" si="15" ref="K32:N35">IF(AND(C32=""),"",IF(AND(G32=""),"",C32-G32))</f>
        <v>0.0</v>
      </c>
      <c r="L32" s="237">
        <f t="shared" si="15"/>
        <v>1426.0</v>
      </c>
      <c r="M32" s="237">
        <f t="shared" si="15"/>
        <v>0.0</v>
      </c>
      <c r="N32" s="237">
        <f t="shared" si="15"/>
        <v>1426.0</v>
      </c>
      <c r="O32" s="237" t="str">
        <f>IF(AND(C32=""),"",IF(OR(B32=$Y$32,B32=$Y$33,B32=$Y$34),N32-M32-P32,"0"))</f>
        <v>0</v>
      </c>
      <c r="P32" s="237">
        <f>IF(AND($Y$30=""),"",IF(AND(N32=""),"",ROUND(N32*AA$28%,0)))</f>
        <v>285.0</v>
      </c>
      <c r="Q32" s="237">
        <f>IF(AND($Y$30=""),"",IF(AND(C32=""),"",IF(AND(O32=""),"",SUM(O32,P32))))</f>
        <v>285.0</v>
      </c>
      <c r="R32" s="237">
        <f>IF(AND(N32=""),"",IF(AND(Q32=""),"",N32-Q32))</f>
        <v>1141.0</v>
      </c>
      <c r="S32" s="238"/>
      <c r="T32" s="240"/>
      <c r="U32" s="240"/>
      <c r="V32" s="240"/>
      <c r="X32" s="87">
        <f>IF(ISNA(VLOOKUP($D$27,'MASTER DATA'!A$9:J$113,8,FALSE)),"",VLOOKUP($D$27,'MASTER DATA'!A$9:N$113,8,FALSE))</f>
        <v>46054.0</v>
      </c>
      <c r="Y32" s="87">
        <v>45839.0</v>
      </c>
    </row>
    <row r="33" spans="8:8" ht="13.5" customHeight="1">
      <c r="A33" s="235">
        <f>IF(B33="","",A32+1)</f>
        <v>2.0</v>
      </c>
      <c r="B33" s="236">
        <f>IF(AND($D$27=""),"",IF(AND($W$28&lt;2),"",X33))</f>
        <v>46082.0</v>
      </c>
      <c r="C33" s="237">
        <f>IF(AND($D$27=""),"",IF(AND(B33=""),"",C32))</f>
        <v>71300.0</v>
      </c>
      <c r="D33" s="237">
        <f>IF(AND(C33=""),"",IF(AND($D$27=""),"",ROUND(C33*'MASTER DATA'!C$6%,0)))</f>
        <v>42780.0</v>
      </c>
      <c r="E33" s="237">
        <f>IF(AND(C33=""),"",IF(AND($D$27=""),"",ROUND(C33*'MASTER DATA'!H$6%,0)))</f>
        <v>7130.0</v>
      </c>
      <c r="F33" s="237">
        <f>IF(AND(C33=""),"",SUM(C33:E33))</f>
        <v>121210.0</v>
      </c>
      <c r="G33" s="237">
        <f>IF(C33="","",IF(AND($D$27=""),"",G32))</f>
        <v>71300.0</v>
      </c>
      <c r="H33" s="237">
        <f>IF(AND(G33=""),"",IF(AND($D$27=""),"",ROUND(G33*'MASTER DATA'!C$5%,0)))</f>
        <v>41354.0</v>
      </c>
      <c r="I33" s="237">
        <f>IF(AND(G33=""),"",IF(AND($D$27=""),"",ROUND(G33*'MASTER DATA'!H$5%,0)))</f>
        <v>7130.0</v>
      </c>
      <c r="J33" s="237">
        <f>IF(AND(C33=""),"",SUM(G33:I33))</f>
        <v>119784.0</v>
      </c>
      <c r="K33" s="237">
        <f t="shared" si="15"/>
        <v>0.0</v>
      </c>
      <c r="L33" s="237">
        <f t="shared" si="15"/>
        <v>1426.0</v>
      </c>
      <c r="M33" s="237">
        <f t="shared" si="15"/>
        <v>0.0</v>
      </c>
      <c r="N33" s="237">
        <f t="shared" si="15"/>
        <v>1426.0</v>
      </c>
      <c r="O33" s="237" t="str">
        <f t="shared" si="16" ref="O33:O35">IF(AND(C33=""),"",IF(OR(B33=$Y$32,B33=$Y$33,B33=$Y$34),N33-M33-P33,"0"))</f>
        <v>0</v>
      </c>
      <c r="P33" s="237">
        <f t="shared" si="17" ref="P33:P35">IF(AND($Y$30=""),"",IF(AND(N33=""),"",ROUND(N33*AA$28%,0)))</f>
        <v>285.0</v>
      </c>
      <c r="Q33" s="237">
        <f t="shared" si="18" ref="Q33:Q35">IF(AND($Y$30=""),"",IF(AND(C33=""),"",IF(AND(O33=""),"",SUM(O33,P33))))</f>
        <v>285.0</v>
      </c>
      <c r="R33" s="237">
        <f>IF(AND(N33=""),"",IF(AND(Q33=""),"",N33-Q33))</f>
        <v>1141.0</v>
      </c>
      <c r="S33" s="238"/>
      <c r="T33" s="240"/>
      <c r="U33" s="240"/>
      <c r="V33" s="240"/>
      <c r="X33" s="87">
        <f>DATE(YEAR(X32),MONTH(X32)+1,DAY(X32))</f>
        <v>46082.0</v>
      </c>
      <c r="Y33" s="87">
        <v>45870.0</v>
      </c>
    </row>
    <row r="34" spans="8:8" ht="13.5" customHeight="1">
      <c r="A34" s="235" t="str">
        <f>IF(B34="","",A33+1)</f>
        <v/>
      </c>
      <c r="B34" s="236" t="str">
        <f>IF(AND($D$27=""),"",IF(AND($W$28&lt;3),"",X34))</f>
        <v/>
      </c>
      <c r="C34" s="237" t="str">
        <f>IF(AND($D$27=""),"",IF(AND(B34=""),"",C33))</f>
        <v/>
      </c>
      <c r="D34" s="237" t="str">
        <f>IF(AND(C34=""),"",IF(AND($D$27=""),"",ROUND(C34*'MASTER DATA'!C$6%,0)))</f>
        <v/>
      </c>
      <c r="E34" s="237" t="str">
        <f>IF(AND(C34=""),"",IF(AND($D$27=""),"",ROUND(C34*'MASTER DATA'!H$6%,0)))</f>
        <v/>
      </c>
      <c r="F34" s="237" t="str">
        <f>IF(AND(C34=""),"",SUM(C34:E34))</f>
        <v/>
      </c>
      <c r="G34" s="237" t="str">
        <f>IF(C34="","",IF(AND($D$27=""),"",G33))</f>
        <v/>
      </c>
      <c r="H34" s="237" t="str">
        <f>IF(AND(G34=""),"",IF(AND($D$27=""),"",ROUND(G34*'MASTER DATA'!C$5%,0)))</f>
        <v/>
      </c>
      <c r="I34" s="237" t="str">
        <f>IF(AND(G34=""),"",IF(AND($D$27=""),"",ROUND(G34*'MASTER DATA'!H$5%,0)))</f>
        <v/>
      </c>
      <c r="J34" s="237" t="str">
        <f>IF(AND(C34=""),"",SUM(G34:I34))</f>
        <v/>
      </c>
      <c r="K34" s="237" t="str">
        <f t="shared" si="15"/>
        <v/>
      </c>
      <c r="L34" s="237" t="str">
        <f t="shared" si="15"/>
        <v/>
      </c>
      <c r="M34" s="237" t="str">
        <f t="shared" si="15"/>
        <v/>
      </c>
      <c r="N34" s="237" t="str">
        <f t="shared" si="15"/>
        <v/>
      </c>
      <c r="O34" s="237" t="str">
        <f t="shared" si="16"/>
        <v/>
      </c>
      <c r="P34" s="237" t="str">
        <f t="shared" si="17"/>
        <v/>
      </c>
      <c r="Q34" s="237" t="str">
        <f t="shared" si="18"/>
        <v/>
      </c>
      <c r="R34" s="237" t="str">
        <f>IF(AND(N34=""),"",IF(AND(Q34=""),"",N34-Q34))</f>
        <v/>
      </c>
      <c r="S34" s="238"/>
      <c r="T34" s="240"/>
      <c r="U34" s="240"/>
      <c r="V34" s="240"/>
      <c r="X34" s="87">
        <f>DATE(YEAR(X33),MONTH(X33)+1,DAY(X33))</f>
        <v>46113.0</v>
      </c>
      <c r="Y34" s="87">
        <v>45901.0</v>
      </c>
    </row>
    <row r="35" spans="8:8" ht="13.5" customHeight="1">
      <c r="A35" s="235" t="str">
        <f>IF(B35="","",A34+1)</f>
        <v/>
      </c>
      <c r="B35" s="236" t="str">
        <f>IF(AND($D$27=""),"",IF(AND($W$28&lt;4),"",X35))</f>
        <v/>
      </c>
      <c r="C35" s="237" t="str">
        <f>IF(AND($D$27=""),"",IF(AND(B35=""),"",C34))</f>
        <v/>
      </c>
      <c r="D35" s="237" t="str">
        <f>IF(AND(C35=""),"",IF(AND($D$27=""),"",ROUND(C35*'MASTER DATA'!C$6%,0)))</f>
        <v/>
      </c>
      <c r="E35" s="237" t="str">
        <f>IF(AND(C35=""),"",IF(AND($D$27=""),"",ROUND(C35*'MASTER DATA'!H$6%,0)))</f>
        <v/>
      </c>
      <c r="F35" s="237" t="str">
        <f>IF(AND(C35=""),"",SUM(C35:E35))</f>
        <v/>
      </c>
      <c r="G35" s="237" t="str">
        <f>IF(C35="","",IF(AND($D$27=""),"",G34))</f>
        <v/>
      </c>
      <c r="H35" s="237" t="str">
        <f>IF(AND(G35=""),"",IF(AND($D$27=""),"",ROUND(G35*'MASTER DATA'!C$5%,0)))</f>
        <v/>
      </c>
      <c r="I35" s="237" t="str">
        <f>IF(AND(G35=""),"",IF(AND($D$27=""),"",ROUND(G35*'MASTER DATA'!H$5%,0)))</f>
        <v/>
      </c>
      <c r="J35" s="237" t="str">
        <f>IF(AND(C35=""),"",SUM(G35:I35))</f>
        <v/>
      </c>
      <c r="K35" s="237" t="str">
        <f t="shared" si="15"/>
        <v/>
      </c>
      <c r="L35" s="237" t="str">
        <f t="shared" si="15"/>
        <v/>
      </c>
      <c r="M35" s="237" t="str">
        <f t="shared" si="15"/>
        <v/>
      </c>
      <c r="N35" s="237" t="str">
        <f t="shared" si="15"/>
        <v/>
      </c>
      <c r="O35" s="237" t="str">
        <f t="shared" si="16"/>
        <v/>
      </c>
      <c r="P35" s="237" t="str">
        <f t="shared" si="17"/>
        <v/>
      </c>
      <c r="Q35" s="237" t="str">
        <f t="shared" si="18"/>
        <v/>
      </c>
      <c r="R35" s="237" t="str">
        <f>IF(AND(N35=""),"",IF(AND(Q35=""),"",N35-Q35))</f>
        <v/>
      </c>
      <c r="S35" s="238"/>
      <c r="T35" s="240"/>
      <c r="U35" s="240"/>
      <c r="V35" s="240"/>
      <c r="X35" s="87">
        <f>DATE(YEAR(X34),MONTH(X34)+1,DAY(X34))</f>
        <v>46143.0</v>
      </c>
      <c r="Y35" s="87">
        <v>45931.0</v>
      </c>
    </row>
    <row r="36" spans="8:8" ht="13.5" customHeight="1">
      <c r="A36" s="181" t="s">
        <v>0</v>
      </c>
      <c r="B36" s="181"/>
      <c r="C36" s="182">
        <f>IF(AND($Y$5=""),"",SUM(C32:C35))</f>
        <v>142600.0</v>
      </c>
      <c r="D36" s="182">
        <f t="shared" si="19" ref="D36:R36">IF(AND($Y$5=""),"",SUM(D32:D35))</f>
        <v>85560.0</v>
      </c>
      <c r="E36" s="182">
        <f t="shared" si="19"/>
        <v>14260.0</v>
      </c>
      <c r="F36" s="182">
        <f t="shared" si="19"/>
        <v>242420.0</v>
      </c>
      <c r="G36" s="182">
        <f t="shared" si="19"/>
        <v>142600.0</v>
      </c>
      <c r="H36" s="182">
        <f t="shared" si="19"/>
        <v>82708.0</v>
      </c>
      <c r="I36" s="182">
        <f t="shared" si="19"/>
        <v>14260.0</v>
      </c>
      <c r="J36" s="182">
        <f t="shared" si="19"/>
        <v>239568.0</v>
      </c>
      <c r="K36" s="182">
        <f t="shared" si="19"/>
        <v>0.0</v>
      </c>
      <c r="L36" s="182">
        <f t="shared" si="19"/>
        <v>2852.0</v>
      </c>
      <c r="M36" s="182">
        <f t="shared" si="19"/>
        <v>0.0</v>
      </c>
      <c r="N36" s="182">
        <f t="shared" si="19"/>
        <v>2852.0</v>
      </c>
      <c r="O36" s="182">
        <f t="shared" si="19"/>
        <v>0.0</v>
      </c>
      <c r="P36" s="182">
        <f t="shared" si="19"/>
        <v>570.0</v>
      </c>
      <c r="Q36" s="182">
        <f t="shared" si="19"/>
        <v>570.0</v>
      </c>
      <c r="R36" s="182">
        <f t="shared" si="19"/>
        <v>2282.0</v>
      </c>
      <c r="S36" s="183"/>
      <c r="T36" s="240"/>
      <c r="U36" s="240"/>
      <c r="V36" s="240"/>
    </row>
    <row r="37" spans="8:8" ht="14.25" hidden="1" customHeight="1">
      <c r="A37" s="244"/>
      <c r="B37" s="244"/>
      <c r="C37" s="245"/>
      <c r="D37" s="245"/>
      <c r="E37" s="245"/>
      <c r="F37" s="245"/>
      <c r="G37" s="245"/>
      <c r="H37" s="245"/>
      <c r="I37" s="245"/>
      <c r="J37" s="245"/>
      <c r="K37" s="245"/>
      <c r="L37" s="245"/>
      <c r="M37" s="245"/>
      <c r="N37" s="245"/>
      <c r="O37" s="245"/>
      <c r="P37" s="245"/>
      <c r="Q37" s="245"/>
      <c r="R37" s="245"/>
      <c r="S37" s="246"/>
      <c r="T37" s="240"/>
      <c r="U37" s="240"/>
      <c r="V37" s="240"/>
      <c r="W37" s="150">
        <f>IF(ISNA(VLOOKUP($Y$39,'MASTER DATA'!A$9:J$113,4,FALSE)),"",VLOOKUP($Y$39,'MASTER DATA'!A$9:N$113,4,FALSE))</f>
        <v>2.0</v>
      </c>
      <c r="X37" s="150" t="str">
        <f>IF(ISNA(VLOOKUP($Y$39,'MASTER DATA'!A$9:J$113,6,FALSE)),"",VLOOKUP($Y$39,'MASTER DATA'!A$9:N$113,6,FALSE))</f>
        <v>GPF-2004</v>
      </c>
      <c r="Y37" s="150" t="s">
        <v>9</v>
      </c>
      <c r="Z37" s="150" t="s">
        <v>2</v>
      </c>
    </row>
    <row r="38" spans="8:8" ht="14.25" hidden="1" customHeight="1">
      <c r="T38" s="240"/>
      <c r="U38" s="240"/>
      <c r="V38" s="240"/>
      <c r="W38" s="150"/>
      <c r="X38" s="150">
        <f>IF(ISNA(VLOOKUP($Y$39,'MASTER DATA'!A$9:J$113,8,FALSE)),"",VLOOKUP($Y$39,'MASTER DATA'!A$9:N$113,8,FALSE))</f>
        <v>46082.0</v>
      </c>
      <c r="Y38" s="150" t="s">
        <v>8</v>
      </c>
      <c r="Z38" s="172"/>
    </row>
    <row r="39" spans="8:8" ht="17.25" customHeight="1">
      <c r="A39" s="218"/>
      <c r="B39" s="219" t="s">
        <v>19</v>
      </c>
      <c r="C39" s="218"/>
      <c r="D39" s="220">
        <f>D27+1</f>
        <v>4.0</v>
      </c>
      <c r="E39" s="221" t="s">
        <v>41</v>
      </c>
      <c r="F39" s="221"/>
      <c r="G39" s="221"/>
      <c r="H39" s="221"/>
      <c r="I39" s="221"/>
      <c r="J39" s="242" t="str">
        <f>IF(ISNA(VLOOKUP($D$39,'MASTER DATA'!A$9:I$113,2,FALSE)),"",VLOOKUP($D$39,'MASTER DATA'!A$9:O$113,2,FALSE))</f>
        <v>RAJESH CHOUDHARY</v>
      </c>
      <c r="K39" s="242"/>
      <c r="L39" s="242"/>
      <c r="M39" s="242"/>
      <c r="N39" s="242"/>
      <c r="O39" s="219" t="s">
        <v>42</v>
      </c>
      <c r="P39" s="243" t="str">
        <f>IF(ISNA(VLOOKUP($D$39,'MASTER DATA'!A$9:J$113,3,FALSE)),"",VLOOKUP($D$39,'MASTER DATA'!A$9:N$113,3,FALSE))</f>
        <v>Sr. Teacher</v>
      </c>
      <c r="Q39" s="243"/>
      <c r="R39" s="243"/>
      <c r="S39" s="243"/>
      <c r="T39" s="240"/>
      <c r="U39" s="240"/>
      <c r="V39" s="240"/>
      <c r="X39" s="224" t="s">
        <v>10</v>
      </c>
      <c r="Y39" s="225">
        <f>Y30+1</f>
        <v>4.0</v>
      </c>
      <c r="AA39" s="150">
        <f>IF(ISNA(VLOOKUP($Y$39,'MASTER DATA'!A$9:J$113,7,FALSE)),"",VLOOKUP($Y$39,'MASTER DATA'!A$9:N$113,7,FALSE))</f>
        <v>20.0</v>
      </c>
    </row>
    <row r="40" spans="8:8" ht="15.0" hidden="1" customHeight="1">
      <c r="A40" s="226" t="s">
        <v>65</v>
      </c>
      <c r="B40" s="226"/>
      <c r="C40" s="226"/>
      <c r="D40" s="226"/>
      <c r="E40" s="226"/>
      <c r="F40" s="226"/>
      <c r="G40" s="226"/>
      <c r="H40" s="226"/>
      <c r="I40" s="226"/>
      <c r="J40" s="226"/>
      <c r="K40" s="226"/>
      <c r="L40" s="226"/>
      <c r="M40" s="226"/>
      <c r="N40" s="226"/>
      <c r="O40" s="226"/>
      <c r="P40" s="226"/>
      <c r="Q40" s="226"/>
      <c r="R40" s="226"/>
      <c r="S40" s="226"/>
      <c r="T40" s="240"/>
      <c r="U40" s="240"/>
      <c r="V40" s="240"/>
      <c r="AA40" s="150"/>
    </row>
    <row r="41" spans="8:8" ht="15.0" hidden="1" customHeight="1">
      <c r="A41" s="227" t="s">
        <v>19</v>
      </c>
      <c r="B41" s="227" t="s">
        <v>43</v>
      </c>
      <c r="C41" s="228" t="s">
        <v>53</v>
      </c>
      <c r="D41" s="228"/>
      <c r="E41" s="228"/>
      <c r="F41" s="228"/>
      <c r="G41" s="228" t="s">
        <v>54</v>
      </c>
      <c r="H41" s="228"/>
      <c r="I41" s="228"/>
      <c r="J41" s="228"/>
      <c r="K41" s="228" t="s">
        <v>49</v>
      </c>
      <c r="L41" s="228"/>
      <c r="M41" s="228"/>
      <c r="N41" s="228"/>
      <c r="O41" s="228" t="s">
        <v>50</v>
      </c>
      <c r="P41" s="228"/>
      <c r="Q41" s="228"/>
      <c r="R41" s="229" t="s">
        <v>51</v>
      </c>
      <c r="S41" s="229" t="s">
        <v>52</v>
      </c>
      <c r="T41" s="240"/>
      <c r="U41" s="240"/>
      <c r="V41" s="240"/>
    </row>
    <row r="42" spans="8:8" ht="42.75" hidden="1" customHeight="1">
      <c r="A42" s="227"/>
      <c r="B42" s="227"/>
      <c r="C42" s="231" t="s">
        <v>22</v>
      </c>
      <c r="D42" s="231" t="s">
        <v>45</v>
      </c>
      <c r="E42" s="231" t="s">
        <v>44</v>
      </c>
      <c r="F42" s="231" t="s">
        <v>46</v>
      </c>
      <c r="G42" s="231" t="s">
        <v>22</v>
      </c>
      <c r="H42" s="231" t="s">
        <v>45</v>
      </c>
      <c r="I42" s="231" t="s">
        <v>44</v>
      </c>
      <c r="J42" s="231" t="s">
        <v>46</v>
      </c>
      <c r="K42" s="231" t="s">
        <v>22</v>
      </c>
      <c r="L42" s="231" t="s">
        <v>45</v>
      </c>
      <c r="M42" s="231" t="s">
        <v>44</v>
      </c>
      <c r="N42" s="231" t="s">
        <v>46</v>
      </c>
      <c r="O42" s="231" t="s">
        <v>66</v>
      </c>
      <c r="P42" s="231" t="s">
        <v>48</v>
      </c>
      <c r="Q42" s="231" t="s">
        <v>47</v>
      </c>
      <c r="R42" s="232"/>
      <c r="S42" s="232"/>
      <c r="T42" s="240"/>
      <c r="U42" s="240"/>
      <c r="V42" s="240"/>
    </row>
    <row r="43" spans="8:8" ht="15.0" hidden="1" customHeight="1">
      <c r="A43" s="175">
        <v>1.0</v>
      </c>
      <c r="B43" s="175">
        <v>2.0</v>
      </c>
      <c r="C43" s="175">
        <v>3.0</v>
      </c>
      <c r="D43" s="175">
        <v>4.0</v>
      </c>
      <c r="E43" s="175">
        <v>5.0</v>
      </c>
      <c r="F43" s="175">
        <v>6.0</v>
      </c>
      <c r="G43" s="175">
        <v>7.0</v>
      </c>
      <c r="H43" s="175">
        <v>8.0</v>
      </c>
      <c r="I43" s="175">
        <v>9.0</v>
      </c>
      <c r="J43" s="175">
        <v>10.0</v>
      </c>
      <c r="K43" s="175">
        <v>11.0</v>
      </c>
      <c r="L43" s="175">
        <v>12.0</v>
      </c>
      <c r="M43" s="175">
        <v>13.0</v>
      </c>
      <c r="N43" s="175">
        <v>14.0</v>
      </c>
      <c r="O43" s="175">
        <v>15.0</v>
      </c>
      <c r="P43" s="175">
        <v>17.0</v>
      </c>
      <c r="Q43" s="175">
        <v>18.0</v>
      </c>
      <c r="R43" s="175">
        <v>19.0</v>
      </c>
      <c r="S43" s="175">
        <v>20.0</v>
      </c>
      <c r="T43" s="240"/>
      <c r="U43" s="240"/>
      <c r="V43" s="240"/>
    </row>
    <row r="44" spans="8:8" ht="13.5" customHeight="1">
      <c r="A44" s="235">
        <f>IF(B44="","",1)</f>
        <v>1.0</v>
      </c>
      <c r="B44" s="236">
        <f>IF(AND($D$39=""),"",X44)</f>
        <v>46082.0</v>
      </c>
      <c r="C44" s="237">
        <f>_xlfn.IFERROR(IF(ISNA(VLOOKUP($D$39,'MASTER DATA'!A$9:J$113,5,FALSE)),"",VLOOKUP($D$39,'MASTER DATA'!A$9:N$113,5,FALSE)),"")</f>
        <v>59500.0</v>
      </c>
      <c r="D44" s="237">
        <f>IF(AND(C44=""),"",IF(AND($D$39=""),"",ROUND(C44*'MASTER DATA'!C$6%,0)))</f>
        <v>35700.0</v>
      </c>
      <c r="E44" s="237">
        <f>IF(AND(C44=""),"",IF(AND($D$39=""),"",ROUND(C44*'MASTER DATA'!H$6%,0)))</f>
        <v>5950.0</v>
      </c>
      <c r="F44" s="237">
        <f>IF(AND(C44=""),"",SUM(C44:E44))</f>
        <v>101150.0</v>
      </c>
      <c r="G44" s="237">
        <f>_xlfn.IFERROR(IF(ISNA(VLOOKUP(D39,'MASTER DATA'!A$9:J$113,5,FALSE)),"",VLOOKUP($D$39,'MASTER DATA'!A$9:N$113,5,FALSE)),"")</f>
        <v>59500.0</v>
      </c>
      <c r="H44" s="237">
        <f>IF(AND(G44=""),"",IF(AND($D$39=""),"",ROUND(G44*'MASTER DATA'!C$5%,0)))</f>
        <v>34510.0</v>
      </c>
      <c r="I44" s="237">
        <f>IF(AND(G44=""),"",IF(AND($D$39=""),"",ROUND(G44*'MASTER DATA'!H$5%,0)))</f>
        <v>5950.0</v>
      </c>
      <c r="J44" s="237">
        <f>IF(AND(C44=""),"",SUM(G44:I44))</f>
        <v>99960.0</v>
      </c>
      <c r="K44" s="237">
        <f t="shared" si="20" ref="K44:N47">IF(AND(C44=""),"",IF(AND(G44=""),"",C44-G44))</f>
        <v>0.0</v>
      </c>
      <c r="L44" s="237">
        <f t="shared" si="20"/>
        <v>1190.0</v>
      </c>
      <c r="M44" s="237">
        <f t="shared" si="20"/>
        <v>0.0</v>
      </c>
      <c r="N44" s="237">
        <f t="shared" si="20"/>
        <v>1190.0</v>
      </c>
      <c r="O44" s="237" t="str">
        <f>IF(AND(C44=""),"",IF(OR(B44=$Y$44,B44=$Y$45,B44=$Y$46),N44-M44-P44,"0"))</f>
        <v>0</v>
      </c>
      <c r="P44" s="237">
        <f>IF(AND($Y$39=""),"",IF(AND(N44=""),"",ROUND(N44*AA$39%,0)))</f>
        <v>238.0</v>
      </c>
      <c r="Q44" s="237">
        <f>IF(AND($Y$39=""),"",IF(AND(C44=""),"",IF(AND(O44=""),"",SUM(O44,P44))))</f>
        <v>238.0</v>
      </c>
      <c r="R44" s="237">
        <f>IF(AND(N44=""),"",IF(AND(Q44=""),"",N44-Q44))</f>
        <v>952.0</v>
      </c>
      <c r="S44" s="238"/>
      <c r="T44" s="240"/>
      <c r="U44" s="240"/>
      <c r="V44" s="240"/>
      <c r="X44" s="87">
        <f>IF(ISNA(VLOOKUP($D$39,'MASTER DATA'!A$9:J$113,8,FALSE)),"",VLOOKUP($D$39,'MASTER DATA'!A$9:N$113,8,FALSE))</f>
        <v>46082.0</v>
      </c>
      <c r="Y44" s="87">
        <v>45839.0</v>
      </c>
    </row>
    <row r="45" spans="8:8" ht="13.5" customHeight="1">
      <c r="A45" s="235">
        <f>IF(B45="","",A44+1)</f>
        <v>2.0</v>
      </c>
      <c r="B45" s="236">
        <f>IF(AND($D$39=""),"",IF(AND($W$37&lt;2),"",X45))</f>
        <v>46113.0</v>
      </c>
      <c r="C45" s="237">
        <f>IF(AND($D$39=""),"",IF(AND(B45=""),"",C44))</f>
        <v>59500.0</v>
      </c>
      <c r="D45" s="237">
        <f>IF(AND(C45=""),"",IF(AND($D$39=""),"",ROUND(C45*'MASTER DATA'!C$6%,0)))</f>
        <v>35700.0</v>
      </c>
      <c r="E45" s="237">
        <f>IF(AND(C45=""),"",IF(AND($D$39=""),"",ROUND(C45*'MASTER DATA'!H$6%,0)))</f>
        <v>5950.0</v>
      </c>
      <c r="F45" s="237">
        <f>IF(AND(C45=""),"",SUM(C45:E45))</f>
        <v>101150.0</v>
      </c>
      <c r="G45" s="237">
        <f>IF(C45="","",IF(AND($D$39=""),"",G44))</f>
        <v>59500.0</v>
      </c>
      <c r="H45" s="237">
        <f>IF(AND(G45=""),"",IF(AND($D$39=""),"",ROUND(G45*'MASTER DATA'!C$5%,0)))</f>
        <v>34510.0</v>
      </c>
      <c r="I45" s="237">
        <f>IF(AND(G45=""),"",IF(AND($D$39=""),"",ROUND(G45*'MASTER DATA'!H$5%,0)))</f>
        <v>5950.0</v>
      </c>
      <c r="J45" s="237">
        <f>IF(AND(C45=""),"",SUM(G45:I45))</f>
        <v>99960.0</v>
      </c>
      <c r="K45" s="237">
        <f t="shared" si="20"/>
        <v>0.0</v>
      </c>
      <c r="L45" s="237">
        <f t="shared" si="20"/>
        <v>1190.0</v>
      </c>
      <c r="M45" s="237">
        <f t="shared" si="20"/>
        <v>0.0</v>
      </c>
      <c r="N45" s="237">
        <f t="shared" si="20"/>
        <v>1190.0</v>
      </c>
      <c r="O45" s="237" t="str">
        <f t="shared" si="21" ref="O45:O47">IF(AND(C45=""),"",IF(OR(B45=$Y$44,B45=$Y$45,B45=$Y$46),N45-M45-P45,"0"))</f>
        <v>0</v>
      </c>
      <c r="P45" s="237">
        <f t="shared" si="22" ref="P45:P47">IF(AND($Y$39=""),"",IF(AND(N45=""),"",ROUND(N45*AA$39%,0)))</f>
        <v>238.0</v>
      </c>
      <c r="Q45" s="237">
        <f t="shared" si="23" ref="Q45:Q47">IF(AND($Y$39=""),"",IF(AND(C45=""),"",IF(AND(O45=""),"",SUM(O45,P45))))</f>
        <v>238.0</v>
      </c>
      <c r="R45" s="237">
        <f>IF(AND(N45=""),"",IF(AND(Q45=""),"",N45-Q45))</f>
        <v>952.0</v>
      </c>
      <c r="S45" s="238"/>
      <c r="T45" s="240"/>
      <c r="U45" s="240"/>
      <c r="V45" s="240"/>
      <c r="X45" s="87">
        <f>DATE(YEAR(X44),MONTH(X44)+1,DAY(X44))</f>
        <v>46113.0</v>
      </c>
      <c r="Y45" s="87">
        <v>45870.0</v>
      </c>
    </row>
    <row r="46" spans="8:8" ht="13.5" customHeight="1">
      <c r="A46" s="235">
        <f>IF(B46="","",A45+1)</f>
        <v>3.0</v>
      </c>
      <c r="B46" s="236">
        <f>IF(AND($D$39=""),"",IF(AND($W$37&lt;2),"",X46))</f>
        <v>46143.0</v>
      </c>
      <c r="C46" s="237">
        <f>IF(AND($D$39=""),"",IF(AND(B46=""),"",C45))</f>
        <v>59500.0</v>
      </c>
      <c r="D46" s="237">
        <f>IF(AND(C46=""),"",IF(AND($D$39=""),"",ROUND(C46*'MASTER DATA'!C$6%,0)))</f>
        <v>35700.0</v>
      </c>
      <c r="E46" s="237">
        <f>IF(AND(C46=""),"",IF(AND($D$39=""),"",ROUND(C46*'MASTER DATA'!H$6%,0)))</f>
        <v>5950.0</v>
      </c>
      <c r="F46" s="237">
        <f>IF(AND(C46=""),"",SUM(C46:E46))</f>
        <v>101150.0</v>
      </c>
      <c r="G46" s="237">
        <f>IF(C46="","",IF(AND($D$39=""),"",G45))</f>
        <v>59500.0</v>
      </c>
      <c r="H46" s="237">
        <f>IF(AND(G46=""),"",IF(AND($D$39=""),"",ROUND(G46*'MASTER DATA'!C$5%,0)))</f>
        <v>34510.0</v>
      </c>
      <c r="I46" s="237">
        <f>IF(AND(G46=""),"",IF(AND($D$39=""),"",ROUND(G46*'MASTER DATA'!H$5%,0)))</f>
        <v>5950.0</v>
      </c>
      <c r="J46" s="237">
        <f>IF(AND(C46=""),"",SUM(G46:I46))</f>
        <v>99960.0</v>
      </c>
      <c r="K46" s="237">
        <f t="shared" si="20"/>
        <v>0.0</v>
      </c>
      <c r="L46" s="237">
        <f t="shared" si="20"/>
        <v>1190.0</v>
      </c>
      <c r="M46" s="237">
        <f t="shared" si="20"/>
        <v>0.0</v>
      </c>
      <c r="N46" s="237">
        <f t="shared" si="20"/>
        <v>1190.0</v>
      </c>
      <c r="O46" s="237" t="str">
        <f t="shared" si="21"/>
        <v>0</v>
      </c>
      <c r="P46" s="237">
        <f t="shared" si="22"/>
        <v>238.0</v>
      </c>
      <c r="Q46" s="237">
        <f t="shared" si="23"/>
        <v>238.0</v>
      </c>
      <c r="R46" s="237">
        <f>IF(AND(N46=""),"",IF(AND(Q46=""),"",N46-Q46))</f>
        <v>952.0</v>
      </c>
      <c r="S46" s="238"/>
      <c r="T46" s="240"/>
      <c r="U46" s="240"/>
      <c r="V46" s="240"/>
      <c r="X46" s="87">
        <f>DATE(YEAR(X45),MONTH(X45)+1,DAY(X45))</f>
        <v>46143.0</v>
      </c>
      <c r="Y46" s="87">
        <v>45901.0</v>
      </c>
    </row>
    <row r="47" spans="8:8" ht="13.5" customHeight="1">
      <c r="A47" s="235">
        <f>IF(B47="","",A46+1)</f>
        <v>4.0</v>
      </c>
      <c r="B47" s="236">
        <f>IF(AND($D$39=""),"",IF(AND($W$37&lt;2),"",X47))</f>
        <v>46174.0</v>
      </c>
      <c r="C47" s="237">
        <f>IF(AND($D$39=""),"",IF(AND(B47=""),"",C46))</f>
        <v>59500.0</v>
      </c>
      <c r="D47" s="237">
        <f>IF(AND(C47=""),"",IF(AND($D$39=""),"",ROUND(C47*'MASTER DATA'!C$6%,0)))</f>
        <v>35700.0</v>
      </c>
      <c r="E47" s="237">
        <f>IF(AND(C47=""),"",IF(AND($D$39=""),"",ROUND(C47*'MASTER DATA'!H$6%,0)))</f>
        <v>5950.0</v>
      </c>
      <c r="F47" s="237">
        <f>IF(AND(C47=""),"",SUM(C47:E47))</f>
        <v>101150.0</v>
      </c>
      <c r="G47" s="237">
        <f>IF(C47="","",IF(AND($D$39=""),"",G46))</f>
        <v>59500.0</v>
      </c>
      <c r="H47" s="237">
        <f>IF(AND(G47=""),"",IF(AND($D$39=""),"",ROUND(G47*'MASTER DATA'!C$5%,0)))</f>
        <v>34510.0</v>
      </c>
      <c r="I47" s="237">
        <f>IF(AND(G47=""),"",IF(AND($D$39=""),"",ROUND(G47*'MASTER DATA'!H$5%,0)))</f>
        <v>5950.0</v>
      </c>
      <c r="J47" s="237">
        <f>IF(AND(C47=""),"",SUM(G47:I47))</f>
        <v>99960.0</v>
      </c>
      <c r="K47" s="237">
        <f t="shared" si="20"/>
        <v>0.0</v>
      </c>
      <c r="L47" s="237">
        <f t="shared" si="20"/>
        <v>1190.0</v>
      </c>
      <c r="M47" s="237">
        <f t="shared" si="20"/>
        <v>0.0</v>
      </c>
      <c r="N47" s="237">
        <f t="shared" si="20"/>
        <v>1190.0</v>
      </c>
      <c r="O47" s="237" t="str">
        <f t="shared" si="21"/>
        <v>0</v>
      </c>
      <c r="P47" s="237">
        <f t="shared" si="22"/>
        <v>238.0</v>
      </c>
      <c r="Q47" s="237">
        <f t="shared" si="23"/>
        <v>238.0</v>
      </c>
      <c r="R47" s="237">
        <f>IF(AND(N47=""),"",IF(AND(Q47=""),"",N47-Q47))</f>
        <v>952.0</v>
      </c>
      <c r="S47" s="238"/>
      <c r="T47" s="240"/>
      <c r="U47" s="240"/>
      <c r="V47" s="240"/>
      <c r="X47" s="87">
        <f>DATE(YEAR(X46),MONTH(X46)+1,DAY(X46))</f>
        <v>46174.0</v>
      </c>
      <c r="Y47" s="87">
        <v>45931.0</v>
      </c>
    </row>
    <row r="48" spans="8:8" ht="13.5" customHeight="1">
      <c r="A48" s="181" t="s">
        <v>0</v>
      </c>
      <c r="B48" s="181"/>
      <c r="C48" s="182">
        <f>IF(AND($Y$5=""),"",SUM(C44:C47))</f>
        <v>238000.0</v>
      </c>
      <c r="D48" s="182">
        <f t="shared" si="24" ref="D48:R48">IF(AND($Y$5=""),"",SUM(D44:D47))</f>
        <v>142800.0</v>
      </c>
      <c r="E48" s="182">
        <f t="shared" si="24"/>
        <v>23800.0</v>
      </c>
      <c r="F48" s="182">
        <f t="shared" si="24"/>
        <v>404600.0</v>
      </c>
      <c r="G48" s="182">
        <f t="shared" si="24"/>
        <v>238000.0</v>
      </c>
      <c r="H48" s="182">
        <f t="shared" si="24"/>
        <v>138040.0</v>
      </c>
      <c r="I48" s="182">
        <f t="shared" si="24"/>
        <v>23800.0</v>
      </c>
      <c r="J48" s="182">
        <f t="shared" si="24"/>
        <v>399840.0</v>
      </c>
      <c r="K48" s="182">
        <f t="shared" si="24"/>
        <v>0.0</v>
      </c>
      <c r="L48" s="182">
        <f t="shared" si="24"/>
        <v>4760.0</v>
      </c>
      <c r="M48" s="182">
        <f t="shared" si="24"/>
        <v>0.0</v>
      </c>
      <c r="N48" s="182">
        <f t="shared" si="24"/>
        <v>4760.0</v>
      </c>
      <c r="O48" s="182">
        <f t="shared" si="24"/>
        <v>0.0</v>
      </c>
      <c r="P48" s="182">
        <f t="shared" si="24"/>
        <v>952.0</v>
      </c>
      <c r="Q48" s="182">
        <f t="shared" si="24"/>
        <v>952.0</v>
      </c>
      <c r="R48" s="182">
        <f t="shared" si="24"/>
        <v>3808.0</v>
      </c>
      <c r="S48" s="183"/>
      <c r="T48" s="240"/>
      <c r="U48" s="240"/>
      <c r="V48" s="240"/>
    </row>
    <row r="49" spans="8:8" ht="17.25" customHeight="1"/>
    <row r="50" spans="8:8" ht="18.75">
      <c r="A50" s="141"/>
      <c r="B50" s="141"/>
      <c r="C50" s="247"/>
      <c r="D50" s="209"/>
      <c r="E50" s="209"/>
      <c r="F50" s="209"/>
      <c r="G50" s="209"/>
      <c r="H50" s="209"/>
      <c r="O50" s="129" t="s">
        <v>71</v>
      </c>
      <c r="P50" s="248"/>
      <c r="Q50" s="248"/>
      <c r="R50" s="248"/>
      <c r="S50" s="248"/>
      <c r="T50" s="248"/>
    </row>
    <row r="51" spans="8:8" ht="16.5" customHeight="1">
      <c r="A51" s="249" t="str">
        <f>A3</f>
        <v>क्रमांक:-</v>
      </c>
      <c r="B51" s="249"/>
      <c r="C51" s="249"/>
      <c r="D51" s="249"/>
      <c r="E51" s="249"/>
      <c r="F51" s="249"/>
      <c r="G51" s="249"/>
      <c r="H51" s="249"/>
      <c r="O51" s="129" t="s">
        <v>72</v>
      </c>
    </row>
    <row r="52" spans="8:8" ht="16.5" customHeight="1">
      <c r="A52" s="141" t="s">
        <v>61</v>
      </c>
      <c r="B52" s="141"/>
      <c r="C52" s="247"/>
      <c r="D52" s="209"/>
      <c r="E52" s="209"/>
      <c r="F52" s="209"/>
      <c r="G52" s="209"/>
      <c r="H52" s="209"/>
      <c r="N52" s="204" t="str">
        <f>Q3</f>
        <v>दिनांक</v>
      </c>
      <c r="O52" s="250" t="str">
        <f>R3</f>
        <v>  /     /20</v>
      </c>
      <c r="P52" s="250"/>
    </row>
    <row r="53" spans="8:8" ht="16.5" customHeight="1">
      <c r="A53" s="141" t="s">
        <v>62</v>
      </c>
      <c r="B53" s="141"/>
      <c r="C53" s="247"/>
      <c r="D53" s="209"/>
      <c r="E53" s="209"/>
      <c r="F53" s="209"/>
      <c r="G53" s="209"/>
      <c r="H53" s="209"/>
    </row>
    <row r="54" spans="8:8" ht="16.5" customHeight="1">
      <c r="A54" s="141" t="s">
        <v>63</v>
      </c>
      <c r="B54" s="141"/>
      <c r="C54" s="247"/>
      <c r="D54" s="209"/>
      <c r="E54" s="209"/>
      <c r="F54" s="209"/>
      <c r="G54" s="209"/>
      <c r="H54" s="209"/>
    </row>
    <row r="55" spans="8:8" ht="13.5" customHeight="1">
      <c r="A55" s="141" t="s">
        <v>97</v>
      </c>
      <c r="B55" s="141"/>
      <c r="C55" s="247"/>
      <c r="D55" s="199"/>
      <c r="E55" s="199"/>
      <c r="F55" s="199"/>
      <c r="G55" s="199"/>
      <c r="H55" s="199"/>
      <c r="O55" s="129" t="s">
        <v>71</v>
      </c>
    </row>
    <row r="56" spans="8:8" ht="18.75">
      <c r="A56" s="141" t="s">
        <v>64</v>
      </c>
      <c r="B56" s="141"/>
      <c r="C56" s="247"/>
      <c r="O56" s="129" t="s">
        <v>72</v>
      </c>
    </row>
    <row r="57" spans="8:8" ht="39.75" customHeight="1">
      <c r="B57" s="251" t="s">
        <v>98</v>
      </c>
      <c r="C57" s="251"/>
      <c r="D57" s="251"/>
      <c r="E57" s="251"/>
      <c r="F57" s="251"/>
      <c r="G57" s="251"/>
      <c r="H57" s="251"/>
      <c r="I57" s="251"/>
      <c r="J57" s="251"/>
      <c r="K57" s="251"/>
      <c r="L57" s="251"/>
      <c r="M57" s="251"/>
      <c r="N57" s="251"/>
      <c r="O57" s="251"/>
      <c r="P57" s="251"/>
      <c r="Q57" s="251"/>
      <c r="R57" s="251"/>
      <c r="S57" s="251"/>
      <c r="T57" s="252"/>
      <c r="U57" s="252"/>
      <c r="V57" s="252"/>
      <c r="W57" s="252"/>
      <c r="X57" s="252"/>
    </row>
    <row r="58" spans="8:8" ht="15.0"/>
    <row r="59" spans="8:8" ht="15.0"/>
  </sheetData>
  <sheetProtection algorithmName="SHA-512" hashValue="ai3ZGAuqfwCVloH/pE7IG4AR9GkxIxdlqaqo7/WdbL4VgZkskcUvrfDI0+sdvWa/RX2PE7k72ysnvMHZnB1eDA==" saltValue="YkYhGRU3qoMzbKivmTBKIg==" spinCount="100000" sheet="1" formatCells="0" formatRows="0"/>
  <mergeCells count="63">
    <mergeCell ref="A51:H51"/>
    <mergeCell ref="E27:I27"/>
    <mergeCell ref="A40:S40"/>
    <mergeCell ref="B41:B42"/>
    <mergeCell ref="O41:Q41"/>
    <mergeCell ref="S18:S19"/>
    <mergeCell ref="A4:S4"/>
    <mergeCell ref="R3:S3"/>
    <mergeCell ref="A14:B14"/>
    <mergeCell ref="G5:J5"/>
    <mergeCell ref="B7:B8"/>
    <mergeCell ref="J16:N16"/>
    <mergeCell ref="E3:P3"/>
    <mergeCell ref="O29:Q29"/>
    <mergeCell ref="A41:A42"/>
    <mergeCell ref="S41:S42"/>
    <mergeCell ref="J39:N39"/>
    <mergeCell ref="G41:J41"/>
    <mergeCell ref="C41:F41"/>
    <mergeCell ref="T11:V48"/>
    <mergeCell ref="B57:S57"/>
    <mergeCell ref="B29:B30"/>
    <mergeCell ref="A36:B36"/>
    <mergeCell ref="O52:P52"/>
    <mergeCell ref="A2:S2"/>
    <mergeCell ref="B18:B19"/>
    <mergeCell ref="A1:S1"/>
    <mergeCell ref="A3:D3"/>
    <mergeCell ref="A17:S17"/>
    <mergeCell ref="C18:F18"/>
    <mergeCell ref="R7:R8"/>
    <mergeCell ref="S7:S8"/>
    <mergeCell ref="G18:J18"/>
    <mergeCell ref="E16:I16"/>
    <mergeCell ref="P16:S16"/>
    <mergeCell ref="K18:N18"/>
    <mergeCell ref="A48:B48"/>
    <mergeCell ref="R41:R42"/>
    <mergeCell ref="E39:I39"/>
    <mergeCell ref="K41:N41"/>
    <mergeCell ref="P39:S39"/>
    <mergeCell ref="S29:S30"/>
    <mergeCell ref="G7:J7"/>
    <mergeCell ref="A28:S28"/>
    <mergeCell ref="A25:B25"/>
    <mergeCell ref="A6:S6"/>
    <mergeCell ref="K5:M5"/>
    <mergeCell ref="P27:S27"/>
    <mergeCell ref="O7:Q7"/>
    <mergeCell ref="G29:J29"/>
    <mergeCell ref="A18:A19"/>
    <mergeCell ref="E5:F5"/>
    <mergeCell ref="J27:N27"/>
    <mergeCell ref="A29:A30"/>
    <mergeCell ref="A7:A8"/>
    <mergeCell ref="R29:R30"/>
    <mergeCell ref="K29:N29"/>
    <mergeCell ref="O18:Q18"/>
    <mergeCell ref="K7:N7"/>
    <mergeCell ref="C29:F29"/>
    <mergeCell ref="R18:R19"/>
    <mergeCell ref="C7:F7"/>
    <mergeCell ref="U4:V6"/>
  </mergeCells>
  <printOptions horizontalCentered="1"/>
  <pageMargins left="0.0" right="0.0" top="0.0" bottom="0.0" header="0.0" footer="0.0"/>
  <pageSetup paperSize="9" scale="84" orientation="landscape"/>
  <headerFooter>
    <oddFooter>&amp;L&amp;"-,Bold"Made by:- bhagirath mal kalwaniya gsss dasana khurd 9828789204</oddFooter>
  </headerFooter>
  <drawing r:id="rId1"/>
</worksheet>
</file>

<file path=xl/worksheets/sheet5.xml><?xml version="1.0" encoding="utf-8"?>
<worksheet xmlns:r="http://schemas.openxmlformats.org/officeDocument/2006/relationships" xmlns="http://schemas.openxmlformats.org/spreadsheetml/2006/main">
  <sheetPr>
    <tabColor rgb="FFFFFF00"/>
    <pageSetUpPr fitToPage="1"/>
  </sheetPr>
  <dimension ref="A1:AE42"/>
  <sheetViews>
    <sheetView workbookViewId="0" topLeftCell="R1" showGridLines="0">
      <pane ySplit="10" topLeftCell="A11" state="frozen" activePane="bottomLeft"/>
      <selection pane="bottomLeft" activeCell="L28" sqref="L28"/>
    </sheetView>
  </sheetViews>
  <sheetFormatPr defaultRowHeight="15.0" defaultColWidth="0" zeroHeight="1"/>
  <cols>
    <col min="1" max="1" customWidth="1" width="4.140625" style="150"/>
    <col min="2" max="2" customWidth="1" width="26.570312" style="150"/>
    <col min="3" max="3" customWidth="1" width="8.0" style="150"/>
    <col min="4" max="5" customWidth="1" width="6.7109375" style="150"/>
    <col min="6" max="7" customWidth="1" width="7.5703125" style="150"/>
    <col min="8" max="9" customWidth="1" width="6.7109375" style="150"/>
    <col min="10" max="11" customWidth="1" width="6.5703125" style="150"/>
    <col min="12" max="12" customWidth="1" width="6.7109375" style="150"/>
    <col min="13" max="13" customWidth="1" width="6.2851562" style="150"/>
    <col min="14" max="14" customWidth="1" width="6.7109375" style="150"/>
    <col min="15" max="15" customWidth="1" width="7.5703125" style="150"/>
    <col min="16" max="16" customWidth="1" width="7.140625" style="150"/>
    <col min="17" max="17" customWidth="1" width="7.7109375" style="150"/>
    <col min="18" max="18" customWidth="1" width="8.140625" style="150"/>
    <col min="19" max="19" customWidth="1" width="8.855469" style="150"/>
    <col min="20" max="20" customWidth="1" width="3.2851562" style="150"/>
    <col min="21" max="21" customWidth="1" width="9.140625" style="150"/>
    <col min="22" max="22" customWidth="1" width="2.140625" style="150"/>
    <col min="23" max="27" hidden="1" customWidth="1" width="9.140625" style="150"/>
    <col min="28" max="28" hidden="1" customWidth="1" width="3.2851562" style="150"/>
    <col min="29" max="29" customWidth="1" width="1.8554688" style="150"/>
    <col min="30" max="16384" hidden="1" customWidth="0" width="9.140625" style="150"/>
  </cols>
  <sheetData>
    <row r="1" spans="8:8" ht="27.75" customHeight="1">
      <c r="A1" s="151" t="s">
        <v>75</v>
      </c>
      <c r="B1" s="151"/>
      <c r="C1" s="151"/>
      <c r="D1" s="151"/>
      <c r="E1" s="151"/>
      <c r="F1" s="151"/>
      <c r="G1" s="151"/>
      <c r="H1" s="151"/>
      <c r="I1" s="151"/>
      <c r="J1" s="151"/>
      <c r="K1" s="151"/>
      <c r="L1" s="151"/>
      <c r="M1" s="151"/>
      <c r="N1" s="151"/>
      <c r="O1" s="151"/>
      <c r="P1" s="151"/>
      <c r="Q1" s="151"/>
      <c r="R1" s="151"/>
      <c r="S1" s="151"/>
    </row>
    <row r="2" spans="8:8" s="218" ht="13.5" customFormat="1" customHeight="1">
      <c r="A2" s="253" t="s">
        <v>121</v>
      </c>
      <c r="B2" s="253"/>
      <c r="C2" s="253"/>
      <c r="D2" s="253"/>
      <c r="E2" s="253"/>
      <c r="F2" s="253"/>
      <c r="G2" s="253"/>
      <c r="H2" s="253"/>
      <c r="I2" s="253"/>
      <c r="J2" s="253"/>
      <c r="K2" s="253"/>
      <c r="L2" s="253"/>
      <c r="M2" s="253"/>
      <c r="N2" s="253"/>
      <c r="O2" s="253"/>
      <c r="P2" s="253"/>
      <c r="Q2" s="253"/>
      <c r="R2" s="253"/>
      <c r="S2" s="253"/>
      <c r="W2" s="218">
        <f>IF(ISNA(VLOOKUP($A11,'MASTER DATA'!A$9:J$113,4,FALSE)),"",VLOOKUP($A11,'MASTER DATA'!A$9:N$113,4,FALSE))</f>
        <v>4.0</v>
      </c>
      <c r="X2" s="218" t="str">
        <f>IF(ISNA(VLOOKUP($A11,'MASTER DATA'!A$9:J$128,6,FALSE)),"",VLOOKUP($A11,'MASTER DATA'!A$9:N$113,6,FALSE))</f>
        <v>GPF-2004</v>
      </c>
      <c r="Y2" s="218" t="s">
        <v>9</v>
      </c>
      <c r="Z2" s="218" t="s">
        <v>2</v>
      </c>
      <c r="AA2" s="218">
        <f>IF(ISNA(VLOOKUP($A11,'MASTER DATA'!A$9:J$113,7,FALSE)),"",VLOOKUP($A11,'MASTER DATA'!A$9:N$113,7,FALSE))</f>
        <v>10.0</v>
      </c>
    </row>
    <row r="3" spans="8:8" s="218" ht="17.25" customFormat="1" customHeight="1">
      <c r="A3" s="254" t="str">
        <f>IF(AND('MASTER DATA'!C4=""),"",CONCATENATE("कार्यालय :-- ",'MASTER DATA'!C4))</f>
        <v>कार्यालय :-- राजकीय उच्च माध्यमिक विद्यालय डसाणा खुर्द,मौलासर (डीडवाना-कुचामन)</v>
      </c>
      <c r="B3" s="254"/>
      <c r="C3" s="254"/>
      <c r="D3" s="254"/>
      <c r="E3" s="254"/>
      <c r="F3" s="254"/>
      <c r="G3" s="254"/>
      <c r="H3" s="254"/>
      <c r="I3" s="254"/>
      <c r="J3" s="254"/>
      <c r="K3" s="254"/>
      <c r="L3" s="254"/>
      <c r="M3" s="254"/>
      <c r="N3" s="254"/>
      <c r="O3" s="254"/>
      <c r="P3" s="254"/>
      <c r="Q3" s="254"/>
      <c r="R3" s="254"/>
      <c r="S3" s="254"/>
      <c r="X3" s="255">
        <f>IF(ISNA(VLOOKUP($A11,'MASTER DATA'!A$9:J$113,8,FALSE)),"",VLOOKUP($A11,'MASTER DATA'!A$9:N$113,8,FALSE))</f>
        <v>46023.0</v>
      </c>
      <c r="Y3" s="218" t="s">
        <v>8</v>
      </c>
    </row>
    <row r="4" spans="8:8" ht="15.75" customHeight="1">
      <c r="A4" s="256" t="s">
        <v>85</v>
      </c>
      <c r="B4" s="257"/>
      <c r="C4" s="156"/>
      <c r="D4" s="156"/>
      <c r="E4" s="156"/>
      <c r="F4" s="156"/>
      <c r="G4" s="156"/>
      <c r="H4" s="156"/>
      <c r="I4" s="258" t="s">
        <v>84</v>
      </c>
      <c r="J4" s="259"/>
      <c r="K4" s="259"/>
      <c r="L4" s="259"/>
      <c r="M4" s="260"/>
      <c r="N4" s="260"/>
      <c r="O4" s="260"/>
      <c r="P4" s="260"/>
      <c r="Q4" s="261" t="s">
        <v>68</v>
      </c>
      <c r="R4" s="262" t="s">
        <v>127</v>
      </c>
      <c r="S4" s="263"/>
      <c r="T4" s="264" t="s">
        <v>107</v>
      </c>
      <c r="U4" s="264"/>
    </row>
    <row r="5" spans="8:8" ht="40.5" customHeight="1">
      <c r="A5" s="265" t="s">
        <v>122</v>
      </c>
      <c r="B5" s="265"/>
      <c r="C5" s="265"/>
      <c r="D5" s="265"/>
      <c r="E5" s="265"/>
      <c r="F5" s="265"/>
      <c r="G5" s="265"/>
      <c r="H5" s="265"/>
      <c r="I5" s="265"/>
      <c r="J5" s="265"/>
      <c r="K5" s="265"/>
      <c r="L5" s="265"/>
      <c r="M5" s="265"/>
      <c r="N5" s="265"/>
      <c r="O5" s="265"/>
      <c r="P5" s="265"/>
      <c r="Q5" s="265"/>
      <c r="R5" s="265"/>
      <c r="S5" s="265"/>
      <c r="T5" s="264"/>
      <c r="U5" s="264"/>
    </row>
    <row r="6" spans="8:8" ht="1.5" customHeight="1">
      <c r="A6" s="2"/>
      <c r="B6" s="2"/>
      <c r="C6" s="105"/>
      <c r="D6" s="266"/>
      <c r="E6" s="267"/>
      <c r="F6" s="267"/>
      <c r="G6" s="267"/>
      <c r="H6" s="267"/>
      <c r="I6" s="267"/>
      <c r="J6" s="268"/>
      <c r="K6" s="268"/>
      <c r="L6" s="268"/>
      <c r="M6" s="268"/>
      <c r="N6" s="268"/>
      <c r="O6" s="268"/>
      <c r="P6" s="269"/>
      <c r="Q6" s="268"/>
      <c r="R6" s="268"/>
      <c r="S6" s="268"/>
      <c r="T6" s="264"/>
      <c r="U6" s="264"/>
    </row>
    <row r="7" spans="8:8" ht="18.0" hidden="1" customHeight="1">
      <c r="E7" s="167"/>
      <c r="F7" s="168"/>
      <c r="G7" s="169"/>
      <c r="H7" s="169"/>
      <c r="J7" s="170"/>
      <c r="K7" s="170"/>
      <c r="L7" s="170"/>
      <c r="M7" s="171"/>
      <c r="N7" s="171"/>
      <c r="O7" s="172"/>
      <c r="P7" s="172"/>
      <c r="T7" s="264"/>
      <c r="U7" s="264"/>
    </row>
    <row r="8" spans="8:8" ht="18.0" customHeight="1">
      <c r="A8" s="77" t="s">
        <v>19</v>
      </c>
      <c r="B8" s="270" t="s">
        <v>18</v>
      </c>
      <c r="C8" s="271" t="s">
        <v>53</v>
      </c>
      <c r="D8" s="271"/>
      <c r="E8" s="271"/>
      <c r="F8" s="271"/>
      <c r="G8" s="271" t="s">
        <v>54</v>
      </c>
      <c r="H8" s="271"/>
      <c r="I8" s="271"/>
      <c r="J8" s="271"/>
      <c r="K8" s="271" t="s">
        <v>49</v>
      </c>
      <c r="L8" s="271"/>
      <c r="M8" s="271"/>
      <c r="N8" s="271"/>
      <c r="O8" s="271" t="s">
        <v>50</v>
      </c>
      <c r="P8" s="271"/>
      <c r="Q8" s="271"/>
      <c r="R8" s="270" t="s">
        <v>51</v>
      </c>
      <c r="S8" s="270" t="s">
        <v>52</v>
      </c>
      <c r="T8" s="264"/>
      <c r="U8" s="264"/>
    </row>
    <row r="9" spans="8:8" ht="49.5" customHeight="1">
      <c r="A9" s="77"/>
      <c r="B9" s="270"/>
      <c r="C9" s="272" t="s">
        <v>22</v>
      </c>
      <c r="D9" s="272" t="s">
        <v>45</v>
      </c>
      <c r="E9" s="272" t="s">
        <v>44</v>
      </c>
      <c r="F9" s="272" t="s">
        <v>46</v>
      </c>
      <c r="G9" s="272" t="s">
        <v>22</v>
      </c>
      <c r="H9" s="272" t="s">
        <v>45</v>
      </c>
      <c r="I9" s="272" t="s">
        <v>44</v>
      </c>
      <c r="J9" s="272" t="s">
        <v>46</v>
      </c>
      <c r="K9" s="272" t="s">
        <v>22</v>
      </c>
      <c r="L9" s="272" t="s">
        <v>45</v>
      </c>
      <c r="M9" s="272" t="s">
        <v>44</v>
      </c>
      <c r="N9" s="272" t="s">
        <v>46</v>
      </c>
      <c r="O9" s="272" t="s">
        <v>55</v>
      </c>
      <c r="P9" s="272" t="s">
        <v>48</v>
      </c>
      <c r="Q9" s="272" t="s">
        <v>47</v>
      </c>
      <c r="R9" s="270"/>
      <c r="S9" s="270"/>
      <c r="T9" s="273" t="s">
        <v>128</v>
      </c>
      <c r="U9" s="274"/>
    </row>
    <row r="10" spans="8:8" ht="1.5" customHeight="1">
      <c r="A10" s="175">
        <v>1.0</v>
      </c>
      <c r="B10" s="175">
        <v>2.0</v>
      </c>
      <c r="C10" s="175">
        <v>3.0</v>
      </c>
      <c r="D10" s="175">
        <v>4.0</v>
      </c>
      <c r="E10" s="175">
        <v>5.0</v>
      </c>
      <c r="F10" s="175">
        <v>6.0</v>
      </c>
      <c r="G10" s="175">
        <v>7.0</v>
      </c>
      <c r="H10" s="175">
        <v>8.0</v>
      </c>
      <c r="I10" s="175">
        <v>9.0</v>
      </c>
      <c r="J10" s="175">
        <v>10.0</v>
      </c>
      <c r="K10" s="175">
        <v>11.0</v>
      </c>
      <c r="L10" s="175">
        <v>12.0</v>
      </c>
      <c r="M10" s="175">
        <v>13.0</v>
      </c>
      <c r="N10" s="175">
        <v>14.0</v>
      </c>
      <c r="O10" s="175">
        <v>15.0</v>
      </c>
      <c r="P10" s="175">
        <v>17.0</v>
      </c>
      <c r="Q10" s="175">
        <v>18.0</v>
      </c>
      <c r="R10" s="175">
        <v>19.0</v>
      </c>
      <c r="S10" s="175">
        <v>20.0</v>
      </c>
      <c r="X10" s="176">
        <v>45474.0</v>
      </c>
    </row>
    <row r="11" spans="8:8" ht="18.0" customHeight="1">
      <c r="A11" s="275">
        <v>1.0</v>
      </c>
      <c r="B11" s="276" t="str">
        <f>IF(ISNA(VLOOKUP($A11,'MASTER DATA'!A$9:J$113,2,FALSE)),"",VLOOKUP($A11,'MASTER DATA'!A$9:N$113,2,FALSE))</f>
        <v>KISHNA RAM</v>
      </c>
      <c r="C11" s="179">
        <f>_xlfn.IFERROR(IF(A11="","",IF(ISNA(VLOOKUP(A11,'MASTER DATA'!A$9:J$113,5,FALSE)),"",VLOOKUP($A11,'MASTER DATA'!A$9:N$113,5,FALSE))/2),"")</f>
        <v>38850.0</v>
      </c>
      <c r="D11" s="179">
        <f>IF(AND(C11=""),"",IF(AND(A11=""),"",ROUND(C11*'MASTER DATA'!C$6%,0)))</f>
        <v>23310.0</v>
      </c>
      <c r="E11" s="277"/>
      <c r="F11" s="179">
        <f>IF(AND(C11=""),"",SUM(C11:E11))</f>
        <v>62160.0</v>
      </c>
      <c r="G11" s="277">
        <f>_xlfn.IFERROR(IF(A11="","",IF(ISNA(VLOOKUP($A11,'MASTER DATA'!A$9:J$113,5,FALSE)),"",VLOOKUP($A11,'MASTER DATA'!A$9:N$113,5,FALSE))/2),"")</f>
        <v>38850.0</v>
      </c>
      <c r="H11" s="179">
        <f>IF(AND(G11=""),"",IF(AND($A11=""),"",ROUND(G11*'MASTER DATA'!C$5%,0)))</f>
        <v>22533.0</v>
      </c>
      <c r="I11" s="277"/>
      <c r="J11" s="179">
        <f>IF(AND(C11=""),"",SUM(G11:I11))</f>
        <v>61383.0</v>
      </c>
      <c r="K11" s="179">
        <f>IF(AND(C11=""),"",IF(AND(G11=""),"",C11-G11))</f>
        <v>0.0</v>
      </c>
      <c r="L11" s="179">
        <f>IF(AND(D11=""),"",IF(AND(H11=""),"",D11-H11))</f>
        <v>777.0</v>
      </c>
      <c r="M11" s="277" t="str">
        <f>IF(AND(E11=""),"",IF(AND(I11=""),"",E11-I11))</f>
        <v/>
      </c>
      <c r="N11" s="179">
        <f>IF(AND(F11=""),"",IF(AND(J11=""),"",F11-J11))</f>
        <v>777.0</v>
      </c>
      <c r="O11" s="278">
        <f>IF(AND(A11=""),"",IF(AND(D11=""),"",IF(AND(H11=""),"",IF(AND(L11=""),"",L11-P11))))</f>
        <v>699.0</v>
      </c>
      <c r="P11" s="279">
        <f>IF(AND($A11=""),"",IF(AND(N11=""),"",ROUND(N11*VLOOKUP(A11,'MASTER DATA'!A9:P105,7,0)/100,0)))</f>
        <v>78.0</v>
      </c>
      <c r="Q11" s="278">
        <f>IF(AND($A11=""),"",IF(AND(C11=""),"",IF(AND(O11=""),"",SUM(O11,P11))))</f>
        <v>777.0</v>
      </c>
      <c r="R11" s="179">
        <f>IF(AND(N11=""),"",IF(AND(Q11=""),"",N11-Q11))</f>
        <v>0.0</v>
      </c>
      <c r="S11" s="180"/>
      <c r="X11" s="176">
        <v>45658.0</v>
      </c>
    </row>
    <row r="12" spans="8:8" ht="18.0" customHeight="1">
      <c r="A12" s="275">
        <v>2.0</v>
      </c>
      <c r="B12" s="276" t="str">
        <f>IF(ISNA(VLOOKUP($A12,'MASTER DATA'!A$9:J$113,2,FALSE)),"",VLOOKUP($A12,'MASTER DATA'!A$9:N$113,2,FALSE))</f>
        <v>BHAGU RAM</v>
      </c>
      <c r="C12" s="179">
        <f>_xlfn.IFERROR(IF(A12="","",IF(ISNA(VLOOKUP(A12,'MASTER DATA'!A$9:J$113,5,FALSE)),"",VLOOKUP($A12,'MASTER DATA'!A$9:N$113,5,FALSE))/2),"")</f>
        <v>23500.0</v>
      </c>
      <c r="D12" s="179">
        <f>IF(AND(C12=""),"",IF(AND(A12=""),"",ROUND(C12*'MASTER DATA'!C$6%,0)))</f>
        <v>14100.0</v>
      </c>
      <c r="E12" s="277"/>
      <c r="F12" s="179">
        <f t="shared" si="0" ref="F12:F17">IF(AND(C12=""),"",SUM(C12:E12))</f>
        <v>37600.0</v>
      </c>
      <c r="G12" s="277">
        <f>_xlfn.IFERROR(IF(A12="","",IF(ISNA(VLOOKUP($A12,'MASTER DATA'!A$9:J$113,5,FALSE)),"",VLOOKUP($A12,'MASTER DATA'!A$9:N$113,5,FALSE))/2),"")</f>
        <v>23500.0</v>
      </c>
      <c r="H12" s="179">
        <f>IF(AND(G12=""),"",IF(AND($A12=""),"",ROUND(G12*'MASTER DATA'!C$5%,0)))</f>
        <v>13630.0</v>
      </c>
      <c r="I12" s="277"/>
      <c r="J12" s="179">
        <f t="shared" si="1" ref="J12:J17">IF(AND(C12=""),"",SUM(G12:I12))</f>
        <v>37130.0</v>
      </c>
      <c r="K12" s="179">
        <f t="shared" si="2" ref="K12:K17">IF(AND(C12=""),"",IF(AND(G12=""),"",C12-G12))</f>
        <v>0.0</v>
      </c>
      <c r="L12" s="179">
        <f t="shared" si="3" ref="L12:L17">IF(AND(D12=""),"",IF(AND(H12=""),"",D12-H12))</f>
        <v>470.0</v>
      </c>
      <c r="M12" s="277" t="str">
        <f t="shared" si="4" ref="M12:M17">IF(AND(E12=""),"",IF(AND(I12=""),"",E12-I12))</f>
        <v/>
      </c>
      <c r="N12" s="179">
        <f t="shared" si="5" ref="N12:N17">IF(AND(F12=""),"",IF(AND(J12=""),"",F12-J12))</f>
        <v>470.0</v>
      </c>
      <c r="O12" s="280">
        <f t="shared" si="6" ref="O12:O17">IF(AND(A12=""),"",IF(AND(D12=""),"",IF(AND(H12=""),"",IF(AND(L12=""),"",L12-P12))))</f>
        <v>399.0</v>
      </c>
      <c r="P12" s="279">
        <f>IF(AND($A12=""),"",IF(AND(N12=""),"",ROUND(N12*VLOOKUP(A12,'MASTER DATA'!A10:P106,7,0)/100,0)))</f>
        <v>71.0</v>
      </c>
      <c r="Q12" s="179">
        <f t="shared" si="7" ref="Q12:Q17">IF(AND($A12=""),"",IF(AND(C12=""),"",IF(AND(O12=""),"",SUM(O12,P12))))</f>
        <v>470.0</v>
      </c>
      <c r="R12" s="179">
        <f t="shared" si="8" ref="R12:R17">IF(AND(N12=""),"",IF(AND(Q12=""),"",N12-Q12))</f>
        <v>0.0</v>
      </c>
      <c r="S12" s="180"/>
      <c r="X12" s="281"/>
    </row>
    <row r="13" spans="8:8" ht="18.0" customHeight="1">
      <c r="A13" s="275">
        <v>3.0</v>
      </c>
      <c r="B13" s="276" t="str">
        <f>IF(ISNA(VLOOKUP($A13,'MASTER DATA'!A$9:J$113,2,FALSE)),"",VLOOKUP($A13,'MASTER DATA'!A$9:N$113,2,FALSE))</f>
        <v>CHENA RAM</v>
      </c>
      <c r="C13" s="179">
        <f>_xlfn.IFERROR(IF(A13="","",IF(ISNA(VLOOKUP(A13,'MASTER DATA'!A$9:J$113,5,FALSE)),"",VLOOKUP($A13,'MASTER DATA'!A$9:N$113,5,FALSE))/2),"")</f>
        <v>35650.0</v>
      </c>
      <c r="D13" s="179">
        <f>IF(AND(C13=""),"",IF(AND(A13=""),"",ROUND(C13*'MASTER DATA'!C$6%,0)))</f>
        <v>21390.0</v>
      </c>
      <c r="E13" s="277"/>
      <c r="F13" s="179">
        <f t="shared" si="0"/>
        <v>57040.0</v>
      </c>
      <c r="G13" s="277">
        <f>_xlfn.IFERROR(IF(A13="","",IF(ISNA(VLOOKUP($A13,'MASTER DATA'!A$9:J$113,5,FALSE)),"",VLOOKUP($A13,'MASTER DATA'!A$9:N$113,5,FALSE))/2),"")</f>
        <v>35650.0</v>
      </c>
      <c r="H13" s="179">
        <f>IF(AND(G13=""),"",IF(AND($A13=""),"",ROUND(G13*'MASTER DATA'!C$5%,0)))</f>
        <v>20677.0</v>
      </c>
      <c r="I13" s="277"/>
      <c r="J13" s="179">
        <f t="shared" si="1"/>
        <v>56327.0</v>
      </c>
      <c r="K13" s="179">
        <f t="shared" si="2"/>
        <v>0.0</v>
      </c>
      <c r="L13" s="179">
        <f t="shared" si="3"/>
        <v>713.0</v>
      </c>
      <c r="M13" s="277" t="str">
        <f t="shared" si="4"/>
        <v/>
      </c>
      <c r="N13" s="179">
        <f t="shared" si="5"/>
        <v>713.0</v>
      </c>
      <c r="O13" s="280">
        <f t="shared" si="6"/>
        <v>570.0</v>
      </c>
      <c r="P13" s="279">
        <f>IF(AND($A13=""),"",IF(AND(N13=""),"",ROUND(N13*VLOOKUP(A13,'MASTER DATA'!A11:P107,7,0)/100,0)))</f>
        <v>143.0</v>
      </c>
      <c r="Q13" s="179">
        <f t="shared" si="7"/>
        <v>713.0</v>
      </c>
      <c r="R13" s="179">
        <f t="shared" si="8"/>
        <v>0.0</v>
      </c>
      <c r="S13" s="180"/>
      <c r="X13" s="281"/>
    </row>
    <row r="14" spans="8:8" ht="18.0" customHeight="1">
      <c r="A14" s="275">
        <v>6.0</v>
      </c>
      <c r="B14" s="276" t="str">
        <f>IF(ISNA(VLOOKUP($A14,'MASTER DATA'!A$9:J$113,2,FALSE)),"",VLOOKUP($A14,'MASTER DATA'!A$9:N$113,2,FALSE))</f>
        <v>MOHNI</v>
      </c>
      <c r="C14" s="179">
        <f>_xlfn.IFERROR(IF(A14="","",IF(ISNA(VLOOKUP(A14,'MASTER DATA'!A$9:J$113,5,FALSE)),"",VLOOKUP($A14,'MASTER DATA'!A$9:N$113,5,FALSE))/2),"")</f>
        <v>20650.0</v>
      </c>
      <c r="D14" s="179">
        <f>IF(AND(C14=""),"",IF(AND(A14=""),"",ROUND(C14*'MASTER DATA'!C$6%,0)))</f>
        <v>12390.0</v>
      </c>
      <c r="E14" s="277"/>
      <c r="F14" s="179">
        <f t="shared" si="0"/>
        <v>33040.0</v>
      </c>
      <c r="G14" s="277">
        <f>_xlfn.IFERROR(IF(A14="","",IF(ISNA(VLOOKUP($A14,'MASTER DATA'!A$9:J$113,5,FALSE)),"",VLOOKUP($A14,'MASTER DATA'!A$9:N$113,5,FALSE))/2),"")</f>
        <v>20650.0</v>
      </c>
      <c r="H14" s="179">
        <f>IF(AND(G14=""),"",IF(AND($A14=""),"",ROUND(G14*'MASTER DATA'!C$5%,0)))</f>
        <v>11977.0</v>
      </c>
      <c r="I14" s="277"/>
      <c r="J14" s="179">
        <f t="shared" si="1"/>
        <v>32627.0</v>
      </c>
      <c r="K14" s="179">
        <f t="shared" si="2"/>
        <v>0.0</v>
      </c>
      <c r="L14" s="179">
        <f t="shared" si="3"/>
        <v>413.0</v>
      </c>
      <c r="M14" s="277" t="str">
        <f t="shared" si="4"/>
        <v/>
      </c>
      <c r="N14" s="179">
        <f t="shared" si="5"/>
        <v>413.0</v>
      </c>
      <c r="O14" s="280">
        <f t="shared" si="6"/>
        <v>413.0</v>
      </c>
      <c r="P14" s="279">
        <f>IF(AND($A14=""),"",IF(AND(N14=""),"",ROUND(N14*VLOOKUP(A14,'MASTER DATA'!A12:P108,7,0)/100,0)))</f>
        <v>0.0</v>
      </c>
      <c r="Q14" s="179">
        <f t="shared" si="7"/>
        <v>413.0</v>
      </c>
      <c r="R14" s="179">
        <f t="shared" si="8"/>
        <v>0.0</v>
      </c>
      <c r="S14" s="180"/>
      <c r="X14" s="281"/>
    </row>
    <row r="15" spans="8:8" ht="18.0" customHeight="1">
      <c r="A15" s="275">
        <v>7.0</v>
      </c>
      <c r="B15" s="276" t="str">
        <f>IF(ISNA(VLOOKUP($A15,'MASTER DATA'!A$9:J$113,2,FALSE)),"",VLOOKUP($A15,'MASTER DATA'!A$9:N$113,2,FALSE))</f>
        <v>BHAGIRATH MAL</v>
      </c>
      <c r="C15" s="179">
        <f>_xlfn.IFERROR(IF(A15="","",IF(ISNA(VLOOKUP(A15,'MASTER DATA'!A$9:J$113,5,FALSE)),"",VLOOKUP($A15,'MASTER DATA'!A$9:N$113,5,FALSE))/2),"")</f>
        <v>38600.0</v>
      </c>
      <c r="D15" s="179">
        <f>IF(AND(C15=""),"",IF(AND(A15=""),"",ROUND(C15*'MASTER DATA'!C$6%,0)))</f>
        <v>23160.0</v>
      </c>
      <c r="E15" s="277"/>
      <c r="F15" s="179">
        <f t="shared" si="0"/>
        <v>61760.0</v>
      </c>
      <c r="G15" s="277">
        <f>_xlfn.IFERROR(IF(A15="","",IF(ISNA(VLOOKUP($A15,'MASTER DATA'!A$9:J$113,5,FALSE)),"",VLOOKUP($A15,'MASTER DATA'!A$9:N$113,5,FALSE))/2),"")</f>
        <v>38600.0</v>
      </c>
      <c r="H15" s="179">
        <f>IF(AND(G15=""),"",IF(AND($A15=""),"",ROUND(G15*'MASTER DATA'!C$5%,0)))</f>
        <v>22388.0</v>
      </c>
      <c r="I15" s="277"/>
      <c r="J15" s="179">
        <f t="shared" si="1"/>
        <v>60988.0</v>
      </c>
      <c r="K15" s="179">
        <f t="shared" si="2"/>
        <v>0.0</v>
      </c>
      <c r="L15" s="179">
        <f t="shared" si="3"/>
        <v>772.0</v>
      </c>
      <c r="M15" s="277" t="str">
        <f t="shared" si="4"/>
        <v/>
      </c>
      <c r="N15" s="179">
        <f t="shared" si="5"/>
        <v>772.0</v>
      </c>
      <c r="O15" s="280">
        <f t="shared" si="6"/>
        <v>695.0</v>
      </c>
      <c r="P15" s="279">
        <f>IF(AND($A15=""),"",IF(AND(N15=""),"",ROUND(N15*VLOOKUP(A15,'MASTER DATA'!A13:P109,7,0)/100,0)))</f>
        <v>77.0</v>
      </c>
      <c r="Q15" s="179">
        <f t="shared" si="7"/>
        <v>772.0</v>
      </c>
      <c r="R15" s="179">
        <f t="shared" si="8"/>
        <v>0.0</v>
      </c>
      <c r="S15" s="180"/>
      <c r="X15" s="281"/>
    </row>
    <row r="16" spans="8:8" ht="18.0" customHeight="1">
      <c r="A16" s="275">
        <v>8.0</v>
      </c>
      <c r="B16" s="276" t="str">
        <f>IF(ISNA(VLOOKUP($A16,'MASTER DATA'!A$9:J$113,2,FALSE)),"",VLOOKUP($A16,'MASTER DATA'!A$9:N$113,2,FALSE))</f>
        <v>KAMLA DEVI</v>
      </c>
      <c r="C16" s="179">
        <f>_xlfn.IFERROR(IF(A16="","",IF(ISNA(VLOOKUP(A16,'MASTER DATA'!A$9:J$113,5,FALSE)),"",VLOOKUP($A16,'MASTER DATA'!A$9:N$113,5,FALSE))/2),"")</f>
        <v>37700.0</v>
      </c>
      <c r="D16" s="179">
        <f>IF(AND(C16=""),"",IF(AND(A16=""),"",ROUND(C16*'MASTER DATA'!C$6%,0)))</f>
        <v>22620.0</v>
      </c>
      <c r="E16" s="277"/>
      <c r="F16" s="179">
        <f t="shared" si="0"/>
        <v>60320.0</v>
      </c>
      <c r="G16" s="277">
        <f>_xlfn.IFERROR(IF(A16="","",IF(ISNA(VLOOKUP($A16,'MASTER DATA'!A$9:J$113,5,FALSE)),"",VLOOKUP($A16,'MASTER DATA'!A$9:N$113,5,FALSE))/2),"")</f>
        <v>37700.0</v>
      </c>
      <c r="H16" s="179">
        <f>IF(AND(G16=""),"",IF(AND($A16=""),"",ROUND(G16*'MASTER DATA'!C$5%,0)))</f>
        <v>21866.0</v>
      </c>
      <c r="I16" s="277"/>
      <c r="J16" s="179">
        <f t="shared" si="1"/>
        <v>59566.0</v>
      </c>
      <c r="K16" s="179">
        <f t="shared" si="2"/>
        <v>0.0</v>
      </c>
      <c r="L16" s="179">
        <f t="shared" si="3"/>
        <v>754.0</v>
      </c>
      <c r="M16" s="277" t="str">
        <f t="shared" si="4"/>
        <v/>
      </c>
      <c r="N16" s="179">
        <f t="shared" si="5"/>
        <v>754.0</v>
      </c>
      <c r="O16" s="280">
        <f t="shared" si="6"/>
        <v>679.0</v>
      </c>
      <c r="P16" s="279">
        <f>IF(AND($A16=""),"",IF(AND(N16=""),"",ROUND(N16*VLOOKUP(A16,'MASTER DATA'!A14:P110,7,0)/100,0)))</f>
        <v>75.0</v>
      </c>
      <c r="Q16" s="179">
        <f t="shared" si="7"/>
        <v>754.0</v>
      </c>
      <c r="R16" s="179">
        <f t="shared" si="8"/>
        <v>0.0</v>
      </c>
      <c r="S16" s="180"/>
      <c r="X16" s="281"/>
    </row>
    <row r="17" spans="8:8" ht="18.0" customHeight="1">
      <c r="A17" s="275">
        <v>10.0</v>
      </c>
      <c r="B17" s="276" t="str">
        <f>IF(ISNA(VLOOKUP($A17,'MASTER DATA'!A$9:J$113,2,FALSE)),"",VLOOKUP($A17,'MASTER DATA'!A$9:N$113,2,FALSE))</f>
        <v>RAMKISHAN MEENA</v>
      </c>
      <c r="C17" s="179">
        <f>_xlfn.IFERROR(IF(A17="","",IF(ISNA(VLOOKUP(A17,'MASTER DATA'!A$9:J$113,5,FALSE)),"",VLOOKUP($A17,'MASTER DATA'!A$9:N$113,5,FALSE))/2),"")</f>
        <v>17900.0</v>
      </c>
      <c r="D17" s="179">
        <f>IF(AND(C17=""),"",IF(AND(A17=""),"",ROUND(C17*'MASTER DATA'!C$6%,0)))</f>
        <v>10740.0</v>
      </c>
      <c r="E17" s="277"/>
      <c r="F17" s="179">
        <f t="shared" si="0"/>
        <v>28640.0</v>
      </c>
      <c r="G17" s="277">
        <f>_xlfn.IFERROR(IF(A17="","",IF(ISNA(VLOOKUP($A17,'MASTER DATA'!A$9:J$113,5,FALSE)),"",VLOOKUP($A17,'MASTER DATA'!A$9:N$113,5,FALSE))/2),"")</f>
        <v>17900.0</v>
      </c>
      <c r="H17" s="179">
        <f>IF(AND(G17=""),"",IF(AND($A17=""),"",ROUND(G17*'MASTER DATA'!C$5%,0)))</f>
        <v>10382.0</v>
      </c>
      <c r="I17" s="277"/>
      <c r="J17" s="179">
        <f t="shared" si="1"/>
        <v>28282.0</v>
      </c>
      <c r="K17" s="179">
        <f t="shared" si="2"/>
        <v>0.0</v>
      </c>
      <c r="L17" s="179">
        <f t="shared" si="3"/>
        <v>358.0</v>
      </c>
      <c r="M17" s="277" t="str">
        <f t="shared" si="4"/>
        <v/>
      </c>
      <c r="N17" s="179">
        <f t="shared" si="5"/>
        <v>358.0</v>
      </c>
      <c r="O17" s="280">
        <f t="shared" si="6"/>
        <v>358.0</v>
      </c>
      <c r="P17" s="279">
        <f>IF(AND($A17=""),"",IF(AND(N17=""),"",ROUND(N17*VLOOKUP(A17,'MASTER DATA'!A15:P111,7,0)/100,0)))</f>
        <v>0.0</v>
      </c>
      <c r="Q17" s="179">
        <f t="shared" si="7"/>
        <v>358.0</v>
      </c>
      <c r="R17" s="179">
        <f t="shared" si="8"/>
        <v>0.0</v>
      </c>
      <c r="S17" s="180"/>
      <c r="X17" s="281"/>
    </row>
    <row r="18" spans="8:8" ht="18.0" customHeight="1">
      <c r="A18" s="275">
        <v>12.0</v>
      </c>
      <c r="B18" s="276" t="str">
        <f>IF(ISNA(VLOOKUP($A18,'MASTER DATA'!A$9:J$113,2,FALSE)),"",VLOOKUP($A18,'MASTER DATA'!A$9:N$113,2,FALSE))</f>
        <v>RAMKARAN</v>
      </c>
      <c r="C18" s="179">
        <f>_xlfn.IFERROR(IF(A18="","",IF(ISNA(VLOOKUP(A18,'MASTER DATA'!A$9:J$113,5,FALSE)),"",VLOOKUP($A18,'MASTER DATA'!A$9:N$113,5,FALSE))/2),"")</f>
        <v>33600.0</v>
      </c>
      <c r="D18" s="179">
        <f>IF(AND(C18=""),"",IF(AND(A18=""),"",ROUND(C18*'MASTER DATA'!C$6%,0)))</f>
        <v>20160.0</v>
      </c>
      <c r="E18" s="277"/>
      <c r="F18" s="179">
        <f t="shared" si="9" ref="F18:F25">IF(AND(C18=""),"",SUM(C18:E18))</f>
        <v>53760.0</v>
      </c>
      <c r="G18" s="277">
        <f>_xlfn.IFERROR(IF(A18="","",IF(ISNA(VLOOKUP($A18,'MASTER DATA'!A$9:J$113,5,FALSE)),"",VLOOKUP($A18,'MASTER DATA'!A$9:N$113,5,FALSE))/2),"")</f>
        <v>33600.0</v>
      </c>
      <c r="H18" s="179">
        <f>IF(AND(G18=""),"",IF(AND($A18=""),"",ROUND(G18*'MASTER DATA'!C$5%,0)))</f>
        <v>19488.0</v>
      </c>
      <c r="I18" s="277"/>
      <c r="J18" s="179">
        <f t="shared" si="10" ref="J18:J25">IF(AND(C18=""),"",SUM(G18:I18))</f>
        <v>53088.0</v>
      </c>
      <c r="K18" s="179">
        <f t="shared" si="11" ref="K18:K25">IF(AND(C18=""),"",IF(AND(G18=""),"",C18-G18))</f>
        <v>0.0</v>
      </c>
      <c r="L18" s="179">
        <f t="shared" si="12" ref="L18:L25">IF(AND(D18=""),"",IF(AND(H18=""),"",D18-H18))</f>
        <v>672.0</v>
      </c>
      <c r="M18" s="277" t="str">
        <f t="shared" si="13" ref="M18:M25">IF(AND(E18=""),"",IF(AND(I18=""),"",E18-I18))</f>
        <v/>
      </c>
      <c r="N18" s="179">
        <f t="shared" si="14" ref="N18">IF(AND(F18=""),"",IF(AND(J18=""),"",F18-J18))</f>
        <v>672.0</v>
      </c>
      <c r="O18" s="280">
        <f t="shared" si="15" ref="O18">IF(AND(A18=""),"",IF(AND(D18=""),"",IF(AND(H18=""),"",IF(AND(L18=""),"",L18-P18))))</f>
        <v>672.0</v>
      </c>
      <c r="P18" s="279">
        <f>IF(AND($A18=""),"",IF(AND(N18=""),"",ROUND(N18*VLOOKUP(A18,'MASTER DATA'!A16:P112,7,0)/100,0)))</f>
        <v>0.0</v>
      </c>
      <c r="Q18" s="179">
        <f t="shared" si="16" ref="Q18">IF(AND($A18=""),"",IF(AND(C18=""),"",IF(AND(O18=""),"",SUM(O18,P18))))</f>
        <v>672.0</v>
      </c>
      <c r="R18" s="179">
        <f t="shared" si="17" ref="R18">IF(AND(N18=""),"",IF(AND(Q18=""),"",N18-Q18))</f>
        <v>0.0</v>
      </c>
      <c r="S18" s="180"/>
      <c r="X18" s="281"/>
    </row>
    <row r="19" spans="8:8" ht="18.0" customHeight="1">
      <c r="A19" s="275">
        <v>11.0</v>
      </c>
      <c r="B19" s="276" t="str">
        <f>IF(ISNA(VLOOKUP($A19,'MASTER DATA'!A$9:J$113,2,FALSE)),"",VLOOKUP($A19,'MASTER DATA'!A$9:N$113,2,FALSE))</f>
        <v>SUNITA RANWA</v>
      </c>
      <c r="C19" s="179">
        <f>_xlfn.IFERROR(IF(A19="","",IF(ISNA(VLOOKUP(A19,'MASTER DATA'!A$9:J$113,5,FALSE)),"",VLOOKUP($A19,'MASTER DATA'!A$9:N$113,5,FALSE))/2),"")</f>
        <v>22550.0</v>
      </c>
      <c r="D19" s="179">
        <f>IF(AND(C19=""),"",IF(AND(A19=""),"",ROUND(C19*'MASTER DATA'!C$6%,0)))</f>
        <v>13530.0</v>
      </c>
      <c r="E19" s="277"/>
      <c r="F19" s="179">
        <f t="shared" si="9"/>
        <v>36080.0</v>
      </c>
      <c r="G19" s="277">
        <f>_xlfn.IFERROR(IF(A19="","",IF(ISNA(VLOOKUP($A19,'MASTER DATA'!A$9:J$113,5,FALSE)),"",VLOOKUP($A19,'MASTER DATA'!A$9:N$113,5,FALSE))/2),"")</f>
        <v>22550.0</v>
      </c>
      <c r="H19" s="179">
        <f>IF(AND(G19=""),"",IF(AND($A19=""),"",ROUND(G19*'MASTER DATA'!C$5%,0)))</f>
        <v>13079.0</v>
      </c>
      <c r="I19" s="277"/>
      <c r="J19" s="179">
        <f t="shared" si="10"/>
        <v>35629.0</v>
      </c>
      <c r="K19" s="179">
        <f t="shared" si="11"/>
        <v>0.0</v>
      </c>
      <c r="L19" s="179">
        <f t="shared" si="12"/>
        <v>451.0</v>
      </c>
      <c r="M19" s="277" t="str">
        <f t="shared" si="13"/>
        <v/>
      </c>
      <c r="N19" s="179">
        <f t="shared" si="18" ref="N19:N25">IF(AND(F19=""),"",IF(AND(J19=""),"",F19-J19))</f>
        <v>451.0</v>
      </c>
      <c r="O19" s="280">
        <f t="shared" si="19" ref="O19:O25">IF(AND(A19=""),"",IF(AND(D19=""),"",IF(AND(H19=""),"",IF(AND(L19=""),"",L19-P19))))</f>
        <v>451.0</v>
      </c>
      <c r="P19" s="279">
        <f>IF(AND($A19=""),"",IF(AND(N19=""),"",ROUND(N19*VLOOKUP(A19,'MASTER DATA'!A17:P113,7,0)/100,0)))</f>
        <v>0.0</v>
      </c>
      <c r="Q19" s="179">
        <f t="shared" si="20" ref="Q19:Q25">IF(AND($A19=""),"",IF(AND(C19=""),"",IF(AND(O19=""),"",SUM(O19,P19))))</f>
        <v>451.0</v>
      </c>
      <c r="R19" s="179">
        <f t="shared" si="21" ref="R19:R25">IF(AND(N19=""),"",IF(AND(Q19=""),"",N19-Q19))</f>
        <v>0.0</v>
      </c>
      <c r="S19" s="180"/>
      <c r="X19" s="281"/>
    </row>
    <row r="20" spans="8:8" ht="18.0" customHeight="1">
      <c r="A20" s="275"/>
      <c r="B20" s="276" t="str">
        <f>IF(ISNA(VLOOKUP($A20,'MASTER DATA'!A$9:J$113,2,FALSE)),"",VLOOKUP($A20,'MASTER DATA'!A$9:N$113,2,FALSE))</f>
        <v/>
      </c>
      <c r="C20" s="179" t="str">
        <f>_xlfn.IFERROR(IF(A20="","",IF(ISNA(VLOOKUP(A20,'MASTER DATA'!A$9:J$113,5,FALSE)),"",VLOOKUP($A20,'MASTER DATA'!A$9:N$113,5,FALSE))/2),"")</f>
        <v/>
      </c>
      <c r="D20" s="179" t="str">
        <f>IF(AND(C20=""),"",IF(AND(A20=""),"",ROUND(C20*'MASTER DATA'!C$6%,0)))</f>
        <v/>
      </c>
      <c r="E20" s="277"/>
      <c r="F20" s="179" t="str">
        <f t="shared" si="9"/>
        <v/>
      </c>
      <c r="G20" s="277" t="str">
        <f>_xlfn.IFERROR(IF(A20="","",IF(ISNA(VLOOKUP($A20,'MASTER DATA'!A$9:J$113,5,FALSE)),"",VLOOKUP($A20,'MASTER DATA'!A$9:N$113,5,FALSE))/2),"")</f>
        <v/>
      </c>
      <c r="H20" s="179" t="str">
        <f>IF(AND(G20=""),"",IF(AND($A20=""),"",ROUND(G20*'MASTER DATA'!C$5%,0)))</f>
        <v/>
      </c>
      <c r="I20" s="277"/>
      <c r="J20" s="179" t="str">
        <f t="shared" si="10"/>
        <v/>
      </c>
      <c r="K20" s="179" t="str">
        <f t="shared" si="11"/>
        <v/>
      </c>
      <c r="L20" s="179" t="str">
        <f t="shared" si="12"/>
        <v/>
      </c>
      <c r="M20" s="277" t="str">
        <f t="shared" si="13"/>
        <v/>
      </c>
      <c r="N20" s="179" t="str">
        <f t="shared" si="18"/>
        <v/>
      </c>
      <c r="O20" s="280" t="str">
        <f t="shared" si="19"/>
        <v/>
      </c>
      <c r="P20" s="279" t="str">
        <f>IF(AND($A20=""),"",IF(AND(N20=""),"",ROUND(N20*VLOOKUP(A20,'MASTER DATA'!A18:P114,7,0)/100,0)))</f>
        <v/>
      </c>
      <c r="Q20" s="179" t="str">
        <f t="shared" si="20"/>
        <v/>
      </c>
      <c r="R20" s="179" t="str">
        <f t="shared" si="21"/>
        <v/>
      </c>
      <c r="S20" s="180"/>
      <c r="X20" s="281"/>
    </row>
    <row r="21" spans="8:8" ht="18.0" customHeight="1">
      <c r="A21" s="275"/>
      <c r="B21" s="276" t="str">
        <f>IF(ISNA(VLOOKUP($A21,'MASTER DATA'!A$9:J$113,2,FALSE)),"",VLOOKUP($A21,'MASTER DATA'!A$9:N$113,2,FALSE))</f>
        <v/>
      </c>
      <c r="C21" s="179" t="str">
        <f>_xlfn.IFERROR(IF(A21="","",IF(ISNA(VLOOKUP(A21,'MASTER DATA'!A$9:J$113,5,FALSE)),"",VLOOKUP($A21,'MASTER DATA'!A$9:N$113,5,FALSE))/2),"")</f>
        <v/>
      </c>
      <c r="D21" s="179" t="str">
        <f>IF(AND(C21=""),"",IF(AND(A21=""),"",ROUND(C21*'MASTER DATA'!C$6%,0)))</f>
        <v/>
      </c>
      <c r="E21" s="277"/>
      <c r="F21" s="179" t="str">
        <f t="shared" si="9"/>
        <v/>
      </c>
      <c r="G21" s="277" t="str">
        <f>_xlfn.IFERROR(IF(A21="","",IF(ISNA(VLOOKUP($A21,'MASTER DATA'!A$9:J$113,5,FALSE)),"",VLOOKUP($A21,'MASTER DATA'!A$9:N$113,5,FALSE))/2),"")</f>
        <v/>
      </c>
      <c r="H21" s="179" t="str">
        <f>IF(AND(G21=""),"",IF(AND($A21=""),"",ROUND(G21*'MASTER DATA'!C$5%,0)))</f>
        <v/>
      </c>
      <c r="I21" s="277"/>
      <c r="J21" s="179" t="str">
        <f t="shared" si="10"/>
        <v/>
      </c>
      <c r="K21" s="179" t="str">
        <f t="shared" si="11"/>
        <v/>
      </c>
      <c r="L21" s="179" t="str">
        <f t="shared" si="12"/>
        <v/>
      </c>
      <c r="M21" s="277" t="str">
        <f t="shared" si="13"/>
        <v/>
      </c>
      <c r="N21" s="179" t="str">
        <f t="shared" si="18"/>
        <v/>
      </c>
      <c r="O21" s="280" t="str">
        <f t="shared" si="19"/>
        <v/>
      </c>
      <c r="P21" s="279" t="str">
        <f>IF(AND($A21=""),"",IF(AND(N21=""),"",ROUND(N21*VLOOKUP(A21,'MASTER DATA'!A19:P115,7,0)/100,0)))</f>
        <v/>
      </c>
      <c r="Q21" s="179" t="str">
        <f t="shared" si="20"/>
        <v/>
      </c>
      <c r="R21" s="179" t="str">
        <f t="shared" si="21"/>
        <v/>
      </c>
      <c r="S21" s="180"/>
      <c r="X21" s="281"/>
    </row>
    <row r="22" spans="8:8" ht="18.0" customHeight="1">
      <c r="A22" s="275"/>
      <c r="B22" s="276" t="str">
        <f>IF(ISNA(VLOOKUP($A22,'MASTER DATA'!A$9:J$113,2,FALSE)),"",VLOOKUP($A22,'MASTER DATA'!A$9:N$113,2,FALSE))</f>
        <v/>
      </c>
      <c r="C22" s="179" t="str">
        <f>_xlfn.IFERROR(IF(A22="","",IF(ISNA(VLOOKUP(A22,'MASTER DATA'!A$9:J$113,5,FALSE)),"",VLOOKUP($A22,'MASTER DATA'!A$9:N$113,5,FALSE))/2),"")</f>
        <v/>
      </c>
      <c r="D22" s="179" t="str">
        <f>IF(AND(C22=""),"",IF(AND(A22=""),"",ROUND(C22*'MASTER DATA'!C$6%,0)))</f>
        <v/>
      </c>
      <c r="E22" s="277"/>
      <c r="F22" s="179" t="str">
        <f t="shared" si="9"/>
        <v/>
      </c>
      <c r="G22" s="277" t="str">
        <f>_xlfn.IFERROR(IF(A22="","",IF(ISNA(VLOOKUP($A22,'MASTER DATA'!A$9:J$113,5,FALSE)),"",VLOOKUP($A22,'MASTER DATA'!A$9:N$113,5,FALSE))/2),"")</f>
        <v/>
      </c>
      <c r="H22" s="179" t="str">
        <f>IF(AND(G22=""),"",IF(AND($A22=""),"",ROUND(G22*'MASTER DATA'!C$5%,0)))</f>
        <v/>
      </c>
      <c r="I22" s="277"/>
      <c r="J22" s="179" t="str">
        <f t="shared" si="10"/>
        <v/>
      </c>
      <c r="K22" s="179" t="str">
        <f t="shared" si="11"/>
        <v/>
      </c>
      <c r="L22" s="179" t="str">
        <f t="shared" si="12"/>
        <v/>
      </c>
      <c r="M22" s="277" t="str">
        <f t="shared" si="13"/>
        <v/>
      </c>
      <c r="N22" s="179" t="str">
        <f t="shared" si="18"/>
        <v/>
      </c>
      <c r="O22" s="280" t="str">
        <f t="shared" si="19"/>
        <v/>
      </c>
      <c r="P22" s="279" t="str">
        <f>IF(AND($A22=""),"",IF(AND(N22=""),"",ROUND(N22*VLOOKUP(A22,'MASTER DATA'!A20:P116,7,0)/100,0)))</f>
        <v/>
      </c>
      <c r="Q22" s="179" t="str">
        <f t="shared" si="20"/>
        <v/>
      </c>
      <c r="R22" s="179" t="str">
        <f t="shared" si="21"/>
        <v/>
      </c>
      <c r="S22" s="180"/>
      <c r="X22" s="281"/>
    </row>
    <row r="23" spans="8:8" ht="18.0" customHeight="1">
      <c r="A23" s="275"/>
      <c r="B23" s="276" t="str">
        <f>IF(ISNA(VLOOKUP($A23,'MASTER DATA'!A$9:J$113,2,FALSE)),"",VLOOKUP($A23,'MASTER DATA'!A$9:N$113,2,FALSE))</f>
        <v/>
      </c>
      <c r="C23" s="179" t="str">
        <f>_xlfn.IFERROR(IF(A23="","",IF(ISNA(VLOOKUP(A23,'MASTER DATA'!A$9:J$113,5,FALSE)),"",VLOOKUP($A23,'MASTER DATA'!A$9:N$113,5,FALSE))/2),"")</f>
        <v/>
      </c>
      <c r="D23" s="179" t="str">
        <f>IF(AND(C23=""),"",IF(AND(A23=""),"",ROUND(C23*'MASTER DATA'!C$6%,0)))</f>
        <v/>
      </c>
      <c r="E23" s="277"/>
      <c r="F23" s="179" t="str">
        <f t="shared" si="9"/>
        <v/>
      </c>
      <c r="G23" s="277" t="str">
        <f>_xlfn.IFERROR(IF(A23="","",IF(ISNA(VLOOKUP($A23,'MASTER DATA'!A$9:J$113,5,FALSE)),"",VLOOKUP($A23,'MASTER DATA'!A$9:N$113,5,FALSE))/2),"")</f>
        <v/>
      </c>
      <c r="H23" s="179" t="str">
        <f>IF(AND(G23=""),"",IF(AND($A23=""),"",ROUND(G23*'MASTER DATA'!C$5%,0)))</f>
        <v/>
      </c>
      <c r="I23" s="277"/>
      <c r="J23" s="179" t="str">
        <f t="shared" si="10"/>
        <v/>
      </c>
      <c r="K23" s="179" t="str">
        <f t="shared" si="11"/>
        <v/>
      </c>
      <c r="L23" s="179" t="str">
        <f t="shared" si="12"/>
        <v/>
      </c>
      <c r="M23" s="277" t="str">
        <f t="shared" si="13"/>
        <v/>
      </c>
      <c r="N23" s="179" t="str">
        <f t="shared" si="18"/>
        <v/>
      </c>
      <c r="O23" s="280" t="str">
        <f t="shared" si="19"/>
        <v/>
      </c>
      <c r="P23" s="279" t="str">
        <f>IF(AND($A23=""),"",IF(AND(N23=""),"",ROUND(N23*VLOOKUP(A23,'MASTER DATA'!A21:P117,7,0)/100,0)))</f>
        <v/>
      </c>
      <c r="Q23" s="179" t="str">
        <f t="shared" si="20"/>
        <v/>
      </c>
      <c r="R23" s="179" t="str">
        <f t="shared" si="21"/>
        <v/>
      </c>
      <c r="S23" s="180"/>
      <c r="X23" s="281"/>
    </row>
    <row r="24" spans="8:8" ht="18.0" customHeight="1">
      <c r="A24" s="275"/>
      <c r="B24" s="276" t="str">
        <f>IF(ISNA(VLOOKUP($A24,'MASTER DATA'!A$9:J$113,2,FALSE)),"",VLOOKUP($A24,'MASTER DATA'!A$9:N$113,2,FALSE))</f>
        <v/>
      </c>
      <c r="C24" s="179" t="str">
        <f>_xlfn.IFERROR(IF(A24="","",IF(ISNA(VLOOKUP(A24,'MASTER DATA'!A$9:J$113,5,FALSE)),"",VLOOKUP($A24,'MASTER DATA'!A$9:N$113,5,FALSE))/2),"")</f>
        <v/>
      </c>
      <c r="D24" s="179" t="str">
        <f>IF(AND(C24=""),"",IF(AND(A24=""),"",ROUND(C24*'MASTER DATA'!C$6%,0)))</f>
        <v/>
      </c>
      <c r="E24" s="277"/>
      <c r="F24" s="179" t="str">
        <f t="shared" si="9"/>
        <v/>
      </c>
      <c r="G24" s="277" t="str">
        <f>_xlfn.IFERROR(IF(A24="","",IF(ISNA(VLOOKUP($A24,'MASTER DATA'!A$9:J$113,5,FALSE)),"",VLOOKUP($A24,'MASTER DATA'!A$9:N$113,5,FALSE))/2),"")</f>
        <v/>
      </c>
      <c r="H24" s="179" t="str">
        <f>IF(AND(G24=""),"",IF(AND($A24=""),"",ROUND(G24*'MASTER DATA'!C$5%,0)))</f>
        <v/>
      </c>
      <c r="I24" s="277"/>
      <c r="J24" s="179" t="str">
        <f t="shared" si="10"/>
        <v/>
      </c>
      <c r="K24" s="179" t="str">
        <f t="shared" si="11"/>
        <v/>
      </c>
      <c r="L24" s="179" t="str">
        <f t="shared" si="12"/>
        <v/>
      </c>
      <c r="M24" s="277" t="str">
        <f t="shared" si="13"/>
        <v/>
      </c>
      <c r="N24" s="179" t="str">
        <f t="shared" si="18"/>
        <v/>
      </c>
      <c r="O24" s="280" t="str">
        <f t="shared" si="19"/>
        <v/>
      </c>
      <c r="P24" s="279" t="str">
        <f>IF(AND($A24=""),"",IF(AND(N24=""),"",ROUND(N24*VLOOKUP(A24,'MASTER DATA'!A22:P118,7,0)/100,0)))</f>
        <v/>
      </c>
      <c r="Q24" s="179" t="str">
        <f t="shared" si="20"/>
        <v/>
      </c>
      <c r="R24" s="179" t="str">
        <f t="shared" si="21"/>
        <v/>
      </c>
      <c r="S24" s="180"/>
      <c r="X24" s="281"/>
    </row>
    <row r="25" spans="8:8" ht="18.0" customHeight="1">
      <c r="A25" s="275"/>
      <c r="B25" s="276" t="str">
        <f>IF(ISNA(VLOOKUP($A25,'MASTER DATA'!A$9:J$113,2,FALSE)),"",VLOOKUP($A25,'MASTER DATA'!A$9:N$113,2,FALSE))</f>
        <v/>
      </c>
      <c r="C25" s="179" t="str">
        <f>_xlfn.IFERROR(IF(A25="","",IF(ISNA(VLOOKUP(A25,'MASTER DATA'!A$9:J$113,5,FALSE)),"",VLOOKUP($A25,'MASTER DATA'!A$9:N$113,5,FALSE))/2),"")</f>
        <v/>
      </c>
      <c r="D25" s="179" t="str">
        <f>IF(AND(C25=""),"",IF(AND(A25=""),"",ROUND(C25*'MASTER DATA'!C$6%,0)))</f>
        <v/>
      </c>
      <c r="E25" s="277"/>
      <c r="F25" s="179" t="str">
        <f t="shared" si="9"/>
        <v/>
      </c>
      <c r="G25" s="277" t="str">
        <f>_xlfn.IFERROR(IF(A25="","",IF(ISNA(VLOOKUP($A25,'MASTER DATA'!A$9:J$113,5,FALSE)),"",VLOOKUP($A25,'MASTER DATA'!A$9:N$113,5,FALSE))/2),"")</f>
        <v/>
      </c>
      <c r="H25" s="179" t="str">
        <f>IF(AND(G25=""),"",IF(AND($A25=""),"",ROUND(G25*'MASTER DATA'!C$5%,0)))</f>
        <v/>
      </c>
      <c r="I25" s="277"/>
      <c r="J25" s="179" t="str">
        <f t="shared" si="10"/>
        <v/>
      </c>
      <c r="K25" s="179" t="str">
        <f t="shared" si="11"/>
        <v/>
      </c>
      <c r="L25" s="179" t="str">
        <f t="shared" si="12"/>
        <v/>
      </c>
      <c r="M25" s="277" t="str">
        <f t="shared" si="13"/>
        <v/>
      </c>
      <c r="N25" s="179" t="str">
        <f t="shared" si="18"/>
        <v/>
      </c>
      <c r="O25" s="280" t="str">
        <f t="shared" si="19"/>
        <v/>
      </c>
      <c r="P25" s="279" t="str">
        <f>IF(AND($A25=""),"",IF(AND(N25=""),"",ROUND(N25*VLOOKUP(A25,'MASTER DATA'!A23:P119,7,0)/100,0)))</f>
        <v/>
      </c>
      <c r="Q25" s="179" t="str">
        <f t="shared" si="20"/>
        <v/>
      </c>
      <c r="R25" s="179" t="str">
        <f t="shared" si="21"/>
        <v/>
      </c>
      <c r="S25" s="180"/>
      <c r="X25" s="281"/>
    </row>
    <row r="26" spans="8:8" ht="18.75" customHeight="1">
      <c r="A26" s="282" t="s">
        <v>0</v>
      </c>
      <c r="B26" s="282"/>
      <c r="C26" s="283">
        <f>SUM(C11:C25)</f>
        <v>269000.0</v>
      </c>
      <c r="D26" s="283">
        <f t="shared" si="22" ref="D26:R26">SUM(D11:D25)</f>
        <v>161400.0</v>
      </c>
      <c r="E26" s="283">
        <f t="shared" si="22"/>
        <v>0.0</v>
      </c>
      <c r="F26" s="283">
        <f t="shared" si="22"/>
        <v>430400.0</v>
      </c>
      <c r="G26" s="283">
        <f t="shared" si="22"/>
        <v>269000.0</v>
      </c>
      <c r="H26" s="283">
        <f t="shared" si="22"/>
        <v>156020.0</v>
      </c>
      <c r="I26" s="283">
        <f t="shared" si="22"/>
        <v>0.0</v>
      </c>
      <c r="J26" s="283">
        <f t="shared" si="22"/>
        <v>425020.0</v>
      </c>
      <c r="K26" s="283">
        <f t="shared" si="22"/>
        <v>0.0</v>
      </c>
      <c r="L26" s="283">
        <f t="shared" si="22"/>
        <v>5380.0</v>
      </c>
      <c r="M26" s="283">
        <f t="shared" si="22"/>
        <v>0.0</v>
      </c>
      <c r="N26" s="283">
        <f t="shared" si="22"/>
        <v>5380.0</v>
      </c>
      <c r="O26" s="283">
        <f t="shared" si="22"/>
        <v>4936.0</v>
      </c>
      <c r="P26" s="283">
        <f t="shared" si="22"/>
        <v>444.0</v>
      </c>
      <c r="Q26" s="283">
        <f t="shared" si="22"/>
        <v>5380.0</v>
      </c>
      <c r="R26" s="283">
        <f t="shared" si="22"/>
        <v>0.0</v>
      </c>
      <c r="S26" s="183"/>
    </row>
    <row r="27" spans="8:8" ht="16.5" customHeight="1">
      <c r="A27" s="184"/>
      <c r="B27" s="185"/>
      <c r="C27" s="186" t="str">
        <f>IF(X2="GPF","AMOUNT IN WORDS DEPOSITE IN GPF  :-","AMOUNT IN WORDS DEPOSITE IN GP-2004  :-")</f>
        <v>AMOUNT IN WORDS DEPOSITE IN GP-2004  :-</v>
      </c>
      <c r="D27" s="186"/>
      <c r="E27" s="186"/>
      <c r="F27" s="186"/>
      <c r="G27" s="186"/>
      <c r="H27" s="186"/>
      <c r="I27" s="186"/>
      <c r="J27" s="284"/>
      <c r="K27" s="285"/>
      <c r="L27" s="285"/>
      <c r="M27" s="285"/>
      <c r="N27" s="285"/>
      <c r="O27" s="285"/>
      <c r="P27" s="285"/>
      <c r="Q27" s="285"/>
      <c r="R27" s="285"/>
      <c r="S27" s="285"/>
    </row>
    <row r="28" spans="8:8" ht="16.5" customHeight="1">
      <c r="A28" s="184"/>
      <c r="B28" s="185"/>
      <c r="C28" s="186" t="s">
        <v>104</v>
      </c>
      <c r="D28" s="186"/>
      <c r="E28" s="186"/>
      <c r="F28" s="186"/>
      <c r="G28" s="186"/>
      <c r="H28" s="186"/>
      <c r="I28" s="186"/>
      <c r="J28" s="284"/>
      <c r="K28" s="285"/>
      <c r="L28" s="285"/>
      <c r="M28" s="285"/>
      <c r="N28" s="285"/>
      <c r="O28" s="285"/>
      <c r="P28" s="285"/>
      <c r="Q28" s="285"/>
      <c r="R28" s="285"/>
      <c r="S28" s="285"/>
    </row>
    <row r="29" spans="8:8" ht="15.0" customHeight="1">
      <c r="A29" s="184"/>
      <c r="B29" s="185"/>
      <c r="C29" s="186" t="s">
        <v>105</v>
      </c>
      <c r="D29" s="186"/>
      <c r="E29" s="186"/>
      <c r="F29" s="186"/>
      <c r="G29" s="186"/>
      <c r="H29" s="186"/>
      <c r="I29" s="186"/>
      <c r="J29" s="286" t="s">
        <v>115</v>
      </c>
      <c r="K29" s="285"/>
      <c r="L29" s="285"/>
      <c r="M29" s="285"/>
      <c r="N29" s="285"/>
      <c r="O29" s="285"/>
      <c r="P29" s="285"/>
      <c r="Q29" s="285"/>
      <c r="R29" s="285"/>
      <c r="S29" s="285"/>
    </row>
    <row r="30" spans="8:8" ht="13.5" customHeight="1">
      <c r="A30" s="194" t="str">
        <f>A4</f>
        <v>क्रमांक:--</v>
      </c>
      <c r="B30" s="193"/>
      <c r="C30" s="194"/>
      <c r="D30" s="194"/>
      <c r="E30" s="194"/>
      <c r="F30" s="194"/>
      <c r="G30" s="194"/>
      <c r="H30" s="194"/>
      <c r="I30" s="196"/>
      <c r="J30" s="190"/>
      <c r="K30" s="287"/>
      <c r="L30" s="287"/>
      <c r="M30" s="287"/>
      <c r="N30" s="287"/>
      <c r="O30" s="288"/>
      <c r="P30" s="288"/>
      <c r="Q30" s="288"/>
      <c r="R30" s="288"/>
      <c r="S30" s="288"/>
    </row>
    <row r="31" spans="8:8" ht="15.0" customHeight="1">
      <c r="A31" s="289" t="s">
        <v>61</v>
      </c>
      <c r="B31" s="201"/>
      <c r="C31" s="202"/>
      <c r="D31" s="195"/>
      <c r="E31" s="195"/>
      <c r="F31" s="195"/>
      <c r="G31" s="195"/>
      <c r="H31" s="195"/>
      <c r="I31" s="196"/>
      <c r="J31" s="197"/>
      <c r="K31" s="198"/>
      <c r="L31" s="198"/>
      <c r="M31" s="198"/>
      <c r="N31" s="199"/>
      <c r="O31" s="200" t="s">
        <v>81</v>
      </c>
      <c r="P31" s="200"/>
      <c r="Q31" s="200"/>
      <c r="R31" s="200"/>
      <c r="S31" s="200"/>
    </row>
    <row r="32" spans="8:8" ht="15.0" customHeight="1">
      <c r="A32" s="289" t="s">
        <v>62</v>
      </c>
      <c r="B32" s="201"/>
      <c r="C32" s="202"/>
      <c r="D32" s="195"/>
      <c r="E32" s="195"/>
      <c r="F32" s="195"/>
      <c r="G32" s="195"/>
      <c r="H32" s="195"/>
      <c r="I32" s="196"/>
      <c r="J32" s="203"/>
      <c r="K32" s="203"/>
      <c r="L32" s="203"/>
      <c r="M32" s="203"/>
      <c r="N32" s="199"/>
      <c r="O32" s="200" t="s">
        <v>60</v>
      </c>
      <c r="P32" s="200"/>
      <c r="Q32" s="200"/>
      <c r="R32" s="200"/>
      <c r="S32" s="200"/>
    </row>
    <row r="33" spans="8:8" ht="15.75" customHeight="1">
      <c r="A33" s="289" t="s">
        <v>63</v>
      </c>
      <c r="B33" s="201"/>
      <c r="C33" s="202"/>
      <c r="D33" s="195"/>
      <c r="E33" s="195"/>
      <c r="F33" s="195"/>
      <c r="G33" s="195"/>
      <c r="H33" s="195"/>
      <c r="I33" s="196"/>
      <c r="J33" s="203"/>
      <c r="K33" s="203"/>
      <c r="L33" s="203"/>
      <c r="M33" s="203"/>
      <c r="N33" s="199"/>
      <c r="P33" s="290" t="s">
        <v>68</v>
      </c>
      <c r="Q33" s="205" t="str">
        <f>R4</f>
        <v>   /   /202</v>
      </c>
      <c r="R33" s="205"/>
    </row>
    <row r="34" spans="8:8" ht="15.75" customHeight="1">
      <c r="A34" s="289" t="s">
        <v>106</v>
      </c>
      <c r="B34" s="201"/>
      <c r="C34" s="207"/>
      <c r="D34" s="195"/>
      <c r="E34" s="195"/>
      <c r="F34" s="195"/>
      <c r="G34" s="195"/>
      <c r="H34" s="195"/>
      <c r="I34" s="196"/>
      <c r="J34" s="206"/>
      <c r="K34" s="206"/>
      <c r="L34" s="206"/>
      <c r="M34" s="206"/>
      <c r="N34" s="199"/>
    </row>
    <row r="35" spans="8:8" ht="15.0" customHeight="1">
      <c r="A35" s="289" t="s">
        <v>64</v>
      </c>
      <c r="B35" s="201"/>
      <c r="C35" s="202"/>
      <c r="D35" s="195"/>
      <c r="E35" s="195"/>
      <c r="F35" s="195"/>
      <c r="G35" s="195"/>
      <c r="H35" s="195"/>
      <c r="I35" s="196"/>
      <c r="J35" s="203"/>
      <c r="K35" s="203"/>
      <c r="L35" s="203"/>
      <c r="M35" s="203"/>
      <c r="N35" s="199"/>
    </row>
    <row r="36" spans="8:8" ht="15.0" hidden="1">
      <c r="A36" s="199"/>
      <c r="B36" s="199"/>
      <c r="C36" s="199"/>
      <c r="D36" s="199"/>
      <c r="E36" s="199"/>
      <c r="F36" s="199"/>
      <c r="G36" s="199"/>
      <c r="H36" s="199"/>
      <c r="I36" s="199"/>
      <c r="J36" s="199"/>
      <c r="K36" s="199"/>
      <c r="L36" s="199"/>
      <c r="M36" s="199"/>
      <c r="N36" s="199"/>
    </row>
    <row r="37" spans="8:8" ht="15.0">
      <c r="A37" s="199"/>
      <c r="B37" s="208"/>
      <c r="C37" s="208"/>
      <c r="D37" s="208"/>
      <c r="E37" s="208"/>
      <c r="F37" s="208"/>
      <c r="G37" s="208"/>
      <c r="H37" s="208"/>
      <c r="I37" s="208"/>
      <c r="J37" s="199"/>
      <c r="K37" s="199"/>
      <c r="L37" s="199"/>
      <c r="M37" s="199"/>
      <c r="N37" s="199"/>
      <c r="O37" s="200" t="s">
        <v>80</v>
      </c>
      <c r="P37" s="200"/>
      <c r="Q37" s="200"/>
      <c r="R37" s="200"/>
      <c r="S37" s="200"/>
    </row>
    <row r="38" spans="8:8" ht="18.75">
      <c r="A38" s="199"/>
      <c r="B38" s="247"/>
      <c r="C38" s="247"/>
      <c r="D38" s="247"/>
      <c r="E38" s="209"/>
      <c r="F38" s="209"/>
      <c r="G38" s="209"/>
      <c r="H38" s="209"/>
      <c r="I38" s="209"/>
      <c r="J38" s="199"/>
      <c r="K38" s="199"/>
      <c r="L38" s="199"/>
      <c r="M38" s="199"/>
      <c r="N38" s="199"/>
      <c r="O38" s="200" t="s">
        <v>60</v>
      </c>
      <c r="P38" s="200"/>
      <c r="Q38" s="200"/>
      <c r="R38" s="200"/>
      <c r="S38" s="200"/>
    </row>
    <row r="39" spans="8:8" ht="76.5" customHeight="1">
      <c r="B39" s="291" t="s">
        <v>108</v>
      </c>
      <c r="C39" s="291"/>
      <c r="D39" s="291"/>
      <c r="E39" s="291"/>
      <c r="F39" s="291"/>
      <c r="G39" s="291"/>
      <c r="H39" s="291"/>
      <c r="I39" s="291"/>
      <c r="J39" s="291"/>
      <c r="K39" s="291"/>
      <c r="L39" s="291"/>
      <c r="M39" s="291"/>
      <c r="N39" s="291"/>
      <c r="O39" s="291"/>
      <c r="P39" s="291"/>
      <c r="Q39" s="291"/>
      <c r="R39" s="291"/>
      <c r="S39" s="291"/>
      <c r="T39" s="291"/>
      <c r="U39" s="291"/>
      <c r="V39" s="291"/>
      <c r="W39" s="291"/>
      <c r="X39" s="291"/>
    </row>
    <row r="40" spans="8:8" ht="15.0" hidden="1"/>
    <row r="41" spans="8:8" ht="15.0" hidden="1"/>
    <row r="42" spans="8:8" ht="15.0" hidden="1"/>
  </sheetData>
  <sheetProtection password="df8e" sheet="1" objects="1" scenarios="1" formatCells="0" formatRows="0"/>
  <mergeCells count="29">
    <mergeCell ref="A1:S1"/>
    <mergeCell ref="Q33:R33"/>
    <mergeCell ref="A5:S5"/>
    <mergeCell ref="J6:O6"/>
    <mergeCell ref="Q6:S6"/>
    <mergeCell ref="A3:S3"/>
    <mergeCell ref="R8:R9"/>
    <mergeCell ref="B8:B9"/>
    <mergeCell ref="O37:S37"/>
    <mergeCell ref="B39:X39"/>
    <mergeCell ref="O38:S38"/>
    <mergeCell ref="G8:J8"/>
    <mergeCell ref="A26:B26"/>
    <mergeCell ref="C29:I29"/>
    <mergeCell ref="O32:S32"/>
    <mergeCell ref="C27:I27"/>
    <mergeCell ref="O31:S31"/>
    <mergeCell ref="A2:S2"/>
    <mergeCell ref="T4:U8"/>
    <mergeCell ref="A8:A9"/>
    <mergeCell ref="C28:I28"/>
    <mergeCell ref="R4:S4"/>
    <mergeCell ref="C8:F8"/>
    <mergeCell ref="O30:S30"/>
    <mergeCell ref="E6:I6"/>
    <mergeCell ref="T9:U9"/>
    <mergeCell ref="O8:Q8"/>
    <mergeCell ref="S8:S9"/>
    <mergeCell ref="K8:N8"/>
  </mergeCells>
  <printOptions horizontalCentered="1"/>
  <pageMargins left="0.1968503937007874" right="0.11811023622047245" top="0.1968503937007874" bottom="0.1968503937007874" header="0.07874015748031496" footer="0.11811023622047245"/>
  <pageSetup paperSize="9" scale="93" orientation="landscape"/>
  <headerFooter>
    <oddFooter>&amp;L&amp;F</oddFooter>
  </headerFooter>
  <legacyDrawing r:id="rId1"/>
</worksheet>
</file>

<file path=xl/worksheets/sheet6.xml><?xml version="1.0" encoding="utf-8"?>
<worksheet xmlns:r="http://schemas.openxmlformats.org/officeDocument/2006/relationships" xmlns="http://schemas.openxmlformats.org/spreadsheetml/2006/main">
  <sheetPr>
    <tabColor rgb="FFFFFF00"/>
    <pageSetUpPr fitToPage="1"/>
  </sheetPr>
  <dimension ref="A1:XFD46"/>
  <sheetViews>
    <sheetView workbookViewId="0" topLeftCell="L1" showGridLines="0">
      <selection activeCell="D30" sqref="D30"/>
    </sheetView>
  </sheetViews>
  <sheetFormatPr defaultRowHeight="15.0" defaultColWidth="0" zeroHeight="1"/>
  <cols>
    <col min="1" max="1" customWidth="1" width="4.2851562" style="2"/>
    <col min="2" max="2" customWidth="1" width="9.855469" style="2"/>
    <col min="3" max="3" customWidth="1" width="8.0" style="2"/>
    <col min="4" max="5" customWidth="1" width="6.7109375" style="2"/>
    <col min="6" max="6" hidden="1" customWidth="1" width="6.7109375" style="2"/>
    <col min="7" max="7" customWidth="1" width="7.5703125" style="2"/>
    <col min="8" max="8" customWidth="1" width="7.7109375" style="2"/>
    <col min="9" max="10" customWidth="1" width="6.7109375" style="2"/>
    <col min="11" max="11" hidden="1" customWidth="1" width="5.0" style="2"/>
    <col min="12" max="12" customWidth="1" width="7.2851562" style="2"/>
    <col min="13" max="13" customWidth="1" width="6.5703125" style="2"/>
    <col min="14" max="14" customWidth="1" width="6.7109375" style="2"/>
    <col min="15" max="15" customWidth="1" width="6.2851562" style="2"/>
    <col min="16" max="16" hidden="1" customWidth="1" width="2.8554688" style="2"/>
    <col min="17" max="17" customWidth="1" width="7.0" style="2"/>
    <col min="18" max="18" customWidth="1" width="7.5703125" style="2"/>
    <col min="19" max="19" customWidth="1" width="7.140625" style="2"/>
    <col min="20" max="20" hidden="1" customWidth="1" width="7.140625" style="2"/>
    <col min="21" max="21" customWidth="1" width="8.5703125" style="2"/>
    <col min="22" max="22" customWidth="1" width="8.285156" style="2"/>
    <col min="23" max="25" customWidth="1" width="10.425781" style="2"/>
    <col min="26" max="26" customWidth="1" width="3.7109375" style="2"/>
    <col min="27" max="31" hidden="1" customWidth="1" width="10.425781" style="2"/>
    <col min="32" max="36" hidden="1" customWidth="1" width="9.140625" style="2"/>
    <col min="37" max="37" customWidth="1" width="1.0" style="2"/>
    <col min="38" max="16383" hidden="1" customWidth="0" width="9.140625" style="2"/>
    <col min="16384" max="16384" customWidth="1" width="3.140625" style="2"/>
  </cols>
  <sheetData>
    <row r="1" spans="8:8" ht="27.0" customHeight="1">
      <c r="A1" s="50" t="str">
        <f>'MASTER DATA'!A1</f>
        <v>निर्माणकर्ता :-भागीरथ मल कलवानियां (कोलिया) अध्यापक L-1,MOB NO 9828789204   G.S.S.S.DASANA KHURD (MOULASAR)DEEDWANA-KUCHAMAN                                                                                            EMAIL ID.bhagirathmalkalwania@gmail.com</v>
      </c>
      <c r="B1" s="50"/>
      <c r="C1" s="50"/>
      <c r="D1" s="50"/>
      <c r="E1" s="50"/>
      <c r="F1" s="50"/>
      <c r="G1" s="50"/>
      <c r="H1" s="50"/>
      <c r="I1" s="50"/>
      <c r="J1" s="50"/>
      <c r="K1" s="50"/>
      <c r="L1" s="50"/>
      <c r="M1" s="50"/>
      <c r="N1" s="50"/>
      <c r="O1" s="50"/>
      <c r="P1" s="50"/>
      <c r="Q1" s="50"/>
      <c r="R1" s="50"/>
      <c r="S1" s="50"/>
      <c r="T1" s="50"/>
      <c r="U1" s="50"/>
      <c r="V1" s="50"/>
      <c r="W1" s="50"/>
    </row>
    <row r="2" spans="8:8" ht="17.25" customHeight="1">
      <c r="A2" s="51" t="s">
        <v>114</v>
      </c>
      <c r="B2" s="51"/>
      <c r="C2" s="51"/>
      <c r="D2" s="51"/>
      <c r="E2" s="51"/>
      <c r="F2" s="51"/>
      <c r="G2" s="51"/>
      <c r="H2" s="51"/>
      <c r="I2" s="51"/>
      <c r="J2" s="51"/>
      <c r="K2" s="51"/>
      <c r="L2" s="51"/>
      <c r="M2" s="51"/>
      <c r="N2" s="51"/>
      <c r="O2" s="51"/>
      <c r="P2" s="51"/>
      <c r="Q2" s="51"/>
      <c r="R2" s="51"/>
      <c r="S2" s="51"/>
      <c r="T2" s="51"/>
      <c r="U2" s="51"/>
      <c r="V2" s="51"/>
      <c r="W2" s="51"/>
      <c r="X2" s="292"/>
      <c r="Y2" s="292"/>
      <c r="Z2" s="292"/>
      <c r="AA2" s="292"/>
      <c r="AB2" s="292"/>
      <c r="AC2" s="53"/>
      <c r="AD2" s="53"/>
      <c r="AE2" s="53"/>
      <c r="AF2" s="2">
        <f>IF(ISNA(VLOOKUP($D$6,'MASTER DATA'!A$9:J$113,4,FALSE)),"",VLOOKUP($D$6,'MASTER DATA'!A$9:N$113,4,FALSE))</f>
        <v>2.0</v>
      </c>
      <c r="AG2" s="2" t="str">
        <f>IF(ISNA(VLOOKUP($D$6,'MASTER DATA'!A$9:J$113,6,FALSE)),"",VLOOKUP($D$6,'MASTER DATA'!A$9:N$113,6,FALSE))</f>
        <v>GPF-2004</v>
      </c>
      <c r="AH2" s="2" t="s">
        <v>9</v>
      </c>
      <c r="AI2" s="2" t="s">
        <v>2</v>
      </c>
      <c r="AJ2" s="2">
        <f>IF(ISNA(VLOOKUP($D$6,'MASTER DATA'!A$9:J$113,7,FALSE)),"",VLOOKUP($D$6,'MASTER DATA'!A$9:N$113,7,FALSE))</f>
        <v>20.0</v>
      </c>
    </row>
    <row r="3" spans="8:8" ht="21.75" customHeight="1">
      <c r="A3" s="54" t="str">
        <f>IF(AND('MASTER DATA'!C4=""),"",CONCATENATE("कार्यालय :-- ",'MASTER DATA'!C4))</f>
        <v>कार्यालय :-- राजकीय उच्च माध्यमिक विद्यालय डसाणा खुर्द,मौलासर (डीडवाना-कुचामन)</v>
      </c>
      <c r="B3" s="54"/>
      <c r="C3" s="54"/>
      <c r="D3" s="54"/>
      <c r="E3" s="54"/>
      <c r="F3" s="54"/>
      <c r="G3" s="54"/>
      <c r="H3" s="54"/>
      <c r="I3" s="54"/>
      <c r="J3" s="54"/>
      <c r="K3" s="54"/>
      <c r="L3" s="54"/>
      <c r="M3" s="54"/>
      <c r="N3" s="54"/>
      <c r="O3" s="54"/>
      <c r="P3" s="54"/>
      <c r="Q3" s="54"/>
      <c r="R3" s="54"/>
      <c r="S3" s="54"/>
      <c r="T3" s="54"/>
      <c r="U3" s="54"/>
      <c r="V3" s="54"/>
      <c r="W3" s="54"/>
      <c r="X3" s="293" t="s">
        <v>102</v>
      </c>
      <c r="Y3" s="293"/>
      <c r="Z3" s="294"/>
      <c r="AA3" s="294"/>
      <c r="AB3" s="294"/>
      <c r="AC3" s="56"/>
      <c r="AD3" s="56"/>
      <c r="AE3" s="56"/>
      <c r="AG3" s="57">
        <f>IF(ISNA(VLOOKUP($D$6,'MASTER DATA'!A$9:J$113,8,FALSE)),"",VLOOKUP($D$6,'MASTER DATA'!A$9:N$113,8,FALSE))</f>
        <v>46082.0</v>
      </c>
      <c r="AH3" s="2" t="s">
        <v>8</v>
      </c>
    </row>
    <row r="4" spans="8:8" ht="19.5" customHeight="1">
      <c r="A4" s="58" t="s">
        <v>125</v>
      </c>
      <c r="C4" s="59"/>
      <c r="D4" s="59"/>
      <c r="E4" s="59"/>
      <c r="F4" s="59"/>
      <c r="G4" s="59"/>
      <c r="H4" s="59"/>
      <c r="I4" s="59"/>
      <c r="J4" s="60" t="s">
        <v>67</v>
      </c>
      <c r="K4" s="60"/>
      <c r="L4" s="60"/>
      <c r="M4" s="60"/>
      <c r="N4" s="60"/>
      <c r="O4" s="60"/>
      <c r="P4" s="294"/>
      <c r="Q4" s="294"/>
      <c r="R4" s="294"/>
      <c r="S4" s="294"/>
      <c r="T4" s="294"/>
      <c r="U4" s="62" t="s">
        <v>69</v>
      </c>
      <c r="V4" s="63" t="s">
        <v>124</v>
      </c>
      <c r="W4" s="64"/>
      <c r="X4" s="293"/>
      <c r="Y4" s="293"/>
      <c r="Z4" s="294"/>
      <c r="AA4" s="294"/>
      <c r="AB4" s="294"/>
      <c r="AC4" s="56"/>
      <c r="AD4" s="56"/>
      <c r="AE4" s="56"/>
      <c r="AG4" s="65"/>
    </row>
    <row r="5" spans="8:8" ht="45.75" customHeight="1">
      <c r="A5" s="295" t="s">
        <v>126</v>
      </c>
      <c r="B5" s="295"/>
      <c r="C5" s="295"/>
      <c r="D5" s="295"/>
      <c r="E5" s="295"/>
      <c r="F5" s="295"/>
      <c r="G5" s="295"/>
      <c r="H5" s="295"/>
      <c r="I5" s="295"/>
      <c r="J5" s="295"/>
      <c r="K5" s="295"/>
      <c r="L5" s="295"/>
      <c r="M5" s="295"/>
      <c r="N5" s="295"/>
      <c r="O5" s="295"/>
      <c r="P5" s="295"/>
      <c r="Q5" s="295"/>
      <c r="R5" s="295"/>
      <c r="S5" s="295"/>
      <c r="T5" s="295"/>
      <c r="U5" s="295"/>
      <c r="V5" s="295"/>
      <c r="W5" s="295"/>
      <c r="X5" s="296" t="s">
        <v>123</v>
      </c>
      <c r="Y5" s="296"/>
      <c r="Z5" s="294"/>
      <c r="AA5" s="294"/>
      <c r="AB5" s="294"/>
      <c r="AC5" s="56"/>
      <c r="AD5" s="56"/>
      <c r="AE5" s="56"/>
      <c r="AG5" s="65"/>
    </row>
    <row r="6" spans="8:8" ht="16.5" customHeight="1">
      <c r="C6" s="68" t="s">
        <v>56</v>
      </c>
      <c r="D6" s="69">
        <v>4.0</v>
      </c>
      <c r="E6" s="70" t="s">
        <v>41</v>
      </c>
      <c r="F6" s="70"/>
      <c r="G6" s="70"/>
      <c r="H6" s="70"/>
      <c r="I6" s="70"/>
      <c r="J6" s="70"/>
      <c r="K6" s="297"/>
      <c r="L6" s="72" t="str">
        <f>IF(ISNA(VLOOKUP($D$6,'MASTER DATA'!A$9:J$113,2,FALSE)),"",VLOOKUP($D$6,'MASTER DATA'!A$9:O$113,2,FALSE))</f>
        <v>RAJESH CHOUDHARY</v>
      </c>
      <c r="M6" s="72"/>
      <c r="N6" s="72"/>
      <c r="O6" s="72"/>
      <c r="P6" s="72"/>
      <c r="Q6" s="72"/>
      <c r="R6" s="73" t="s">
        <v>3</v>
      </c>
      <c r="S6" s="72" t="str">
        <f>UPPER(IF(ISNA(VLOOKUP($D$6,'MASTER DATA'!A$9:J$113,3,FALSE)),"",VLOOKUP($D$6,'MASTER DATA'!A$9:O$113,3,FALSE)))</f>
        <v>SR. TEACHER</v>
      </c>
      <c r="T6" s="72"/>
      <c r="U6" s="72"/>
      <c r="V6" s="72"/>
      <c r="W6" s="72"/>
      <c r="X6" s="298"/>
      <c r="Y6" s="298"/>
      <c r="Z6" s="298"/>
      <c r="AA6" s="298"/>
      <c r="AB6" s="298"/>
      <c r="AC6" s="75"/>
      <c r="AD6" s="75"/>
      <c r="AE6" s="75"/>
    </row>
    <row r="7" spans="8:8" ht="2.25" customHeight="1">
      <c r="B7" s="76"/>
      <c r="C7" s="76"/>
      <c r="D7" s="76"/>
      <c r="E7" s="76"/>
      <c r="F7" s="76"/>
      <c r="G7" s="76"/>
      <c r="H7" s="76"/>
      <c r="I7" s="76"/>
      <c r="J7" s="76"/>
      <c r="K7" s="76"/>
      <c r="L7" s="76"/>
      <c r="M7" s="76"/>
      <c r="N7" s="76"/>
      <c r="O7" s="76"/>
      <c r="P7" s="76"/>
      <c r="Q7" s="76"/>
      <c r="R7" s="76"/>
      <c r="S7" s="76"/>
      <c r="T7" s="76"/>
      <c r="U7" s="76"/>
      <c r="V7" s="76"/>
      <c r="W7" s="76"/>
    </row>
    <row r="8" spans="8:8" ht="20.25" customHeight="1">
      <c r="A8" s="77" t="s">
        <v>19</v>
      </c>
      <c r="B8" s="77" t="s">
        <v>43</v>
      </c>
      <c r="C8" s="78" t="s">
        <v>53</v>
      </c>
      <c r="D8" s="78"/>
      <c r="E8" s="78"/>
      <c r="F8" s="78"/>
      <c r="G8" s="78"/>
      <c r="H8" s="78" t="s">
        <v>54</v>
      </c>
      <c r="I8" s="78"/>
      <c r="J8" s="78"/>
      <c r="K8" s="78"/>
      <c r="L8" s="78"/>
      <c r="M8" s="78" t="s">
        <v>49</v>
      </c>
      <c r="N8" s="78"/>
      <c r="O8" s="78"/>
      <c r="P8" s="78"/>
      <c r="Q8" s="78"/>
      <c r="R8" s="78" t="s">
        <v>50</v>
      </c>
      <c r="S8" s="78"/>
      <c r="T8" s="78"/>
      <c r="U8" s="78"/>
      <c r="V8" s="79" t="s">
        <v>57</v>
      </c>
      <c r="W8" s="79" t="s">
        <v>58</v>
      </c>
      <c r="X8" s="80"/>
      <c r="Y8" s="80"/>
      <c r="Z8" s="80"/>
      <c r="AA8" s="80"/>
      <c r="AB8" s="80"/>
      <c r="AC8" s="81"/>
      <c r="AD8" s="81"/>
      <c r="AE8" s="81"/>
    </row>
    <row r="9" spans="8:8" ht="55.5" customHeight="1">
      <c r="A9" s="77"/>
      <c r="B9" s="77"/>
      <c r="C9" s="299" t="s">
        <v>22</v>
      </c>
      <c r="D9" s="299" t="s">
        <v>45</v>
      </c>
      <c r="E9" s="299" t="s">
        <v>44</v>
      </c>
      <c r="F9" s="83" t="s">
        <v>39</v>
      </c>
      <c r="G9" s="299" t="s">
        <v>46</v>
      </c>
      <c r="H9" s="299" t="s">
        <v>22</v>
      </c>
      <c r="I9" s="299" t="s">
        <v>45</v>
      </c>
      <c r="J9" s="299" t="s">
        <v>44</v>
      </c>
      <c r="K9" s="83" t="s">
        <v>39</v>
      </c>
      <c r="L9" s="299" t="s">
        <v>46</v>
      </c>
      <c r="M9" s="299" t="s">
        <v>22</v>
      </c>
      <c r="N9" s="299" t="s">
        <v>45</v>
      </c>
      <c r="O9" s="299" t="s">
        <v>44</v>
      </c>
      <c r="P9" s="83" t="s">
        <v>39</v>
      </c>
      <c r="Q9" s="299" t="s">
        <v>46</v>
      </c>
      <c r="R9" s="299" t="s">
        <v>55</v>
      </c>
      <c r="S9" s="299" t="s">
        <v>48</v>
      </c>
      <c r="T9" s="83" t="s">
        <v>39</v>
      </c>
      <c r="U9" s="299" t="s">
        <v>47</v>
      </c>
      <c r="V9" s="79"/>
      <c r="W9" s="79"/>
      <c r="X9" s="80"/>
      <c r="Y9" s="80"/>
      <c r="Z9" s="80"/>
      <c r="AA9" s="80"/>
      <c r="AB9" s="80"/>
      <c r="AC9" s="81"/>
      <c r="AD9" s="81"/>
      <c r="AE9" s="81"/>
    </row>
    <row r="10" spans="8:8" ht="9.75" hidden="1" customHeight="1">
      <c r="A10" s="84">
        <v>1.0</v>
      </c>
      <c r="B10" s="84">
        <v>2.0</v>
      </c>
      <c r="C10" s="84">
        <v>3.0</v>
      </c>
      <c r="D10" s="84">
        <v>4.0</v>
      </c>
      <c r="E10" s="84">
        <v>5.0</v>
      </c>
      <c r="F10" s="84"/>
      <c r="G10" s="84">
        <v>6.0</v>
      </c>
      <c r="H10" s="84">
        <v>7.0</v>
      </c>
      <c r="I10" s="84">
        <v>8.0</v>
      </c>
      <c r="J10" s="84">
        <v>9.0</v>
      </c>
      <c r="K10" s="84"/>
      <c r="L10" s="84">
        <v>10.0</v>
      </c>
      <c r="M10" s="84">
        <v>11.0</v>
      </c>
      <c r="N10" s="84">
        <v>12.0</v>
      </c>
      <c r="O10" s="84">
        <v>13.0</v>
      </c>
      <c r="P10" s="84"/>
      <c r="Q10" s="84">
        <v>14.0</v>
      </c>
      <c r="R10" s="84">
        <v>15.0</v>
      </c>
      <c r="S10" s="84">
        <v>17.0</v>
      </c>
      <c r="T10" s="84"/>
      <c r="U10" s="84">
        <v>18.0</v>
      </c>
      <c r="V10" s="84">
        <v>19.0</v>
      </c>
      <c r="W10" s="84">
        <v>20.0</v>
      </c>
      <c r="X10" s="85"/>
      <c r="Y10" s="85"/>
      <c r="Z10" s="85"/>
      <c r="AA10" s="85"/>
      <c r="AB10" s="85"/>
      <c r="AC10" s="85"/>
      <c r="AD10" s="85"/>
      <c r="AE10" s="85"/>
    </row>
    <row r="11" spans="8:8" ht="18.0" customHeight="1">
      <c r="A11" s="300">
        <v>1.0</v>
      </c>
      <c r="B11" s="87">
        <f>IF(AND($D$6=""),"",AG11)</f>
        <v>46082.0</v>
      </c>
      <c r="C11" s="88">
        <f>IF(ISNA(VLOOKUP(D6,'MASTER DATA'!A$9:J$113,5,FALSE)),"",VLOOKUP($D$6,'MASTER DATA'!A$9:N$113,5,FALSE))</f>
        <v>59500.0</v>
      </c>
      <c r="D11" s="88">
        <f>IF(AND(C11=""),"",IF(AND($D$6=""),"",ROUND(C11*'MASTER DATA'!C$6%,0)))</f>
        <v>35700.0</v>
      </c>
      <c r="E11" s="88">
        <f>IF(AND(C11=""),"",IF(AND($D$6=""),"",ROUND(C11*'MASTER DATA'!H$6%,0)))</f>
        <v>5950.0</v>
      </c>
      <c r="F11" s="88" t="s">
        <v>59</v>
      </c>
      <c r="G11" s="89">
        <f t="shared" si="0" ref="G11:G16">IF(AND(C11=""),"",SUM(C11:E11))</f>
        <v>101150.0</v>
      </c>
      <c r="H11" s="88">
        <f>IF(ISNA(VLOOKUP($D$6,'MASTER DATA'!A$9:J$113,5,FALSE)),"",VLOOKUP($D$6,'MASTER DATA'!A$9:N$113,5,FALSE))</f>
        <v>59500.0</v>
      </c>
      <c r="I11" s="88">
        <f>IF(AND(H11=""),"",IF(AND($D$6=""),"",ROUND(H11*'MASTER DATA'!C$5%,0)))</f>
        <v>34510.0</v>
      </c>
      <c r="J11" s="88">
        <f>IF(AND(H11=""),"",IF(AND($D$6=""),"",ROUND(H11*'MASTER DATA'!H$5%,0)))</f>
        <v>5950.0</v>
      </c>
      <c r="K11" s="88" t="s">
        <v>40</v>
      </c>
      <c r="L11" s="89">
        <f>IF(AND(C11=""),"",SUM(H11:K11))</f>
        <v>99960.0</v>
      </c>
      <c r="M11" s="88">
        <f t="shared" si="1" ref="M11:O16">IF(AND(C11=""),"",IF(AND(H11=""),"",C11-H11))</f>
        <v>0.0</v>
      </c>
      <c r="N11" s="88">
        <f t="shared" si="1"/>
        <v>1190.0</v>
      </c>
      <c r="O11" s="88">
        <f t="shared" si="1"/>
        <v>0.0</v>
      </c>
      <c r="P11" s="88"/>
      <c r="Q11" s="89">
        <f t="shared" si="2" ref="Q11:Q16">IF(AND(G11=""),"",IF(AND(L11=""),"",G11-L11))</f>
        <v>1190.0</v>
      </c>
      <c r="R11" s="88" t="str">
        <f>IF(AND(C11=""),"",IF(OR(B11=$AH$11,B11=$AH$12,B11=$AH$13,B11=$AH$14,B11=$AH$15,B11=$AH$16),Q11-O11-S11,"0"))</f>
        <v>0</v>
      </c>
      <c r="S11" s="88">
        <f t="shared" si="3" ref="S11:S16">IF(AND($D$6=""),"",IF(AND(Q11=""),"",ROUND(Q11*AJ$2%,0)))</f>
        <v>238.0</v>
      </c>
      <c r="T11" s="88"/>
      <c r="U11" s="89">
        <f t="shared" si="4" ref="U11:U16">IF(AND($D$6=""),"",IF(AND(C11=""),"",IF(AND(R11=""),"",SUM(R11,S11))))</f>
        <v>238.0</v>
      </c>
      <c r="V11" s="89">
        <f>IF(AND(Q11=""),"",IF(AND(U11=""),"",Q11-U11))</f>
        <v>952.0</v>
      </c>
      <c r="W11" s="90"/>
      <c r="X11" s="91"/>
      <c r="Y11" s="91"/>
      <c r="Z11" s="91"/>
      <c r="AA11" s="91"/>
      <c r="AB11" s="91"/>
      <c r="AC11" s="91"/>
      <c r="AD11" s="91"/>
      <c r="AE11" s="91"/>
      <c r="AG11" s="87">
        <f>IF(ISNA(VLOOKUP($D$6,'MASTER DATA'!A$9:J$113,8,FALSE)),"",VLOOKUP($D$6,'MASTER DATA'!A$9:N$113,8,FALSE))</f>
        <v>46082.0</v>
      </c>
      <c r="AH11" s="87">
        <v>45839.0</v>
      </c>
    </row>
    <row r="12" spans="8:8" ht="18.0" customHeight="1">
      <c r="A12" s="300">
        <v>2.0</v>
      </c>
      <c r="B12" s="87">
        <f>IF(AND($D$6=""),"",IF(AND('ARREAR DA- HRA UNLOCK '!AF$2&lt;2),"",AG12))</f>
        <v>46113.0</v>
      </c>
      <c r="C12" s="88">
        <f>IF(AND($D$6=""),"",IF(AND('ARREAR DA- HRA UNLOCK '!AF$2&lt;2),"",'ARREAR DA- HRA UNLOCK '!C11))</f>
        <v>59500.0</v>
      </c>
      <c r="D12" s="88">
        <f>IF(AND(C12=""),"",IF(AND($D$6=""),"",ROUND(C12*'MASTER DATA'!C$6%,0)))</f>
        <v>35700.0</v>
      </c>
      <c r="E12" s="88">
        <f>IF(AND(C12=""),"",IF(AND($D$6=""),"",ROUND(C12*'MASTER DATA'!H$6%,0)))</f>
        <v>5950.0</v>
      </c>
      <c r="F12" s="88">
        <f>IF(AND(C12=""),"",IF(AND($D$6=""),"",ROUND(Y12*'MASTER DATA'!C$6%+Y12,0)))</f>
        <v>0.0</v>
      </c>
      <c r="G12" s="89">
        <f t="shared" si="0"/>
        <v>101150.0</v>
      </c>
      <c r="H12" s="88">
        <f>IF(AND($D$6=""),"",IF(AND('ARREAR DA- HRA UNLOCK '!AF$2&lt;2),"",H11))</f>
        <v>59500.0</v>
      </c>
      <c r="I12" s="88">
        <f>IF(AND(H12=""),"",IF(AND($D$6=""),"",ROUND(H12*'MASTER DATA'!C$5%,0)))</f>
        <v>34510.0</v>
      </c>
      <c r="J12" s="88">
        <f>IF(AND(H12=""),"",IF(AND($D$6=""),"",ROUND(H12*'MASTER DATA'!H$5%,0)))</f>
        <v>5950.0</v>
      </c>
      <c r="K12" s="88">
        <f>IF(AND(H12=""),"",IF(AND($D$6=""),"",ROUND(Y12*'MASTER DATA'!C$5%+Y12,0)))</f>
        <v>0.0</v>
      </c>
      <c r="L12" s="89">
        <f>IF(AND(C12=""),"",SUM(H12:J12))</f>
        <v>99960.0</v>
      </c>
      <c r="M12" s="88">
        <f t="shared" si="1"/>
        <v>0.0</v>
      </c>
      <c r="N12" s="88">
        <f t="shared" si="1"/>
        <v>1190.0</v>
      </c>
      <c r="O12" s="88">
        <f t="shared" si="1"/>
        <v>0.0</v>
      </c>
      <c r="P12" s="88"/>
      <c r="Q12" s="89">
        <f t="shared" si="2"/>
        <v>1190.0</v>
      </c>
      <c r="R12" s="88" t="str">
        <f t="shared" si="5" ref="R12:R14">IF(AND(C12=""),"",IF(OR(B12=$AH$11,B12=$AH$12,B12=$AH$13,B12=$AH$14,B12=$AH$15,B12=$AH$16),Q12-O12-S12,"0"))</f>
        <v>0</v>
      </c>
      <c r="S12" s="88">
        <f t="shared" si="3"/>
        <v>238.0</v>
      </c>
      <c r="T12" s="88"/>
      <c r="U12" s="89">
        <f>IF(AND($D$6=""),"",IF(AND(C12=""),"",IF(AND(R12=""),"",SUM(R12,S12))))</f>
        <v>238.0</v>
      </c>
      <c r="V12" s="89">
        <f t="shared" si="6" ref="V12:V16">IF(AND(Q12=""),"",IF(AND(U12=""),"",Q12-U12))</f>
        <v>952.0</v>
      </c>
      <c r="W12" s="90"/>
      <c r="X12" s="91"/>
      <c r="Y12" s="91"/>
      <c r="Z12" s="91"/>
      <c r="AA12" s="91"/>
      <c r="AB12" s="91"/>
      <c r="AC12" s="91"/>
      <c r="AD12" s="91"/>
      <c r="AE12" s="91"/>
      <c r="AG12" s="87">
        <f>DATE(YEAR(AG11),MONTH(AG11)+1,DAY(AG11))</f>
        <v>46113.0</v>
      </c>
      <c r="AH12" s="87">
        <v>45870.0</v>
      </c>
    </row>
    <row r="13" spans="8:8" ht="18.0" customHeight="1">
      <c r="A13" s="300">
        <v>3.0</v>
      </c>
      <c r="B13" s="87" t="str">
        <f>IF(AND($D$6=""),"",IF(AND('ARREAR DA- HRA UNLOCK '!AF$2&lt;3),"",AG13))</f>
        <v/>
      </c>
      <c r="C13" s="88" t="str">
        <f>IF(AND($D$6=""),"",IF(AND('ARREAR DA- HRA UNLOCK '!AF$2&lt;3),"",'ARREAR DA- HRA UNLOCK '!C12))</f>
        <v/>
      </c>
      <c r="D13" s="88" t="str">
        <f>IF(AND(C13=""),"",IF(AND($D$6=""),"",ROUND(C13*'MASTER DATA'!C$6%,0)))</f>
        <v/>
      </c>
      <c r="E13" s="88" t="str">
        <f>IF(AND(C13=""),"",IF(AND($D$6=""),"",ROUND(C13*'MASTER DATA'!H$6%,0)))</f>
        <v/>
      </c>
      <c r="F13" s="88" t="str">
        <f>IF(AND(C13=""),"",IF(AND($D$6=""),"",ROUND(Y13*'MASTER DATA'!C$6%+Y13,0)))</f>
        <v/>
      </c>
      <c r="G13" s="89" t="str">
        <f t="shared" si="0"/>
        <v/>
      </c>
      <c r="H13" s="88" t="str">
        <f>IF(AND($D$6=""),"",IF(AND('ARREAR DA- HRA UNLOCK '!AF$2&lt;3),"",H12))</f>
        <v/>
      </c>
      <c r="I13" s="88" t="str">
        <f>IF(AND(H13=""),"",IF(AND($D$6=""),"",ROUND(H13*'MASTER DATA'!C$5%,0)))</f>
        <v/>
      </c>
      <c r="J13" s="88" t="str">
        <f>IF(AND(H13=""),"",IF(AND($D$6=""),"",ROUND(H13*'MASTER DATA'!H$5%,0)))</f>
        <v/>
      </c>
      <c r="K13" s="88" t="str">
        <f>IF(AND(H13=""),"",IF(AND($D$6=""),"",ROUND(Y13*'MASTER DATA'!C$5%+Y13,0)))</f>
        <v/>
      </c>
      <c r="L13" s="89" t="str">
        <f>IF(AND(C13=""),"",SUM(H13:J13))</f>
        <v/>
      </c>
      <c r="M13" s="88" t="str">
        <f t="shared" si="1"/>
        <v/>
      </c>
      <c r="N13" s="88" t="str">
        <f t="shared" si="1"/>
        <v/>
      </c>
      <c r="O13" s="88" t="str">
        <f t="shared" si="1"/>
        <v/>
      </c>
      <c r="P13" s="88"/>
      <c r="Q13" s="89" t="str">
        <f t="shared" si="2"/>
        <v/>
      </c>
      <c r="R13" s="88" t="str">
        <f t="shared" si="5"/>
        <v/>
      </c>
      <c r="S13" s="88" t="str">
        <f t="shared" si="3"/>
        <v/>
      </c>
      <c r="T13" s="88"/>
      <c r="U13" s="89" t="str">
        <f t="shared" si="4"/>
        <v/>
      </c>
      <c r="V13" s="89" t="str">
        <f t="shared" si="6"/>
        <v/>
      </c>
      <c r="W13" s="90"/>
      <c r="X13" s="91"/>
      <c r="Y13" s="91"/>
      <c r="Z13" s="91"/>
      <c r="AA13" s="91"/>
      <c r="AB13" s="91"/>
      <c r="AC13" s="91"/>
      <c r="AD13" s="91"/>
      <c r="AE13" s="91"/>
      <c r="AG13" s="87">
        <f>DATE(YEAR(AG12),MONTH(AG12)+1,DAY(AG12))</f>
        <v>46143.0</v>
      </c>
      <c r="AH13" s="87">
        <v>45901.0</v>
      </c>
    </row>
    <row r="14" spans="8:8" ht="18.0" customHeight="1">
      <c r="A14" s="300">
        <v>4.0</v>
      </c>
      <c r="B14" s="87" t="str">
        <f>IF(AND($D$6=""),"",IF(AND('ARREAR DA- HRA UNLOCK '!AF$2&lt;4),"",AG14))</f>
        <v/>
      </c>
      <c r="C14" s="88" t="str">
        <f>IF(AND($D$6=""),"",IF(AND('ARREAR DA- HRA UNLOCK '!AF$2&lt;4),"",'ARREAR DA- HRA UNLOCK '!C13))</f>
        <v/>
      </c>
      <c r="D14" s="88" t="str">
        <f>IF(AND(C14=""),"",IF(AND($D$6=""),"",ROUND(C14*'MASTER DATA'!C$6%,0)))</f>
        <v/>
      </c>
      <c r="E14" s="88" t="str">
        <f>IF(AND(C14=""),"",IF(AND($D$6=""),"",ROUND(C14*'MASTER DATA'!H$6%,0)))</f>
        <v/>
      </c>
      <c r="F14" s="88" t="str">
        <f>IF(AND(C14=""),"",IF(AND($D$6=""),"",ROUND(Y14*'MASTER DATA'!C$6%+Y14,0)))</f>
        <v/>
      </c>
      <c r="G14" s="89" t="str">
        <f t="shared" si="0"/>
        <v/>
      </c>
      <c r="H14" s="88" t="str">
        <f>IF(AND($D$6=""),"",IF(AND('ARREAR DA- HRA UNLOCK '!AF$2&lt;4),"",H13))</f>
        <v/>
      </c>
      <c r="I14" s="88" t="str">
        <f>IF(AND(H14=""),"",IF(AND($D$6=""),"",ROUND(H14*'MASTER DATA'!C$5%,0)))</f>
        <v/>
      </c>
      <c r="J14" s="88" t="str">
        <f>IF(AND(H14=""),"",IF(AND($D$6=""),"",ROUND(H14*'MASTER DATA'!H$5%,0)))</f>
        <v/>
      </c>
      <c r="K14" s="88" t="str">
        <f>IF(AND(H14=""),"",IF(AND($D$6=""),"",ROUND(Y14*'MASTER DATA'!C$5%+Y14,0)))</f>
        <v/>
      </c>
      <c r="L14" s="89" t="str">
        <f>IF(AND(C14=""),"",SUM(H14:J14))</f>
        <v/>
      </c>
      <c r="M14" s="88" t="str">
        <f t="shared" si="1"/>
        <v/>
      </c>
      <c r="N14" s="88" t="str">
        <f t="shared" si="1"/>
        <v/>
      </c>
      <c r="O14" s="88" t="str">
        <f t="shared" si="1"/>
        <v/>
      </c>
      <c r="P14" s="88"/>
      <c r="Q14" s="89" t="str">
        <f t="shared" si="2"/>
        <v/>
      </c>
      <c r="R14" s="88" t="str">
        <f t="shared" si="5"/>
        <v/>
      </c>
      <c r="S14" s="88" t="str">
        <f t="shared" si="3"/>
        <v/>
      </c>
      <c r="T14" s="88"/>
      <c r="U14" s="89" t="str">
        <f t="shared" si="4"/>
        <v/>
      </c>
      <c r="V14" s="89" t="str">
        <f t="shared" si="6"/>
        <v/>
      </c>
      <c r="W14" s="90"/>
      <c r="X14" s="91"/>
      <c r="Y14" s="91"/>
      <c r="Z14" s="91"/>
      <c r="AA14" s="91"/>
      <c r="AB14" s="91"/>
      <c r="AC14" s="91"/>
      <c r="AD14" s="91"/>
      <c r="AE14" s="91"/>
      <c r="AG14" s="87">
        <f>DATE(YEAR(AG13),MONTH(AG13)+1,DAY(AG13))</f>
        <v>46174.0</v>
      </c>
      <c r="AH14" s="87"/>
    </row>
    <row r="15" spans="8:8" ht="18.0" customHeight="1">
      <c r="A15" s="300">
        <v>5.0</v>
      </c>
      <c r="B15" s="87" t="str">
        <f>IF(AND($D$6=""),"",IF(AND('ARREAR DA- HRA UNLOCK '!AF$2&lt;5),"",AG15))</f>
        <v/>
      </c>
      <c r="C15" s="88" t="str">
        <f>IF(AND($D$6=""),"",IF(AND('ARREAR DA- HRA UNLOCK '!AF$2&lt;5),"",'ARREAR DA- HRA UNLOCK '!C14))</f>
        <v/>
      </c>
      <c r="D15" s="88" t="str">
        <f>IF(AND(C15=""),"",IF(AND($D$6=""),"",ROUND(C15*'MASTER DATA'!C$6%,0)))</f>
        <v/>
      </c>
      <c r="E15" s="88" t="str">
        <f>IF(AND(C15=""),"",IF(AND($D$6=""),"",ROUND(C15*'MASTER DATA'!H$6%,0)))</f>
        <v/>
      </c>
      <c r="F15" s="88" t="str">
        <f>IF(AND(C15=""),"",IF(AND($D$6=""),"",ROUND(Y15*'MASTER DATA'!C$6%+Y15,0)))</f>
        <v/>
      </c>
      <c r="G15" s="88" t="str">
        <f t="shared" si="0"/>
        <v/>
      </c>
      <c r="H15" s="88" t="str">
        <f>IF(AND($D$6=""),"",IF(AND('ARREAR DA- HRA UNLOCK '!AF$2&lt;5),"",H14))</f>
        <v/>
      </c>
      <c r="I15" s="88" t="str">
        <f>IF(AND(H15=""),"",IF(AND($D$6=""),"",ROUND(H15*'MASTER DATA'!C$5%,0)))</f>
        <v/>
      </c>
      <c r="J15" s="88" t="str">
        <f>IF(AND(H15=""),"",IF(AND($D$6=""),"",ROUND(H15*'MASTER DATA'!H$5%,0)))</f>
        <v/>
      </c>
      <c r="K15" s="88"/>
      <c r="L15" s="88" t="str">
        <f>IF(AND(C15=""),"",SUM(H15:J15))</f>
        <v/>
      </c>
      <c r="M15" s="88" t="str">
        <f t="shared" si="1"/>
        <v/>
      </c>
      <c r="N15" s="88" t="str">
        <f t="shared" si="1"/>
        <v/>
      </c>
      <c r="O15" s="88" t="str">
        <f t="shared" si="1"/>
        <v/>
      </c>
      <c r="P15" s="88"/>
      <c r="Q15" s="88" t="str">
        <f t="shared" si="2"/>
        <v/>
      </c>
      <c r="R15" s="88" t="str">
        <f t="shared" si="7" ref="R15:R16">IF(AND(C15=""),"",IF(OR(B15=$AH$11,B15=$AH$12,B15=$AH$13,B15=$AH$14,B15=$AH$15,B15=$AH$16),Q15-S15,"0"))</f>
        <v/>
      </c>
      <c r="S15" s="88" t="str">
        <f t="shared" si="3"/>
        <v/>
      </c>
      <c r="T15" s="88"/>
      <c r="U15" s="88" t="str">
        <f t="shared" si="4"/>
        <v/>
      </c>
      <c r="V15" s="88" t="str">
        <f>IF(AND(Q15=""),"",IF(AND(U15=""),"",Q15-U15))</f>
        <v/>
      </c>
      <c r="W15" s="90"/>
      <c r="X15" s="91"/>
      <c r="Y15" s="91"/>
      <c r="Z15" s="91"/>
      <c r="AA15" s="91"/>
      <c r="AB15" s="91"/>
      <c r="AC15" s="91"/>
      <c r="AD15" s="91"/>
      <c r="AE15" s="91"/>
      <c r="AG15" s="87">
        <f>DATE(YEAR(AG14),MONTH(AG14)+1,DAY(AG14))</f>
        <v>46204.0</v>
      </c>
      <c r="AH15" s="87"/>
    </row>
    <row r="16" spans="8:8" ht="18.0" customHeight="1">
      <c r="A16" s="300">
        <v>6.0</v>
      </c>
      <c r="B16" s="87" t="str">
        <f>IF(AND($D$6=""),"",IF(AND('ARREAR DA- HRA UNLOCK '!AF$2&lt;6),"",AG16))</f>
        <v/>
      </c>
      <c r="C16" s="88" t="str">
        <f>IF(AND($D$6=""),"",IF(AND('ARREAR DA- HRA UNLOCK '!AF$2&lt;6),"",'ARREAR DA- HRA UNLOCK '!C15))</f>
        <v/>
      </c>
      <c r="D16" s="88" t="str">
        <f>IF(AND(C16=""),"",IF(AND($D$6=""),"",ROUND(C16*'MASTER DATA'!C$6%,0)))</f>
        <v/>
      </c>
      <c r="E16" s="88" t="str">
        <f>IF(AND(C16=""),"",IF(AND($D$6=""),"",ROUND(C16*'MASTER DATA'!H$6%,0)))</f>
        <v/>
      </c>
      <c r="F16" s="88" t="str">
        <f>IF(AND(C16=""),"",IF(AND($D$6=""),"",ROUND(Y16*'MASTER DATA'!C$6%+Y16,0)))</f>
        <v/>
      </c>
      <c r="G16" s="88" t="str">
        <f t="shared" si="0"/>
        <v/>
      </c>
      <c r="H16" s="88" t="str">
        <f>IF(AND($D$6=""),"",IF(AND('ARREAR DA- HRA UNLOCK '!AF$2&lt;6),"",H15))</f>
        <v/>
      </c>
      <c r="I16" s="88" t="str">
        <f>IF(AND(H16=""),"",IF(AND($D$6=""),"",ROUND(H16*'MASTER DATA'!C$5%,0)))</f>
        <v/>
      </c>
      <c r="J16" s="88" t="str">
        <f>IF(AND(H16=""),"",IF(AND($D$6=""),"",ROUND(H16*'MASTER DATA'!H$5%,0)))</f>
        <v/>
      </c>
      <c r="K16" s="88"/>
      <c r="L16" s="88" t="str">
        <f>IF(AND(C16=""),"",SUM(H16:J16))</f>
        <v/>
      </c>
      <c r="M16" s="88" t="str">
        <f t="shared" si="1"/>
        <v/>
      </c>
      <c r="N16" s="88" t="str">
        <f t="shared" si="1"/>
        <v/>
      </c>
      <c r="O16" s="88" t="str">
        <f t="shared" si="1"/>
        <v/>
      </c>
      <c r="P16" s="88"/>
      <c r="Q16" s="88" t="str">
        <f t="shared" si="2"/>
        <v/>
      </c>
      <c r="R16" s="88" t="str">
        <f t="shared" si="7"/>
        <v/>
      </c>
      <c r="S16" s="88" t="str">
        <f t="shared" si="3"/>
        <v/>
      </c>
      <c r="T16" s="88"/>
      <c r="U16" s="88" t="str">
        <f t="shared" si="4"/>
        <v/>
      </c>
      <c r="V16" s="88" t="str">
        <f t="shared" si="6"/>
        <v/>
      </c>
      <c r="W16" s="90"/>
      <c r="X16" s="91"/>
      <c r="Y16" s="91"/>
      <c r="Z16" s="91"/>
      <c r="AA16" s="91"/>
      <c r="AB16" s="91"/>
      <c r="AC16" s="91"/>
      <c r="AD16" s="91"/>
      <c r="AE16" s="91"/>
      <c r="AG16" s="87">
        <f>DATE(YEAR(AG15),MONTH(AG15)+1,DAY(AG15))</f>
        <v>46235.0</v>
      </c>
      <c r="AH16" s="87"/>
    </row>
    <row r="17" spans="8:8" ht="23.25" customHeight="1">
      <c r="A17" s="92" t="s">
        <v>0</v>
      </c>
      <c r="B17" s="92"/>
      <c r="C17" s="93">
        <f>IF(AND($D$6=""),"",SUM(C11:C16))</f>
        <v>119000.0</v>
      </c>
      <c r="D17" s="93">
        <f t="shared" si="8" ref="D17:V17">IF(AND($D$6=""),"",SUM(D11:D16))</f>
        <v>71400.0</v>
      </c>
      <c r="E17" s="93">
        <f t="shared" si="8"/>
        <v>11900.0</v>
      </c>
      <c r="F17" s="93"/>
      <c r="G17" s="93">
        <f t="shared" si="8"/>
        <v>202300.0</v>
      </c>
      <c r="H17" s="93">
        <f t="shared" si="8"/>
        <v>119000.0</v>
      </c>
      <c r="I17" s="93">
        <f t="shared" si="8"/>
        <v>69020.0</v>
      </c>
      <c r="J17" s="93">
        <f t="shared" si="8"/>
        <v>11900.0</v>
      </c>
      <c r="K17" s="93"/>
      <c r="L17" s="93">
        <f t="shared" si="8"/>
        <v>199920.0</v>
      </c>
      <c r="M17" s="93">
        <f t="shared" si="8"/>
        <v>0.0</v>
      </c>
      <c r="N17" s="93">
        <f t="shared" si="8"/>
        <v>2380.0</v>
      </c>
      <c r="O17" s="93">
        <f t="shared" si="8"/>
        <v>0.0</v>
      </c>
      <c r="P17" s="93"/>
      <c r="Q17" s="93">
        <f t="shared" si="8"/>
        <v>2380.0</v>
      </c>
      <c r="R17" s="93">
        <f t="shared" si="8"/>
        <v>0.0</v>
      </c>
      <c r="S17" s="93">
        <f t="shared" si="8"/>
        <v>476.0</v>
      </c>
      <c r="T17" s="93"/>
      <c r="U17" s="93">
        <f t="shared" si="8"/>
        <v>476.0</v>
      </c>
      <c r="V17" s="93">
        <f t="shared" si="8"/>
        <v>1904.0</v>
      </c>
      <c r="W17" s="94"/>
      <c r="X17" s="95"/>
      <c r="Y17" s="95"/>
      <c r="Z17" s="95"/>
      <c r="AA17" s="95"/>
      <c r="AB17" s="95"/>
      <c r="AC17" s="95"/>
      <c r="AD17" s="95"/>
      <c r="AE17" s="95"/>
      <c r="AG17" s="87"/>
      <c r="AH17" s="87"/>
    </row>
    <row r="18" spans="8:8" ht="20.25" customHeight="1">
      <c r="A18" s="96" t="str">
        <f>IF(AG2="GPF","जी.पी.एफ.में जमा राशि शब्दों में   :-","जी.पी.एफ. -2004 में जमा राशि शब्दों में  :-")</f>
        <v>जी.पी.एफ. -2004 में जमा राशि शब्दों में  :-</v>
      </c>
      <c r="B18" s="96"/>
      <c r="C18" s="96"/>
      <c r="D18" s="96"/>
      <c r="E18" s="96"/>
      <c r="F18" s="96"/>
      <c r="G18" s="96"/>
      <c r="H18" s="96"/>
      <c r="I18" s="301"/>
      <c r="K18" s="302"/>
      <c r="X18" s="149"/>
      <c r="Y18" s="149"/>
      <c r="Z18" s="149"/>
      <c r="AA18" s="149"/>
      <c r="AB18" s="149"/>
      <c r="AC18" s="100"/>
      <c r="AD18" s="100"/>
      <c r="AE18" s="100"/>
      <c r="AG18" s="87"/>
      <c r="AH18" s="87"/>
    </row>
    <row r="19" spans="8:8" ht="18.75" customHeight="1">
      <c r="A19" s="101" t="s">
        <v>93</v>
      </c>
      <c r="B19" s="101"/>
      <c r="C19" s="101"/>
      <c r="D19" s="101"/>
      <c r="E19" s="101"/>
      <c r="F19" s="101"/>
      <c r="G19" s="101"/>
      <c r="H19" s="101"/>
      <c r="I19" s="301"/>
      <c r="K19" s="302"/>
      <c r="X19" s="149"/>
      <c r="Y19" s="149"/>
      <c r="Z19" s="149"/>
      <c r="AA19" s="149"/>
      <c r="AB19" s="149"/>
      <c r="AC19" s="100"/>
      <c r="AD19" s="100"/>
      <c r="AE19" s="100"/>
      <c r="AG19" s="87"/>
      <c r="AH19" s="87"/>
    </row>
    <row r="20" spans="8:8" ht="5.25" customHeight="1">
      <c r="A20" s="102"/>
      <c r="B20" s="103"/>
      <c r="C20" s="104"/>
      <c r="D20" s="104"/>
      <c r="E20" s="105"/>
      <c r="F20" s="105"/>
      <c r="G20" s="105"/>
      <c r="H20" s="105"/>
      <c r="I20" s="105"/>
      <c r="J20" s="105"/>
      <c r="K20" s="105"/>
      <c r="L20" s="106"/>
      <c r="M20" s="106"/>
      <c r="N20" s="106"/>
      <c r="O20" s="106"/>
      <c r="P20" s="106"/>
      <c r="Q20" s="106"/>
      <c r="R20" s="106"/>
      <c r="S20" s="106"/>
      <c r="T20" s="106"/>
      <c r="U20" s="106"/>
      <c r="V20" s="106"/>
      <c r="W20" s="106"/>
      <c r="X20" s="106"/>
      <c r="Y20" s="106"/>
      <c r="Z20" s="106"/>
      <c r="AA20" s="106"/>
      <c r="AB20" s="106"/>
      <c r="AC20" s="107"/>
      <c r="AD20" s="107"/>
      <c r="AE20" s="107"/>
      <c r="AG20" s="87"/>
      <c r="AH20" s="87"/>
    </row>
    <row r="21" spans="8:8" ht="18.0" customHeight="1">
      <c r="A21" s="102"/>
      <c r="B21" s="108" t="s">
        <v>87</v>
      </c>
      <c r="C21" s="108"/>
      <c r="D21" s="108"/>
      <c r="E21" s="109" t="s">
        <v>88</v>
      </c>
      <c r="F21" s="108"/>
      <c r="G21" s="108"/>
      <c r="H21" s="108"/>
      <c r="I21" s="110" t="s">
        <v>89</v>
      </c>
      <c r="J21" s="110"/>
      <c r="K21" s="110"/>
      <c r="L21" s="110"/>
      <c r="M21" s="111" t="s">
        <v>90</v>
      </c>
      <c r="N21" s="111"/>
      <c r="O21" s="112" t="s">
        <v>91</v>
      </c>
      <c r="P21" s="112"/>
      <c r="Q21" s="112"/>
      <c r="R21" s="113"/>
      <c r="S21" s="113"/>
      <c r="T21" s="113"/>
      <c r="U21" s="113"/>
      <c r="V21" s="113"/>
      <c r="W21" s="104"/>
      <c r="X21" s="104"/>
      <c r="Y21" s="104"/>
      <c r="Z21" s="104"/>
      <c r="AA21" s="104"/>
      <c r="AB21" s="104"/>
      <c r="AC21" s="104"/>
      <c r="AD21" s="104"/>
      <c r="AE21" s="104"/>
      <c r="AG21" s="87"/>
      <c r="AH21" s="87"/>
    </row>
    <row r="22" spans="8:8" ht="18.0" customHeight="1">
      <c r="A22" s="102"/>
      <c r="B22" s="114" t="s">
        <v>13</v>
      </c>
      <c r="C22" s="114" t="s">
        <v>11</v>
      </c>
      <c r="D22" s="115" t="s">
        <v>12</v>
      </c>
      <c r="E22" s="116" t="s">
        <v>13</v>
      </c>
      <c r="F22" s="114"/>
      <c r="G22" s="115" t="s">
        <v>11</v>
      </c>
      <c r="H22" s="114" t="s">
        <v>12</v>
      </c>
      <c r="I22" s="114" t="s">
        <v>13</v>
      </c>
      <c r="J22" s="115" t="s">
        <v>11</v>
      </c>
      <c r="K22" s="115"/>
      <c r="L22" s="114" t="s">
        <v>12</v>
      </c>
      <c r="M22" s="111"/>
      <c r="N22" s="111"/>
      <c r="O22" s="112"/>
      <c r="P22" s="112"/>
      <c r="Q22" s="112"/>
      <c r="R22" s="113"/>
      <c r="S22" s="113"/>
      <c r="T22" s="113"/>
      <c r="U22" s="113"/>
      <c r="V22" s="113"/>
      <c r="W22" s="104"/>
      <c r="X22" s="104"/>
      <c r="Y22" s="104"/>
      <c r="Z22" s="104"/>
      <c r="AA22" s="104"/>
      <c r="AB22" s="104"/>
      <c r="AC22" s="104"/>
      <c r="AD22" s="104"/>
      <c r="AE22" s="104"/>
      <c r="AG22" s="87"/>
      <c r="AH22" s="87"/>
    </row>
    <row r="23" spans="8:8" ht="18.0" customHeight="1">
      <c r="A23" s="102"/>
      <c r="B23" s="117">
        <f>C17</f>
        <v>119000.0</v>
      </c>
      <c r="C23" s="117">
        <f>D17</f>
        <v>71400.0</v>
      </c>
      <c r="D23" s="117">
        <f>E17</f>
        <v>11900.0</v>
      </c>
      <c r="E23" s="118">
        <f>H17</f>
        <v>119000.0</v>
      </c>
      <c r="F23" s="117"/>
      <c r="G23" s="117">
        <f>I17</f>
        <v>69020.0</v>
      </c>
      <c r="H23" s="117">
        <f>J17</f>
        <v>11900.0</v>
      </c>
      <c r="I23" s="119">
        <f>B23-E23</f>
        <v>0.0</v>
      </c>
      <c r="J23" s="119">
        <f>C23-G23</f>
        <v>2380.0</v>
      </c>
      <c r="K23" s="119"/>
      <c r="L23" s="119">
        <f>D23-H23</f>
        <v>0.0</v>
      </c>
      <c r="M23" s="120">
        <f>R17</f>
        <v>0.0</v>
      </c>
      <c r="N23" s="120"/>
      <c r="O23" s="120">
        <f>V17</f>
        <v>1904.0</v>
      </c>
      <c r="P23" s="120"/>
      <c r="Q23" s="120"/>
      <c r="R23" s="113"/>
      <c r="S23" s="113"/>
      <c r="T23" s="113"/>
      <c r="U23" s="113"/>
      <c r="V23" s="113"/>
      <c r="W23" s="104"/>
      <c r="X23" s="104"/>
      <c r="Y23" s="104"/>
      <c r="Z23" s="104"/>
      <c r="AA23" s="104"/>
      <c r="AB23" s="104"/>
      <c r="AC23" s="104"/>
      <c r="AD23" s="104"/>
      <c r="AE23" s="104"/>
    </row>
    <row r="24" spans="8:8" ht="6.75" customHeight="1">
      <c r="A24" s="102"/>
      <c r="B24" s="121"/>
      <c r="C24" s="121"/>
      <c r="D24" s="121"/>
      <c r="E24" s="121"/>
      <c r="F24" s="121"/>
      <c r="G24" s="121"/>
      <c r="H24" s="121"/>
      <c r="I24" s="121"/>
      <c r="J24" s="121"/>
      <c r="K24" s="121"/>
      <c r="L24" s="121"/>
      <c r="M24" s="113"/>
      <c r="N24" s="113"/>
      <c r="O24" s="113"/>
      <c r="P24" s="113"/>
      <c r="Q24" s="113"/>
      <c r="X24" s="146"/>
      <c r="Y24" s="146"/>
      <c r="Z24" s="146"/>
      <c r="AA24" s="146"/>
      <c r="AB24" s="146"/>
      <c r="AC24" s="123"/>
      <c r="AD24" s="123"/>
      <c r="AE24" s="123"/>
    </row>
    <row r="25" spans="8:8" ht="13.5" customHeight="1">
      <c r="I25" s="124"/>
      <c r="J25" s="125"/>
      <c r="K25" s="125"/>
      <c r="L25" s="125"/>
      <c r="M25" s="126"/>
      <c r="N25" s="126"/>
      <c r="O25" s="126"/>
      <c r="P25" s="303"/>
      <c r="R25" s="146"/>
      <c r="S25" s="129"/>
      <c r="T25" s="130" t="s">
        <v>71</v>
      </c>
      <c r="U25" s="131"/>
      <c r="V25" s="129" t="s">
        <v>71</v>
      </c>
      <c r="W25" s="146"/>
      <c r="X25" s="146"/>
      <c r="Y25" s="146"/>
      <c r="Z25" s="146"/>
      <c r="AA25" s="146"/>
      <c r="AB25" s="146"/>
      <c r="AC25" s="123"/>
      <c r="AD25" s="123"/>
      <c r="AE25" s="123"/>
    </row>
    <row r="26" spans="8:8" ht="15.75" customHeight="1">
      <c r="I26" s="132"/>
      <c r="J26" s="133"/>
      <c r="K26" s="133"/>
      <c r="S26" s="129"/>
      <c r="T26" s="130" t="s">
        <v>72</v>
      </c>
      <c r="U26" s="134"/>
      <c r="V26" s="129" t="s">
        <v>72</v>
      </c>
    </row>
    <row r="27" spans="8:8" ht="14.25" customHeight="1">
      <c r="A27" s="304" t="str">
        <f>A4</f>
        <v>क्रमांक:--डखू/DA/26/----/---/2026</v>
      </c>
      <c r="B27" s="304"/>
      <c r="C27" s="304"/>
      <c r="D27" s="304"/>
      <c r="E27" s="304"/>
      <c r="F27" s="304"/>
      <c r="G27" s="304"/>
      <c r="H27" s="304"/>
      <c r="I27" s="136"/>
      <c r="J27" s="137"/>
      <c r="K27" s="137"/>
      <c r="S27" s="138"/>
      <c r="T27" s="138"/>
      <c r="U27" s="139" t="s">
        <v>86</v>
      </c>
      <c r="V27" s="140" t="str">
        <f>V4</f>
        <v>  /   /2026</v>
      </c>
      <c r="W27" s="140"/>
    </row>
    <row r="28" spans="8:8" ht="13.5" customHeight="1">
      <c r="A28" s="141" t="s">
        <v>61</v>
      </c>
      <c r="B28" s="132"/>
      <c r="C28" s="132"/>
      <c r="D28" s="132"/>
      <c r="E28" s="132"/>
      <c r="F28" s="132"/>
      <c r="G28" s="132"/>
      <c r="H28" s="132"/>
      <c r="I28" s="298"/>
      <c r="J28" s="298"/>
      <c r="K28" s="298"/>
      <c r="L28" s="298"/>
      <c r="M28" s="298"/>
      <c r="N28" s="298"/>
      <c r="O28" s="298"/>
      <c r="P28" s="298"/>
    </row>
    <row r="29" spans="8:8" ht="13.5" customHeight="1">
      <c r="A29" s="141" t="s">
        <v>62</v>
      </c>
      <c r="B29" s="136"/>
      <c r="C29" s="136"/>
      <c r="D29" s="136"/>
      <c r="E29" s="136"/>
      <c r="F29" s="136"/>
      <c r="G29" s="136"/>
      <c r="H29" s="136"/>
    </row>
    <row r="30" spans="8:8" ht="13.5" customHeight="1">
      <c r="A30" s="143" t="s">
        <v>96</v>
      </c>
      <c r="D30" s="62" t="str">
        <f>L6</f>
        <v>RAJESH CHOUDHARY</v>
      </c>
      <c r="F30" s="136"/>
      <c r="G30" s="136"/>
      <c r="H30" s="298"/>
    </row>
    <row r="31" spans="8:8" ht="13.5" customHeight="1">
      <c r="A31" s="141" t="s">
        <v>95</v>
      </c>
    </row>
    <row r="32" spans="8:8" ht="13.5" customHeight="1">
      <c r="A32" s="145" t="s">
        <v>64</v>
      </c>
      <c r="U32" s="131"/>
      <c r="V32" s="129" t="s">
        <v>71</v>
      </c>
      <c r="W32" s="146"/>
    </row>
    <row r="33" spans="8:8" ht="17.25">
      <c r="B33" s="136"/>
      <c r="C33" s="136"/>
      <c r="D33" s="136"/>
      <c r="E33" s="136"/>
      <c r="U33" s="134"/>
      <c r="V33" s="129" t="s">
        <v>72</v>
      </c>
    </row>
    <row r="34" spans="8:8" ht="15.0">
      <c r="U34" s="139" t="s">
        <v>86</v>
      </c>
      <c r="V34" s="147" t="str">
        <f>V27</f>
        <v>  /   /2026</v>
      </c>
      <c r="W34" s="147"/>
    </row>
    <row r="35" spans="8:8" ht="15.0"/>
    <row r="36" spans="8:8" ht="75.0" customHeight="1">
      <c r="A36" s="210" t="s">
        <v>101</v>
      </c>
      <c r="B36" s="210"/>
      <c r="C36" s="210"/>
      <c r="D36" s="210"/>
      <c r="E36" s="210"/>
      <c r="F36" s="210"/>
      <c r="G36" s="210"/>
      <c r="H36" s="210"/>
      <c r="I36" s="210"/>
      <c r="J36" s="210"/>
      <c r="K36" s="210"/>
      <c r="L36" s="210"/>
      <c r="M36" s="210"/>
      <c r="N36" s="210"/>
      <c r="O36" s="210"/>
      <c r="P36" s="210"/>
      <c r="Q36" s="210"/>
      <c r="R36" s="210"/>
      <c r="S36" s="210"/>
      <c r="T36" s="210"/>
      <c r="U36" s="210"/>
      <c r="V36" s="210"/>
      <c r="W36" s="210"/>
    </row>
    <row r="37" spans="8:8" ht="20.25" hidden="1" customHeight="1"/>
    <row r="38" spans="8:8" ht="15.0" hidden="1"/>
    <row r="39" spans="8:8" ht="15.0" hidden="1"/>
    <row r="40" spans="8:8" ht="15.0" hidden="1"/>
    <row r="41" spans="8:8" ht="3.0" hidden="1" customHeight="1">
      <c r="M41" s="149" t="s">
        <v>92</v>
      </c>
      <c r="N41" s="149"/>
      <c r="O41" s="149"/>
      <c r="P41" s="149"/>
      <c r="Q41" s="149"/>
      <c r="R41" s="149"/>
      <c r="S41" s="149"/>
      <c r="T41" s="149"/>
      <c r="U41" s="149"/>
      <c r="V41" s="149"/>
      <c r="W41" s="149"/>
      <c r="X41" s="149"/>
    </row>
    <row r="42" spans="8:8" ht="3.75" hidden="1" customHeight="1">
      <c r="M42" s="149" t="s">
        <v>94</v>
      </c>
      <c r="N42" s="149"/>
      <c r="O42" s="149"/>
      <c r="P42" s="149"/>
      <c r="Q42" s="149"/>
      <c r="R42" s="149"/>
      <c r="S42" s="149"/>
      <c r="T42" s="149"/>
      <c r="U42" s="149"/>
      <c r="V42" s="149"/>
      <c r="W42" s="149"/>
      <c r="X42" s="149"/>
    </row>
    <row r="43" spans="8:8" ht="0.75" hidden="1" customHeight="1"/>
    <row r="44" spans="8:8" ht="0.75" hidden="1" customHeight="1"/>
    <row r="45" spans="8:8" ht="15.0" hidden="1"/>
    <row r="46" spans="8:8" ht="15.0"/>
  </sheetData>
  <sheetProtection password="c691" sheet="1" objects="1" scenarios="1" formatCells="0" formatRows="0"/>
  <mergeCells count="34">
    <mergeCell ref="A1:W1"/>
    <mergeCell ref="R8:U8"/>
    <mergeCell ref="A18:H18"/>
    <mergeCell ref="A19:H19"/>
    <mergeCell ref="X5:Y5"/>
    <mergeCell ref="C8:G8"/>
    <mergeCell ref="A8:A9"/>
    <mergeCell ref="M23:N23"/>
    <mergeCell ref="J25:L25"/>
    <mergeCell ref="M21:N22"/>
    <mergeCell ref="A2:W2"/>
    <mergeCell ref="X3:Y4"/>
    <mergeCell ref="E21:H21"/>
    <mergeCell ref="B8:B9"/>
    <mergeCell ref="A3:W3"/>
    <mergeCell ref="W8:W9"/>
    <mergeCell ref="O21:Q22"/>
    <mergeCell ref="V4:W4"/>
    <mergeCell ref="H8:L8"/>
    <mergeCell ref="A5:W5"/>
    <mergeCell ref="V8:V9"/>
    <mergeCell ref="A17:B17"/>
    <mergeCell ref="V27:W27"/>
    <mergeCell ref="B21:D21"/>
    <mergeCell ref="L6:Q6"/>
    <mergeCell ref="O23:Q23"/>
    <mergeCell ref="M8:Q8"/>
    <mergeCell ref="A36:W36"/>
    <mergeCell ref="S6:W6"/>
    <mergeCell ref="I21:L21"/>
    <mergeCell ref="E6:J6"/>
    <mergeCell ref="M25:O25"/>
    <mergeCell ref="J4:O4"/>
    <mergeCell ref="V34:W34"/>
  </mergeCells>
  <printOptions horizontalCentered="1"/>
  <pageMargins left="0.1968503937007874" right="0.0" top="0.0" bottom="0.0" header="0.0" footer="0.0"/>
  <pageSetup paperSize="9" fitToHeight="0" orientation="landscape"/>
  <headerFooter>
    <oddFooter>&amp;F</oddFooter>
  </headerFooter>
</worksheet>
</file>

<file path=docProps/app.xml><?xml version="1.0" encoding="utf-8"?>
<Properties xmlns="http://schemas.openxmlformats.org/officeDocument/2006/extended-properties">
  <Application>Kingsoft Office</Application>
  <DocSecurity>0</DocSecurity>
  <ScaleCrop>0</ScaleCrop>
  <LinksUpToDate>0</LinksUpToDate>
  <AppVersion>12.0000</AppVersion>
</Properties>
</file>

<file path=docProps/core.xml><?xml version="1.0" encoding="utf-8"?>
<cp:coreProperties xmlns:cp="http://schemas.openxmlformats.org/package/2006/metadata/core-properties" xmlns:dc="http://purl.org/dc/elements/1.1/" xmlns:dcterms="http://purl.org/dc/terms/" xmlns:xsi="http://www.w3.org/2001/XMLSchema-instance">
  <dc:creator>tc</dc:creator>
  <cp:lastModifiedBy>Computer</cp:lastModifiedBy>
  <dcterms:created xsi:type="dcterms:W3CDTF">2017-11-27T02:20:55Z</dcterms:created>
  <dcterms:modified xsi:type="dcterms:W3CDTF">2026-05-08T05:27:15Z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cb02fb11164442afa7a326d38da84d1b</vt:lpwstr>
  </property>
</Properties>
</file>