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 name="Surrender Arrear" sheetId="22" r:id="rId4"/>
    <sheet name="All Employees Report" sheetId="23" r:id="rId5"/>
  </sheets>
  <definedNames>
    <definedName name="month">Master!$AA$8:$AA$14</definedName>
    <definedName name="_xlnm.Print_Area" localSheetId="4">'All Employees Report'!$A$1:$S$36,'All Employees Report'!$A$38:$S$73,'All Employees Report'!$A$75:$S$110,'All Employees Report'!$A$112:$S$147,'All Employees Report'!$A$149:$S$184,'All Employees Report'!$A$186:$S$221,'All Employees Report'!$A$223:$S$258,'All Employees Report'!$A$260:$S$295,'All Employees Report'!$A$297:$S$332,'All Employees Report'!$A$334:$S$369,'All Employees Report'!$A$371:$S$406,'All Employees Report'!$A$408:$S$443,'All Employees Report'!$A$445:$S$480,'All Employees Report'!$A$482:$S$517,'All Employees Report'!$A$519:$S$554,'All Employees Report'!$A$556:$S$591,'All Employees Report'!$A$593:$S$628,'All Employees Report'!$A$630:$S$665,'All Employees Report'!$A$667:$S$702,'All Employees Report'!$A$704:$S$739,'All Employees Report'!$A$741:$S$776,'All Employees Report'!$A$778:$S$813,'All Employees Report'!$A$815:$S$850,'All Employees Report'!$A$852:$S$887,'All Employees Report'!$A$889:$S$924,'All Employees Report'!$A$926:$S$958,'All Employees Report'!$A$960:$S$992,'All Employees Report'!$A$994:$S$1026,'All Employees Report'!$A$1028:$S$1060,'All Employees Report'!$A$1062:$S$1094,'All Employees Report'!$A$1096:$S$1128,'All Employees Report'!$A$1130:$S$1162,'All Employees Report'!$A$1164:$S$1196,'All Employees Report'!$A$1198:$S$1230</definedName>
    <definedName name="_xlnm.Print_Area" localSheetId="1">Arrear!$A$1:$S$27</definedName>
    <definedName name="_xlnm.Print_Area" localSheetId="3">'Surrender Arrear'!$A$1:$S$18</definedName>
    <definedName name="_xlnm.Print_Area" localSheetId="2">Unlock!$A$1:$S$27</definedName>
  </definedNames>
  <calcPr calcId="124519" iterate="1"/>
</workbook>
</file>

<file path=xl/calcChain.xml><?xml version="1.0" encoding="utf-8"?>
<calcChain xmlns="http://schemas.openxmlformats.org/spreadsheetml/2006/main">
  <c r="G433" i="23"/>
  <c r="G434"/>
  <c r="G425"/>
  <c r="G426"/>
  <c r="G417"/>
  <c r="G418"/>
  <c r="G396"/>
  <c r="G397"/>
  <c r="G388"/>
  <c r="G389"/>
  <c r="G380"/>
  <c r="G381"/>
  <c r="G359"/>
  <c r="G360"/>
  <c r="G351"/>
  <c r="G352"/>
  <c r="G343"/>
  <c r="G344"/>
  <c r="G322"/>
  <c r="G323"/>
  <c r="G314"/>
  <c r="G315"/>
  <c r="G306"/>
  <c r="G307"/>
  <c r="G285"/>
  <c r="G286"/>
  <c r="G277"/>
  <c r="G278"/>
  <c r="G269"/>
  <c r="G270"/>
  <c r="G248"/>
  <c r="G249"/>
  <c r="G240"/>
  <c r="G241"/>
  <c r="G232"/>
  <c r="G233"/>
  <c r="G211"/>
  <c r="G212"/>
  <c r="G203"/>
  <c r="G204"/>
  <c r="G175"/>
  <c r="G174"/>
  <c r="G166"/>
  <c r="G167"/>
  <c r="G158"/>
  <c r="G159" s="1"/>
  <c r="G129"/>
  <c r="G130"/>
  <c r="G137"/>
  <c r="G138"/>
  <c r="G121"/>
  <c r="G122"/>
  <c r="G100"/>
  <c r="G101"/>
  <c r="G92"/>
  <c r="G93"/>
  <c r="G84"/>
  <c r="G85"/>
  <c r="G63"/>
  <c r="G64"/>
  <c r="G55"/>
  <c r="G56"/>
  <c r="G47"/>
  <c r="G48"/>
  <c r="G26"/>
  <c r="G27"/>
  <c r="G18"/>
  <c r="G19"/>
  <c r="G10"/>
  <c r="G11"/>
  <c r="C915"/>
  <c r="E915" s="1"/>
  <c r="M915" s="1"/>
  <c r="G915"/>
  <c r="I915" s="1"/>
  <c r="P915"/>
  <c r="Q915"/>
  <c r="C907"/>
  <c r="E907" s="1"/>
  <c r="M907" s="1"/>
  <c r="G907"/>
  <c r="I907" s="1"/>
  <c r="P907"/>
  <c r="Q907"/>
  <c r="C899"/>
  <c r="E899" s="1"/>
  <c r="M899" s="1"/>
  <c r="G899"/>
  <c r="I899" s="1"/>
  <c r="P899"/>
  <c r="Q899"/>
  <c r="C878"/>
  <c r="E878" s="1"/>
  <c r="M878" s="1"/>
  <c r="G878"/>
  <c r="I878" s="1"/>
  <c r="P878"/>
  <c r="Q878"/>
  <c r="C870"/>
  <c r="E870" s="1"/>
  <c r="M870" s="1"/>
  <c r="G870"/>
  <c r="I870" s="1"/>
  <c r="P870"/>
  <c r="Q870"/>
  <c r="C862"/>
  <c r="F862" s="1"/>
  <c r="N862" s="1"/>
  <c r="R862" s="1"/>
  <c r="G862"/>
  <c r="I862" s="1"/>
  <c r="P862"/>
  <c r="Q862"/>
  <c r="C841"/>
  <c r="E841" s="1"/>
  <c r="M841" s="1"/>
  <c r="G841"/>
  <c r="I841" s="1"/>
  <c r="P841"/>
  <c r="Q841"/>
  <c r="C833"/>
  <c r="E833" s="1"/>
  <c r="M833" s="1"/>
  <c r="G833"/>
  <c r="I833" s="1"/>
  <c r="P833"/>
  <c r="Q833"/>
  <c r="C825"/>
  <c r="F825" s="1"/>
  <c r="N825" s="1"/>
  <c r="R825" s="1"/>
  <c r="G825"/>
  <c r="I825" s="1"/>
  <c r="P825"/>
  <c r="Q825"/>
  <c r="C804"/>
  <c r="E804" s="1"/>
  <c r="M804" s="1"/>
  <c r="G804"/>
  <c r="I804" s="1"/>
  <c r="P804"/>
  <c r="Q804"/>
  <c r="C796"/>
  <c r="E796" s="1"/>
  <c r="M796" s="1"/>
  <c r="G796"/>
  <c r="I796" s="1"/>
  <c r="P796"/>
  <c r="Q796"/>
  <c r="C788"/>
  <c r="E788" s="1"/>
  <c r="M788" s="1"/>
  <c r="G788"/>
  <c r="I788" s="1"/>
  <c r="P788"/>
  <c r="Q788"/>
  <c r="C767"/>
  <c r="E767" s="1"/>
  <c r="M767" s="1"/>
  <c r="G767"/>
  <c r="I767" s="1"/>
  <c r="P767"/>
  <c r="Q767"/>
  <c r="C759"/>
  <c r="E759" s="1"/>
  <c r="M759" s="1"/>
  <c r="G759"/>
  <c r="I759" s="1"/>
  <c r="P759"/>
  <c r="Q759"/>
  <c r="C751"/>
  <c r="E751" s="1"/>
  <c r="M751" s="1"/>
  <c r="G751"/>
  <c r="I751" s="1"/>
  <c r="P751"/>
  <c r="Q751"/>
  <c r="C730"/>
  <c r="E730" s="1"/>
  <c r="M730" s="1"/>
  <c r="G730"/>
  <c r="I730" s="1"/>
  <c r="P730"/>
  <c r="Q730"/>
  <c r="C722"/>
  <c r="E722" s="1"/>
  <c r="M722" s="1"/>
  <c r="G722"/>
  <c r="I722" s="1"/>
  <c r="P722"/>
  <c r="Q722"/>
  <c r="C714"/>
  <c r="E714" s="1"/>
  <c r="M714" s="1"/>
  <c r="G714"/>
  <c r="I714" s="1"/>
  <c r="P714"/>
  <c r="Q714"/>
  <c r="C693"/>
  <c r="E693" s="1"/>
  <c r="M693" s="1"/>
  <c r="G693"/>
  <c r="I693" s="1"/>
  <c r="P693"/>
  <c r="Q693"/>
  <c r="C685"/>
  <c r="E685" s="1"/>
  <c r="M685" s="1"/>
  <c r="G685"/>
  <c r="I685" s="1"/>
  <c r="P685"/>
  <c r="Q685"/>
  <c r="C677"/>
  <c r="E677" s="1"/>
  <c r="M677" s="1"/>
  <c r="G677"/>
  <c r="I677" s="1"/>
  <c r="P677"/>
  <c r="Q677"/>
  <c r="C656"/>
  <c r="E656" s="1"/>
  <c r="M656" s="1"/>
  <c r="G656"/>
  <c r="I656" s="1"/>
  <c r="P656"/>
  <c r="Q656"/>
  <c r="C648"/>
  <c r="E648" s="1"/>
  <c r="M648" s="1"/>
  <c r="G648"/>
  <c r="I648" s="1"/>
  <c r="P648"/>
  <c r="Q648"/>
  <c r="C640"/>
  <c r="E640" s="1"/>
  <c r="M640" s="1"/>
  <c r="G640"/>
  <c r="I640" s="1"/>
  <c r="P640"/>
  <c r="Q640"/>
  <c r="C619"/>
  <c r="E619" s="1"/>
  <c r="M619" s="1"/>
  <c r="G619"/>
  <c r="I619" s="1"/>
  <c r="P619"/>
  <c r="Q619"/>
  <c r="C611"/>
  <c r="E611" s="1"/>
  <c r="M611" s="1"/>
  <c r="G611"/>
  <c r="I611" s="1"/>
  <c r="P611"/>
  <c r="Q611"/>
  <c r="C603"/>
  <c r="E603" s="1"/>
  <c r="M603" s="1"/>
  <c r="G603"/>
  <c r="I603" s="1"/>
  <c r="P603"/>
  <c r="Q603"/>
  <c r="C582"/>
  <c r="E582" s="1"/>
  <c r="M582" s="1"/>
  <c r="G582"/>
  <c r="I582" s="1"/>
  <c r="P582"/>
  <c r="Q582"/>
  <c r="C574"/>
  <c r="E574" s="1"/>
  <c r="M574" s="1"/>
  <c r="G574"/>
  <c r="I574" s="1"/>
  <c r="P574"/>
  <c r="Q574"/>
  <c r="C566"/>
  <c r="E566" s="1"/>
  <c r="M566" s="1"/>
  <c r="G566"/>
  <c r="I566" s="1"/>
  <c r="P566"/>
  <c r="Q566"/>
  <c r="C545"/>
  <c r="E545" s="1"/>
  <c r="M545" s="1"/>
  <c r="G545"/>
  <c r="I545" s="1"/>
  <c r="P545"/>
  <c r="Q545"/>
  <c r="C537"/>
  <c r="E537" s="1"/>
  <c r="M537" s="1"/>
  <c r="G537"/>
  <c r="I537" s="1"/>
  <c r="P537"/>
  <c r="Q537"/>
  <c r="C529"/>
  <c r="E529" s="1"/>
  <c r="M529" s="1"/>
  <c r="G529"/>
  <c r="I529" s="1"/>
  <c r="P529"/>
  <c r="Q529"/>
  <c r="C508"/>
  <c r="E508" s="1"/>
  <c r="M508" s="1"/>
  <c r="G508"/>
  <c r="I508" s="1"/>
  <c r="P508"/>
  <c r="Q508"/>
  <c r="C500"/>
  <c r="E500" s="1"/>
  <c r="M500" s="1"/>
  <c r="G500"/>
  <c r="I500" s="1"/>
  <c r="P500"/>
  <c r="Q500"/>
  <c r="C492"/>
  <c r="E492" s="1"/>
  <c r="M492" s="1"/>
  <c r="G492"/>
  <c r="I492" s="1"/>
  <c r="P492"/>
  <c r="Q492"/>
  <c r="C471"/>
  <c r="E471" s="1"/>
  <c r="M471" s="1"/>
  <c r="G471"/>
  <c r="I471" s="1"/>
  <c r="P471"/>
  <c r="Q471"/>
  <c r="C463"/>
  <c r="E463" s="1"/>
  <c r="M463" s="1"/>
  <c r="G463"/>
  <c r="I463" s="1"/>
  <c r="P463"/>
  <c r="Q463"/>
  <c r="C455"/>
  <c r="E455" s="1"/>
  <c r="M455" s="1"/>
  <c r="G455"/>
  <c r="I455" s="1"/>
  <c r="P455"/>
  <c r="Q455"/>
  <c r="E434"/>
  <c r="M434" s="1"/>
  <c r="I434"/>
  <c r="P434"/>
  <c r="Q434"/>
  <c r="E426"/>
  <c r="M426" s="1"/>
  <c r="I426"/>
  <c r="P426"/>
  <c r="Q426"/>
  <c r="E418"/>
  <c r="M418" s="1"/>
  <c r="I418"/>
  <c r="P418"/>
  <c r="Q418"/>
  <c r="X8" i="2"/>
  <c r="X9" s="1"/>
  <c r="X1"/>
  <c r="B727" i="23"/>
  <c r="B728" s="1"/>
  <c r="B729" s="1"/>
  <c r="B730" s="1"/>
  <c r="B719"/>
  <c r="B720" s="1"/>
  <c r="B721" s="1"/>
  <c r="B722" s="1"/>
  <c r="B690"/>
  <c r="B691" s="1"/>
  <c r="B692" s="1"/>
  <c r="B693" s="1"/>
  <c r="B682"/>
  <c r="B683" s="1"/>
  <c r="B684" s="1"/>
  <c r="B685" s="1"/>
  <c r="B653"/>
  <c r="B654" s="1"/>
  <c r="B655" s="1"/>
  <c r="B656" s="1"/>
  <c r="B645"/>
  <c r="B646" s="1"/>
  <c r="B647" s="1"/>
  <c r="B648" s="1"/>
  <c r="B616"/>
  <c r="B617" s="1"/>
  <c r="B618" s="1"/>
  <c r="B619" s="1"/>
  <c r="B608"/>
  <c r="B609" s="1"/>
  <c r="B610" s="1"/>
  <c r="B611" s="1"/>
  <c r="B579"/>
  <c r="B580" s="1"/>
  <c r="B581" s="1"/>
  <c r="B582" s="1"/>
  <c r="B571"/>
  <c r="B572" s="1"/>
  <c r="B573" s="1"/>
  <c r="B574" s="1"/>
  <c r="B542"/>
  <c r="B543" s="1"/>
  <c r="B544" s="1"/>
  <c r="B545" s="1"/>
  <c r="B534"/>
  <c r="B535" s="1"/>
  <c r="B536" s="1"/>
  <c r="B537" s="1"/>
  <c r="B505"/>
  <c r="B506" s="1"/>
  <c r="B507" s="1"/>
  <c r="B508" s="1"/>
  <c r="B497"/>
  <c r="B498" s="1"/>
  <c r="B499" s="1"/>
  <c r="B500" s="1"/>
  <c r="B468"/>
  <c r="B469" s="1"/>
  <c r="B470" s="1"/>
  <c r="B471" s="1"/>
  <c r="B460"/>
  <c r="B461" s="1"/>
  <c r="B462" s="1"/>
  <c r="B463" s="1"/>
  <c r="B431"/>
  <c r="B432" s="1"/>
  <c r="B433" s="1"/>
  <c r="B434" s="1"/>
  <c r="B423"/>
  <c r="B424" s="1"/>
  <c r="B425" s="1"/>
  <c r="B426" s="1"/>
  <c r="B394"/>
  <c r="B395" s="1"/>
  <c r="B396" s="1"/>
  <c r="B397" s="1"/>
  <c r="B386"/>
  <c r="B387" s="1"/>
  <c r="B388" s="1"/>
  <c r="B389" s="1"/>
  <c r="B711"/>
  <c r="B712" s="1"/>
  <c r="B713" s="1"/>
  <c r="B714" s="1"/>
  <c r="B674"/>
  <c r="B675" s="1"/>
  <c r="B676" s="1"/>
  <c r="B677" s="1"/>
  <c r="B637"/>
  <c r="B638" s="1"/>
  <c r="B639" s="1"/>
  <c r="B640" s="1"/>
  <c r="B600"/>
  <c r="B601" s="1"/>
  <c r="B602" s="1"/>
  <c r="B603" s="1"/>
  <c r="B563"/>
  <c r="B564" s="1"/>
  <c r="B565" s="1"/>
  <c r="B566" s="1"/>
  <c r="B526"/>
  <c r="B527" s="1"/>
  <c r="B528" s="1"/>
  <c r="B529" s="1"/>
  <c r="B489"/>
  <c r="B490" s="1"/>
  <c r="B491" s="1"/>
  <c r="B492" s="1"/>
  <c r="B452"/>
  <c r="B453" s="1"/>
  <c r="B454" s="1"/>
  <c r="B455" s="1"/>
  <c r="B415"/>
  <c r="B416" s="1"/>
  <c r="B417" s="1"/>
  <c r="B418" s="1"/>
  <c r="B378"/>
  <c r="B379" s="1"/>
  <c r="B380" s="1"/>
  <c r="B381" s="1"/>
  <c r="B357"/>
  <c r="B358" s="1"/>
  <c r="B359" s="1"/>
  <c r="B360" s="1"/>
  <c r="B349"/>
  <c r="B350" s="1"/>
  <c r="B351" s="1"/>
  <c r="B352" s="1"/>
  <c r="B320"/>
  <c r="B321" s="1"/>
  <c r="B322" s="1"/>
  <c r="B323" s="1"/>
  <c r="B312"/>
  <c r="B313" s="1"/>
  <c r="B314" s="1"/>
  <c r="B315" s="1"/>
  <c r="B341"/>
  <c r="B342" s="1"/>
  <c r="B343" s="1"/>
  <c r="B344" s="1"/>
  <c r="B304"/>
  <c r="B305" s="1"/>
  <c r="B306" s="1"/>
  <c r="B307" s="1"/>
  <c r="J3" i="21"/>
  <c r="A1" i="23"/>
  <c r="A38" s="1"/>
  <c r="A75" s="1"/>
  <c r="A112" s="1"/>
  <c r="A149" s="1"/>
  <c r="A186" s="1"/>
  <c r="A223" s="1"/>
  <c r="A260" s="1"/>
  <c r="A297" s="1"/>
  <c r="A334" s="1"/>
  <c r="A371" s="1"/>
  <c r="A408" s="1"/>
  <c r="A445" s="1"/>
  <c r="A482" s="1"/>
  <c r="A519" s="1"/>
  <c r="A556" s="1"/>
  <c r="A593" s="1"/>
  <c r="A630" s="1"/>
  <c r="A667" s="1"/>
  <c r="A704" s="1"/>
  <c r="A741" s="1"/>
  <c r="A778" s="1"/>
  <c r="A815" s="1"/>
  <c r="A852" s="1"/>
  <c r="A889" s="1"/>
  <c r="A926" s="1"/>
  <c r="A960" s="1"/>
  <c r="A994" s="1"/>
  <c r="A1028" s="1"/>
  <c r="A1062" s="1"/>
  <c r="A1096" s="1"/>
  <c r="A1130" s="1"/>
  <c r="A1164" s="1"/>
  <c r="A1198" s="1"/>
  <c r="X8" i="21"/>
  <c r="X9" s="1"/>
  <c r="O878" i="23" l="1"/>
  <c r="O907"/>
  <c r="H899"/>
  <c r="D878"/>
  <c r="L878" s="1"/>
  <c r="H915"/>
  <c r="J878"/>
  <c r="J907"/>
  <c r="O915"/>
  <c r="J915"/>
  <c r="D915"/>
  <c r="L915" s="1"/>
  <c r="D907"/>
  <c r="L907" s="1"/>
  <c r="K915"/>
  <c r="F915"/>
  <c r="N915" s="1"/>
  <c r="R915" s="1"/>
  <c r="H907"/>
  <c r="K907"/>
  <c r="F907"/>
  <c r="N907" s="1"/>
  <c r="R907" s="1"/>
  <c r="O899"/>
  <c r="J899"/>
  <c r="D899"/>
  <c r="L899" s="1"/>
  <c r="K899"/>
  <c r="F899"/>
  <c r="N899" s="1"/>
  <c r="R899" s="1"/>
  <c r="J870"/>
  <c r="H878"/>
  <c r="O870"/>
  <c r="D870"/>
  <c r="L870" s="1"/>
  <c r="K878"/>
  <c r="F878"/>
  <c r="N878" s="1"/>
  <c r="R878" s="1"/>
  <c r="H870"/>
  <c r="K870"/>
  <c r="F870"/>
  <c r="N870" s="1"/>
  <c r="R870" s="1"/>
  <c r="H833"/>
  <c r="O841"/>
  <c r="D841"/>
  <c r="L841" s="1"/>
  <c r="J841"/>
  <c r="O862"/>
  <c r="K862"/>
  <c r="H862"/>
  <c r="D862"/>
  <c r="L862" s="1"/>
  <c r="E862"/>
  <c r="M862" s="1"/>
  <c r="J862"/>
  <c r="O796"/>
  <c r="H841"/>
  <c r="K841"/>
  <c r="F841"/>
  <c r="N841" s="1"/>
  <c r="R841" s="1"/>
  <c r="D796"/>
  <c r="L796" s="1"/>
  <c r="H804"/>
  <c r="J796"/>
  <c r="O833"/>
  <c r="J833"/>
  <c r="D833"/>
  <c r="L833" s="1"/>
  <c r="K833"/>
  <c r="F833"/>
  <c r="N833" s="1"/>
  <c r="R833" s="1"/>
  <c r="H788"/>
  <c r="J767"/>
  <c r="K825"/>
  <c r="O767"/>
  <c r="O825"/>
  <c r="H825"/>
  <c r="D825"/>
  <c r="L825" s="1"/>
  <c r="E825"/>
  <c r="M825" s="1"/>
  <c r="J825"/>
  <c r="O804"/>
  <c r="J804"/>
  <c r="D804"/>
  <c r="L804" s="1"/>
  <c r="K804"/>
  <c r="F804"/>
  <c r="N804" s="1"/>
  <c r="R804" s="1"/>
  <c r="D767"/>
  <c r="L767" s="1"/>
  <c r="H796"/>
  <c r="K796"/>
  <c r="F796"/>
  <c r="N796" s="1"/>
  <c r="R796" s="1"/>
  <c r="O788"/>
  <c r="J788"/>
  <c r="D788"/>
  <c r="L788" s="1"/>
  <c r="K788"/>
  <c r="F788"/>
  <c r="N788" s="1"/>
  <c r="R788" s="1"/>
  <c r="O722"/>
  <c r="J759"/>
  <c r="H767"/>
  <c r="O759"/>
  <c r="D759"/>
  <c r="L759" s="1"/>
  <c r="K767"/>
  <c r="F767"/>
  <c r="N767" s="1"/>
  <c r="R767" s="1"/>
  <c r="K722"/>
  <c r="J751"/>
  <c r="H759"/>
  <c r="O751"/>
  <c r="D751"/>
  <c r="L751" s="1"/>
  <c r="K759"/>
  <c r="F759"/>
  <c r="N759" s="1"/>
  <c r="R759" s="1"/>
  <c r="O730"/>
  <c r="H751"/>
  <c r="K751"/>
  <c r="F751"/>
  <c r="N751" s="1"/>
  <c r="R751" s="1"/>
  <c r="K714"/>
  <c r="K730"/>
  <c r="J730"/>
  <c r="F730"/>
  <c r="N730" s="1"/>
  <c r="R730" s="1"/>
  <c r="H730"/>
  <c r="D730"/>
  <c r="L730" s="1"/>
  <c r="J722"/>
  <c r="F722"/>
  <c r="N722" s="1"/>
  <c r="R722" s="1"/>
  <c r="H722"/>
  <c r="D722"/>
  <c r="L722" s="1"/>
  <c r="O714"/>
  <c r="J714"/>
  <c r="F714"/>
  <c r="N714" s="1"/>
  <c r="R714" s="1"/>
  <c r="H714"/>
  <c r="D714"/>
  <c r="L714" s="1"/>
  <c r="O693"/>
  <c r="J656"/>
  <c r="O656"/>
  <c r="K693"/>
  <c r="J693"/>
  <c r="F693"/>
  <c r="N693" s="1"/>
  <c r="R693" s="1"/>
  <c r="H693"/>
  <c r="D693"/>
  <c r="L693" s="1"/>
  <c r="O685"/>
  <c r="K656"/>
  <c r="K685"/>
  <c r="J685"/>
  <c r="F685"/>
  <c r="N685" s="1"/>
  <c r="R685" s="1"/>
  <c r="H685"/>
  <c r="D685"/>
  <c r="L685" s="1"/>
  <c r="O677"/>
  <c r="K677"/>
  <c r="J677"/>
  <c r="F677"/>
  <c r="N677" s="1"/>
  <c r="R677" s="1"/>
  <c r="H677"/>
  <c r="D677"/>
  <c r="L677" s="1"/>
  <c r="K640"/>
  <c r="F656"/>
  <c r="N656" s="1"/>
  <c r="R656" s="1"/>
  <c r="H656"/>
  <c r="D656"/>
  <c r="L656" s="1"/>
  <c r="O648"/>
  <c r="O640"/>
  <c r="K648"/>
  <c r="J648"/>
  <c r="F648"/>
  <c r="N648" s="1"/>
  <c r="R648" s="1"/>
  <c r="H648"/>
  <c r="D648"/>
  <c r="L648" s="1"/>
  <c r="J640"/>
  <c r="F640"/>
  <c r="N640" s="1"/>
  <c r="R640" s="1"/>
  <c r="H640"/>
  <c r="D640"/>
  <c r="L640" s="1"/>
  <c r="O619"/>
  <c r="K619"/>
  <c r="J619"/>
  <c r="F619"/>
  <c r="N619" s="1"/>
  <c r="R619" s="1"/>
  <c r="H619"/>
  <c r="D619"/>
  <c r="L619" s="1"/>
  <c r="O611"/>
  <c r="K611"/>
  <c r="J611"/>
  <c r="F611"/>
  <c r="N611" s="1"/>
  <c r="R611" s="1"/>
  <c r="H611"/>
  <c r="D611"/>
  <c r="L611" s="1"/>
  <c r="O603"/>
  <c r="K603"/>
  <c r="J603"/>
  <c r="F603"/>
  <c r="N603" s="1"/>
  <c r="R603" s="1"/>
  <c r="H603"/>
  <c r="D603"/>
  <c r="L603" s="1"/>
  <c r="O582"/>
  <c r="K582"/>
  <c r="J582"/>
  <c r="F582"/>
  <c r="N582" s="1"/>
  <c r="R582" s="1"/>
  <c r="H582"/>
  <c r="D582"/>
  <c r="L582" s="1"/>
  <c r="O574"/>
  <c r="K574"/>
  <c r="J574"/>
  <c r="F574"/>
  <c r="N574" s="1"/>
  <c r="R574" s="1"/>
  <c r="H574"/>
  <c r="D574"/>
  <c r="L574" s="1"/>
  <c r="O566"/>
  <c r="K566"/>
  <c r="J566"/>
  <c r="F566"/>
  <c r="N566" s="1"/>
  <c r="R566" s="1"/>
  <c r="H566"/>
  <c r="D566"/>
  <c r="L566" s="1"/>
  <c r="O545"/>
  <c r="K545"/>
  <c r="J545"/>
  <c r="F545"/>
  <c r="N545" s="1"/>
  <c r="R545" s="1"/>
  <c r="H545"/>
  <c r="D545"/>
  <c r="L545" s="1"/>
  <c r="O537"/>
  <c r="K537"/>
  <c r="J537"/>
  <c r="F537"/>
  <c r="N537" s="1"/>
  <c r="R537" s="1"/>
  <c r="H537"/>
  <c r="D537"/>
  <c r="L537" s="1"/>
  <c r="O529"/>
  <c r="K529"/>
  <c r="J529"/>
  <c r="F529"/>
  <c r="N529" s="1"/>
  <c r="R529" s="1"/>
  <c r="H529"/>
  <c r="D529"/>
  <c r="L529" s="1"/>
  <c r="O508"/>
  <c r="K508"/>
  <c r="J508"/>
  <c r="F508"/>
  <c r="N508" s="1"/>
  <c r="R508" s="1"/>
  <c r="H508"/>
  <c r="D508"/>
  <c r="L508" s="1"/>
  <c r="O500"/>
  <c r="K500"/>
  <c r="J500"/>
  <c r="F500"/>
  <c r="N500" s="1"/>
  <c r="R500" s="1"/>
  <c r="H500"/>
  <c r="D500"/>
  <c r="L500" s="1"/>
  <c r="O492"/>
  <c r="K492"/>
  <c r="J492"/>
  <c r="F492"/>
  <c r="N492" s="1"/>
  <c r="R492" s="1"/>
  <c r="H492"/>
  <c r="D492"/>
  <c r="L492" s="1"/>
  <c r="O471"/>
  <c r="K471"/>
  <c r="J471"/>
  <c r="F471"/>
  <c r="N471" s="1"/>
  <c r="R471" s="1"/>
  <c r="H471"/>
  <c r="D471"/>
  <c r="L471" s="1"/>
  <c r="O463"/>
  <c r="K463"/>
  <c r="J463"/>
  <c r="F463"/>
  <c r="N463" s="1"/>
  <c r="R463" s="1"/>
  <c r="H463"/>
  <c r="D463"/>
  <c r="L463" s="1"/>
  <c r="O455"/>
  <c r="K455"/>
  <c r="J455"/>
  <c r="F455"/>
  <c r="N455" s="1"/>
  <c r="R455" s="1"/>
  <c r="H455"/>
  <c r="D455"/>
  <c r="L455" s="1"/>
  <c r="K434"/>
  <c r="J434"/>
  <c r="F434"/>
  <c r="N434" s="1"/>
  <c r="R434" s="1"/>
  <c r="H434"/>
  <c r="D434"/>
  <c r="L434" s="1"/>
  <c r="J426"/>
  <c r="F426"/>
  <c r="N426" s="1"/>
  <c r="R426" s="1"/>
  <c r="K426"/>
  <c r="H426"/>
  <c r="D426"/>
  <c r="L426" s="1"/>
  <c r="J418"/>
  <c r="F418"/>
  <c r="N418" s="1"/>
  <c r="R418" s="1"/>
  <c r="K418"/>
  <c r="H418"/>
  <c r="D418"/>
  <c r="L418" s="1"/>
  <c r="X10" i="21"/>
  <c r="X11" s="1"/>
  <c r="X12" s="1"/>
  <c r="X13" s="1"/>
  <c r="X14" s="1"/>
  <c r="X10" i="2"/>
  <c r="X11" s="1"/>
  <c r="X12" s="1"/>
  <c r="X13" s="1"/>
  <c r="X14" s="1"/>
  <c r="AA1"/>
  <c r="X765" i="23"/>
  <c r="G1212"/>
  <c r="I1212" s="1"/>
  <c r="X1220"/>
  <c r="G1219"/>
  <c r="C1219"/>
  <c r="P1217"/>
  <c r="J1217"/>
  <c r="X1213"/>
  <c r="C1212"/>
  <c r="C1213" s="1"/>
  <c r="P1210"/>
  <c r="J1210"/>
  <c r="G1205"/>
  <c r="I1205" s="1"/>
  <c r="C1205"/>
  <c r="P1200"/>
  <c r="J1200"/>
  <c r="A1199"/>
  <c r="AA1198"/>
  <c r="X1186"/>
  <c r="G1185"/>
  <c r="C1185"/>
  <c r="P1183"/>
  <c r="J1183"/>
  <c r="X1179"/>
  <c r="G1178"/>
  <c r="G1179" s="1"/>
  <c r="C1178"/>
  <c r="C1179" s="1"/>
  <c r="P1176"/>
  <c r="J1176"/>
  <c r="G1171"/>
  <c r="I1171" s="1"/>
  <c r="C1171"/>
  <c r="P1166"/>
  <c r="J1166"/>
  <c r="A1165"/>
  <c r="AA1164"/>
  <c r="X1152"/>
  <c r="G1151"/>
  <c r="C1151"/>
  <c r="P1149"/>
  <c r="J1149"/>
  <c r="X1145"/>
  <c r="G1144"/>
  <c r="G1145" s="1"/>
  <c r="C1144"/>
  <c r="C1145" s="1"/>
  <c r="P1142"/>
  <c r="J1142"/>
  <c r="G1137"/>
  <c r="I1137" s="1"/>
  <c r="C1137"/>
  <c r="D1137" s="1"/>
  <c r="P1132"/>
  <c r="J1132"/>
  <c r="A1131"/>
  <c r="AA1130"/>
  <c r="X1118"/>
  <c r="G1117"/>
  <c r="C1117"/>
  <c r="P1115"/>
  <c r="J1115"/>
  <c r="X1111"/>
  <c r="G1110"/>
  <c r="G1111" s="1"/>
  <c r="C1110"/>
  <c r="C1111" s="1"/>
  <c r="P1108"/>
  <c r="J1108"/>
  <c r="G1103"/>
  <c r="I1103" s="1"/>
  <c r="C1103"/>
  <c r="P1098"/>
  <c r="J1098"/>
  <c r="A1097"/>
  <c r="AA1096"/>
  <c r="X1084"/>
  <c r="G1083"/>
  <c r="C1083"/>
  <c r="P1081"/>
  <c r="J1081"/>
  <c r="X1077"/>
  <c r="G1076"/>
  <c r="G1077" s="1"/>
  <c r="C1076"/>
  <c r="C1077" s="1"/>
  <c r="P1074"/>
  <c r="J1074"/>
  <c r="G1069"/>
  <c r="I1069" s="1"/>
  <c r="C1069"/>
  <c r="P1064"/>
  <c r="J1064"/>
  <c r="A1063"/>
  <c r="AA1062"/>
  <c r="X1050"/>
  <c r="G1049"/>
  <c r="C1049"/>
  <c r="P1047"/>
  <c r="J1047"/>
  <c r="X1043"/>
  <c r="G1042"/>
  <c r="G1043" s="1"/>
  <c r="C1042"/>
  <c r="C1043" s="1"/>
  <c r="P1040"/>
  <c r="J1040"/>
  <c r="G1035"/>
  <c r="I1035" s="1"/>
  <c r="C1035"/>
  <c r="P1030"/>
  <c r="J1030"/>
  <c r="A1029"/>
  <c r="AA1028"/>
  <c r="G1001"/>
  <c r="I1001" s="1"/>
  <c r="X1016"/>
  <c r="G1015"/>
  <c r="C1015"/>
  <c r="D1015" s="1"/>
  <c r="P1013"/>
  <c r="J1013"/>
  <c r="X1009"/>
  <c r="G1008"/>
  <c r="G1009" s="1"/>
  <c r="G1010" s="1"/>
  <c r="C1008"/>
  <c r="C1009" s="1"/>
  <c r="P1006"/>
  <c r="J1006"/>
  <c r="C1001"/>
  <c r="P996"/>
  <c r="J996"/>
  <c r="A995"/>
  <c r="AA994"/>
  <c r="X982"/>
  <c r="G981"/>
  <c r="C981"/>
  <c r="P979"/>
  <c r="J979"/>
  <c r="X975"/>
  <c r="G974"/>
  <c r="G975" s="1"/>
  <c r="C974"/>
  <c r="C975" s="1"/>
  <c r="P972"/>
  <c r="J972"/>
  <c r="G967"/>
  <c r="I967" s="1"/>
  <c r="C967"/>
  <c r="P962"/>
  <c r="J962"/>
  <c r="A961"/>
  <c r="AA960"/>
  <c r="X948"/>
  <c r="G947"/>
  <c r="I947" s="1"/>
  <c r="C947"/>
  <c r="E947" s="1"/>
  <c r="M947" s="1"/>
  <c r="P945"/>
  <c r="J945"/>
  <c r="X941"/>
  <c r="G940"/>
  <c r="G941" s="1"/>
  <c r="C940"/>
  <c r="C941" s="1"/>
  <c r="P938"/>
  <c r="J938"/>
  <c r="G933"/>
  <c r="I933" s="1"/>
  <c r="C933"/>
  <c r="D933" s="1"/>
  <c r="P928"/>
  <c r="J928"/>
  <c r="A927"/>
  <c r="AA926"/>
  <c r="X913"/>
  <c r="G912"/>
  <c r="C912"/>
  <c r="P910"/>
  <c r="J910"/>
  <c r="X905"/>
  <c r="G904"/>
  <c r="C904"/>
  <c r="P902"/>
  <c r="J902"/>
  <c r="G896"/>
  <c r="C896"/>
  <c r="P891"/>
  <c r="J891"/>
  <c r="A890"/>
  <c r="AA889"/>
  <c r="X876"/>
  <c r="G875"/>
  <c r="C875"/>
  <c r="P873"/>
  <c r="J873"/>
  <c r="X868"/>
  <c r="G867"/>
  <c r="C867"/>
  <c r="P865"/>
  <c r="J865"/>
  <c r="G859"/>
  <c r="C859"/>
  <c r="P854"/>
  <c r="J854"/>
  <c r="A853"/>
  <c r="AA852"/>
  <c r="X839"/>
  <c r="G838"/>
  <c r="C838"/>
  <c r="P836"/>
  <c r="J836"/>
  <c r="X831"/>
  <c r="G830"/>
  <c r="G831" s="1"/>
  <c r="C830"/>
  <c r="C831" s="1"/>
  <c r="P828"/>
  <c r="J828"/>
  <c r="G822"/>
  <c r="C822"/>
  <c r="P817"/>
  <c r="J817"/>
  <c r="A816"/>
  <c r="AA815"/>
  <c r="X802"/>
  <c r="G801"/>
  <c r="C801"/>
  <c r="P799"/>
  <c r="J799"/>
  <c r="X794"/>
  <c r="G793"/>
  <c r="C793"/>
  <c r="P791"/>
  <c r="J791"/>
  <c r="G785"/>
  <c r="C785"/>
  <c r="P780"/>
  <c r="J780"/>
  <c r="A779"/>
  <c r="AA778"/>
  <c r="G764"/>
  <c r="C764"/>
  <c r="P762"/>
  <c r="J762"/>
  <c r="X757"/>
  <c r="G756"/>
  <c r="C756"/>
  <c r="P754"/>
  <c r="J754"/>
  <c r="G748"/>
  <c r="C748"/>
  <c r="P743"/>
  <c r="J743"/>
  <c r="A742"/>
  <c r="AA741"/>
  <c r="X728"/>
  <c r="G727"/>
  <c r="C727"/>
  <c r="P725"/>
  <c r="J725"/>
  <c r="X720"/>
  <c r="G719"/>
  <c r="C719"/>
  <c r="P717"/>
  <c r="J717"/>
  <c r="G711"/>
  <c r="C711"/>
  <c r="P706"/>
  <c r="J706"/>
  <c r="A705"/>
  <c r="AA704"/>
  <c r="X691"/>
  <c r="G690"/>
  <c r="C690"/>
  <c r="P688"/>
  <c r="J688"/>
  <c r="X683"/>
  <c r="G682"/>
  <c r="C682"/>
  <c r="P680"/>
  <c r="J680"/>
  <c r="G674"/>
  <c r="C674"/>
  <c r="P669"/>
  <c r="J669"/>
  <c r="A668"/>
  <c r="AA667"/>
  <c r="X654"/>
  <c r="G653"/>
  <c r="C653"/>
  <c r="P651"/>
  <c r="J651"/>
  <c r="X646"/>
  <c r="G645"/>
  <c r="C645"/>
  <c r="P643"/>
  <c r="J643"/>
  <c r="G637"/>
  <c r="C637"/>
  <c r="P632"/>
  <c r="J632"/>
  <c r="A631"/>
  <c r="AA630"/>
  <c r="X617"/>
  <c r="G616"/>
  <c r="C616"/>
  <c r="P614"/>
  <c r="J614"/>
  <c r="X609"/>
  <c r="G608"/>
  <c r="C608"/>
  <c r="P606"/>
  <c r="J606"/>
  <c r="G600"/>
  <c r="C600"/>
  <c r="P595"/>
  <c r="J595"/>
  <c r="A594"/>
  <c r="AA593"/>
  <c r="X580"/>
  <c r="G579"/>
  <c r="C579"/>
  <c r="P577"/>
  <c r="J577"/>
  <c r="X572"/>
  <c r="G571"/>
  <c r="C571"/>
  <c r="P569"/>
  <c r="J569"/>
  <c r="G563"/>
  <c r="C563"/>
  <c r="P558"/>
  <c r="J558"/>
  <c r="A557"/>
  <c r="AA556"/>
  <c r="X543"/>
  <c r="G542"/>
  <c r="C542"/>
  <c r="P540"/>
  <c r="J540"/>
  <c r="X535"/>
  <c r="G534"/>
  <c r="C534"/>
  <c r="P532"/>
  <c r="J532"/>
  <c r="G526"/>
  <c r="C526"/>
  <c r="P521"/>
  <c r="J521"/>
  <c r="A520"/>
  <c r="AA519"/>
  <c r="X506"/>
  <c r="G505"/>
  <c r="C505"/>
  <c r="P503"/>
  <c r="J503"/>
  <c r="X498"/>
  <c r="G497"/>
  <c r="C497"/>
  <c r="P495"/>
  <c r="J495"/>
  <c r="G489"/>
  <c r="C489"/>
  <c r="P484"/>
  <c r="J484"/>
  <c r="A483"/>
  <c r="AA482"/>
  <c r="X469"/>
  <c r="G468"/>
  <c r="C468"/>
  <c r="P466"/>
  <c r="J466"/>
  <c r="X461"/>
  <c r="G460"/>
  <c r="C460"/>
  <c r="P458"/>
  <c r="J458"/>
  <c r="G452"/>
  <c r="C452"/>
  <c r="P447"/>
  <c r="J447"/>
  <c r="A446"/>
  <c r="AA445"/>
  <c r="AA408"/>
  <c r="X432"/>
  <c r="G431"/>
  <c r="C431"/>
  <c r="P429"/>
  <c r="J429"/>
  <c r="X424"/>
  <c r="G423"/>
  <c r="C423"/>
  <c r="P421"/>
  <c r="J421"/>
  <c r="G415"/>
  <c r="C415"/>
  <c r="P410"/>
  <c r="J410"/>
  <c r="X395"/>
  <c r="G394"/>
  <c r="C394"/>
  <c r="J392"/>
  <c r="P392"/>
  <c r="X387"/>
  <c r="G386"/>
  <c r="C386"/>
  <c r="P384"/>
  <c r="J384"/>
  <c r="G378"/>
  <c r="C378"/>
  <c r="P373"/>
  <c r="J373"/>
  <c r="AA371"/>
  <c r="AA334"/>
  <c r="X358"/>
  <c r="G357"/>
  <c r="C357"/>
  <c r="P355"/>
  <c r="J355"/>
  <c r="X350"/>
  <c r="G349"/>
  <c r="C349"/>
  <c r="P347"/>
  <c r="J347"/>
  <c r="G341"/>
  <c r="C341"/>
  <c r="P336"/>
  <c r="J336"/>
  <c r="J318"/>
  <c r="X321"/>
  <c r="G320"/>
  <c r="C320"/>
  <c r="P318"/>
  <c r="X313"/>
  <c r="G312"/>
  <c r="C312"/>
  <c r="P310"/>
  <c r="J310"/>
  <c r="G304"/>
  <c r="C304"/>
  <c r="P299"/>
  <c r="J299"/>
  <c r="AA297"/>
  <c r="Y283"/>
  <c r="Y275"/>
  <c r="Y262"/>
  <c r="Y246"/>
  <c r="Y238"/>
  <c r="Y225"/>
  <c r="Y209"/>
  <c r="Y201"/>
  <c r="Y188"/>
  <c r="Y172"/>
  <c r="Y164"/>
  <c r="X165" s="1"/>
  <c r="Y151"/>
  <c r="C156" s="1"/>
  <c r="Y135"/>
  <c r="Y127"/>
  <c r="Y114"/>
  <c r="Y98"/>
  <c r="Y90"/>
  <c r="Y77"/>
  <c r="Y61"/>
  <c r="Y53"/>
  <c r="Y40"/>
  <c r="Y24"/>
  <c r="J22" s="1"/>
  <c r="Y16"/>
  <c r="Y3"/>
  <c r="J3" s="1"/>
  <c r="A409"/>
  <c r="A372"/>
  <c r="A335"/>
  <c r="A298"/>
  <c r="A261"/>
  <c r="A224"/>
  <c r="A187"/>
  <c r="A150"/>
  <c r="A113"/>
  <c r="A76"/>
  <c r="A39"/>
  <c r="A2"/>
  <c r="G8" i="22"/>
  <c r="C8"/>
  <c r="D8" s="1"/>
  <c r="G905" i="23" l="1"/>
  <c r="C905"/>
  <c r="I896"/>
  <c r="C868"/>
  <c r="G868"/>
  <c r="I859"/>
  <c r="I822"/>
  <c r="C794"/>
  <c r="G794"/>
  <c r="I785"/>
  <c r="G757"/>
  <c r="C757"/>
  <c r="I748"/>
  <c r="G720"/>
  <c r="C720"/>
  <c r="I711"/>
  <c r="G683"/>
  <c r="C683"/>
  <c r="I674"/>
  <c r="G646"/>
  <c r="C646"/>
  <c r="I637"/>
  <c r="C609"/>
  <c r="G609"/>
  <c r="I600"/>
  <c r="G572"/>
  <c r="C572"/>
  <c r="G267"/>
  <c r="H267" s="1"/>
  <c r="I563"/>
  <c r="C535"/>
  <c r="G535"/>
  <c r="I526"/>
  <c r="G498"/>
  <c r="C498"/>
  <c r="I489"/>
  <c r="G461"/>
  <c r="C461"/>
  <c r="I452"/>
  <c r="Q431"/>
  <c r="E423"/>
  <c r="H415"/>
  <c r="C416"/>
  <c r="G416" s="1"/>
  <c r="Q269"/>
  <c r="H386"/>
  <c r="C387"/>
  <c r="G387" s="1"/>
  <c r="Q378"/>
  <c r="H378"/>
  <c r="E357"/>
  <c r="H349"/>
  <c r="C342"/>
  <c r="G342" s="1"/>
  <c r="H341"/>
  <c r="H320"/>
  <c r="H312"/>
  <c r="C313"/>
  <c r="G313" s="1"/>
  <c r="P262"/>
  <c r="P285"/>
  <c r="G287"/>
  <c r="K287"/>
  <c r="O287"/>
  <c r="C287"/>
  <c r="P286"/>
  <c r="F287"/>
  <c r="J287"/>
  <c r="N287"/>
  <c r="R287"/>
  <c r="E287"/>
  <c r="I287"/>
  <c r="M287"/>
  <c r="Q287"/>
  <c r="D287"/>
  <c r="H287"/>
  <c r="L287"/>
  <c r="P287"/>
  <c r="Q286"/>
  <c r="H269"/>
  <c r="G279"/>
  <c r="K279"/>
  <c r="O279"/>
  <c r="C279"/>
  <c r="P278"/>
  <c r="F279"/>
  <c r="J279"/>
  <c r="N279"/>
  <c r="R279"/>
  <c r="E279"/>
  <c r="I279"/>
  <c r="M279"/>
  <c r="Q279"/>
  <c r="D279"/>
  <c r="H279"/>
  <c r="L279"/>
  <c r="P279"/>
  <c r="Q278"/>
  <c r="Q268"/>
  <c r="P268"/>
  <c r="G271"/>
  <c r="K271"/>
  <c r="O271"/>
  <c r="C271"/>
  <c r="P270"/>
  <c r="F271"/>
  <c r="J271"/>
  <c r="N271"/>
  <c r="R271"/>
  <c r="E271"/>
  <c r="I271"/>
  <c r="M271"/>
  <c r="Q271"/>
  <c r="D271"/>
  <c r="H271"/>
  <c r="L271"/>
  <c r="P271"/>
  <c r="Q270"/>
  <c r="P246"/>
  <c r="G250"/>
  <c r="K250"/>
  <c r="O250"/>
  <c r="C250"/>
  <c r="P249"/>
  <c r="F250"/>
  <c r="J250"/>
  <c r="N250"/>
  <c r="R250"/>
  <c r="E250"/>
  <c r="I250"/>
  <c r="M250"/>
  <c r="Q250"/>
  <c r="D250"/>
  <c r="H250"/>
  <c r="L250"/>
  <c r="P250"/>
  <c r="Q249"/>
  <c r="P238"/>
  <c r="F242"/>
  <c r="J242"/>
  <c r="N242"/>
  <c r="C242"/>
  <c r="P241"/>
  <c r="E242"/>
  <c r="I242"/>
  <c r="M242"/>
  <c r="Q242"/>
  <c r="D242"/>
  <c r="H242"/>
  <c r="L242"/>
  <c r="P242"/>
  <c r="R242"/>
  <c r="G242"/>
  <c r="K242"/>
  <c r="O242"/>
  <c r="Q241"/>
  <c r="AA223"/>
  <c r="G234"/>
  <c r="K234"/>
  <c r="O234"/>
  <c r="C234"/>
  <c r="P233"/>
  <c r="F234"/>
  <c r="J234"/>
  <c r="N234"/>
  <c r="R234"/>
  <c r="E234"/>
  <c r="I234"/>
  <c r="M234"/>
  <c r="Q234"/>
  <c r="D234"/>
  <c r="H234"/>
  <c r="L234"/>
  <c r="P234"/>
  <c r="Q233"/>
  <c r="B209"/>
  <c r="B210" s="1"/>
  <c r="B211" s="1"/>
  <c r="B212" s="1"/>
  <c r="F213"/>
  <c r="J213"/>
  <c r="N213"/>
  <c r="C213"/>
  <c r="P212"/>
  <c r="E213"/>
  <c r="I213"/>
  <c r="M213"/>
  <c r="Q213"/>
  <c r="D213"/>
  <c r="H213"/>
  <c r="L213"/>
  <c r="P213"/>
  <c r="R213"/>
  <c r="G213"/>
  <c r="K213"/>
  <c r="O213"/>
  <c r="Q212"/>
  <c r="B201"/>
  <c r="B202" s="1"/>
  <c r="B203" s="1"/>
  <c r="B204" s="1"/>
  <c r="G205"/>
  <c r="K205"/>
  <c r="O205"/>
  <c r="C205"/>
  <c r="P204"/>
  <c r="F205"/>
  <c r="J205"/>
  <c r="N205"/>
  <c r="R205"/>
  <c r="E205"/>
  <c r="I205"/>
  <c r="M205"/>
  <c r="Q205"/>
  <c r="D205"/>
  <c r="H205"/>
  <c r="L205"/>
  <c r="P205"/>
  <c r="Q204"/>
  <c r="P194"/>
  <c r="G197"/>
  <c r="K197"/>
  <c r="O197"/>
  <c r="C197"/>
  <c r="H197"/>
  <c r="L197"/>
  <c r="F197"/>
  <c r="J197"/>
  <c r="N197"/>
  <c r="R197"/>
  <c r="Q196"/>
  <c r="E197"/>
  <c r="I197"/>
  <c r="M197"/>
  <c r="Q197"/>
  <c r="C196"/>
  <c r="G196" s="1"/>
  <c r="P196"/>
  <c r="D197"/>
  <c r="P197"/>
  <c r="G172"/>
  <c r="C119"/>
  <c r="C120" s="1"/>
  <c r="C247"/>
  <c r="J273"/>
  <c r="G230"/>
  <c r="H230" s="1"/>
  <c r="X54"/>
  <c r="Q232"/>
  <c r="H232"/>
  <c r="X75"/>
  <c r="B24"/>
  <c r="B25" s="1"/>
  <c r="B26" s="1"/>
  <c r="B27" s="1"/>
  <c r="B16"/>
  <c r="B17" s="1"/>
  <c r="B18" s="1"/>
  <c r="B19" s="1"/>
  <c r="AA1"/>
  <c r="Q285"/>
  <c r="Q230"/>
  <c r="C283"/>
  <c r="D283" s="1"/>
  <c r="X25"/>
  <c r="H285"/>
  <c r="X284"/>
  <c r="C284"/>
  <c r="P269"/>
  <c r="AA260"/>
  <c r="J151"/>
  <c r="J236"/>
  <c r="Q267"/>
  <c r="X17"/>
  <c r="P14"/>
  <c r="G16"/>
  <c r="H16" s="1"/>
  <c r="J14"/>
  <c r="C16"/>
  <c r="C17" s="1"/>
  <c r="X112"/>
  <c r="X38"/>
  <c r="W1"/>
  <c r="P3"/>
  <c r="B8"/>
  <c r="B9" s="1"/>
  <c r="B10" s="1"/>
  <c r="B11" s="1"/>
  <c r="C8"/>
  <c r="G82"/>
  <c r="B82"/>
  <c r="B83" s="1"/>
  <c r="B84" s="1"/>
  <c r="B85" s="1"/>
  <c r="C127"/>
  <c r="E127" s="1"/>
  <c r="B127"/>
  <c r="B128" s="1"/>
  <c r="B129" s="1"/>
  <c r="B130" s="1"/>
  <c r="C172"/>
  <c r="B172"/>
  <c r="B173" s="1"/>
  <c r="B174" s="1"/>
  <c r="B175" s="1"/>
  <c r="B283"/>
  <c r="B284" s="1"/>
  <c r="B285" s="1"/>
  <c r="B286" s="1"/>
  <c r="P193"/>
  <c r="P201"/>
  <c r="P211"/>
  <c r="P232"/>
  <c r="P240"/>
  <c r="P248"/>
  <c r="P283"/>
  <c r="X445"/>
  <c r="W556"/>
  <c r="X557"/>
  <c r="X593"/>
  <c r="W704"/>
  <c r="X705"/>
  <c r="X741"/>
  <c r="W815"/>
  <c r="X816"/>
  <c r="X852"/>
  <c r="W960"/>
  <c r="X961"/>
  <c r="X994"/>
  <c r="W1096"/>
  <c r="X1097"/>
  <c r="X1130"/>
  <c r="X62"/>
  <c r="B61"/>
  <c r="B62" s="1"/>
  <c r="B63" s="1"/>
  <c r="B64" s="1"/>
  <c r="G119"/>
  <c r="I119" s="1"/>
  <c r="B119"/>
  <c r="B120" s="1"/>
  <c r="B121" s="1"/>
  <c r="B122" s="1"/>
  <c r="C164"/>
  <c r="B164"/>
  <c r="B165" s="1"/>
  <c r="B166" s="1"/>
  <c r="B167" s="1"/>
  <c r="B275"/>
  <c r="B276" s="1"/>
  <c r="B277" s="1"/>
  <c r="B278" s="1"/>
  <c r="X186"/>
  <c r="X260"/>
  <c r="X297"/>
  <c r="X371"/>
  <c r="X408"/>
  <c r="AA186"/>
  <c r="X202"/>
  <c r="P209"/>
  <c r="P230"/>
  <c r="P247"/>
  <c r="P276"/>
  <c r="W445"/>
  <c r="X446"/>
  <c r="X482"/>
  <c r="W593"/>
  <c r="X594"/>
  <c r="X630"/>
  <c r="W741"/>
  <c r="X742"/>
  <c r="W852"/>
  <c r="X853"/>
  <c r="X889"/>
  <c r="W994"/>
  <c r="X995"/>
  <c r="X1028"/>
  <c r="W1130"/>
  <c r="X1131"/>
  <c r="X1164"/>
  <c r="C53"/>
  <c r="B53"/>
  <c r="B54" s="1"/>
  <c r="B55" s="1"/>
  <c r="B56" s="1"/>
  <c r="C98"/>
  <c r="B98"/>
  <c r="B99" s="1"/>
  <c r="B100" s="1"/>
  <c r="B101" s="1"/>
  <c r="G156"/>
  <c r="B156"/>
  <c r="B157" s="1"/>
  <c r="B158" s="1"/>
  <c r="B159" s="1"/>
  <c r="B238"/>
  <c r="B239" s="1"/>
  <c r="B240" s="1"/>
  <c r="B241" s="1"/>
  <c r="B267"/>
  <c r="B268" s="1"/>
  <c r="B269" s="1"/>
  <c r="B270" s="1"/>
  <c r="X149"/>
  <c r="X223"/>
  <c r="X334"/>
  <c r="X1"/>
  <c r="C9"/>
  <c r="X2"/>
  <c r="W38"/>
  <c r="W75"/>
  <c r="W112"/>
  <c r="W149"/>
  <c r="W186"/>
  <c r="W223"/>
  <c r="W260"/>
  <c r="W297"/>
  <c r="W334"/>
  <c r="W371"/>
  <c r="W408"/>
  <c r="G8"/>
  <c r="C82"/>
  <c r="Q231"/>
  <c r="AA149"/>
  <c r="P202"/>
  <c r="X239"/>
  <c r="P267"/>
  <c r="P277"/>
  <c r="P284"/>
  <c r="W482"/>
  <c r="X483"/>
  <c r="X519"/>
  <c r="W630"/>
  <c r="X631"/>
  <c r="X667"/>
  <c r="X778"/>
  <c r="W889"/>
  <c r="X890"/>
  <c r="X926"/>
  <c r="W1028"/>
  <c r="X1029"/>
  <c r="X1062"/>
  <c r="W1164"/>
  <c r="X1165"/>
  <c r="X1198"/>
  <c r="G45"/>
  <c r="B45"/>
  <c r="B46" s="1"/>
  <c r="B47" s="1"/>
  <c r="B48" s="1"/>
  <c r="C90"/>
  <c r="B90"/>
  <c r="B91" s="1"/>
  <c r="B92" s="1"/>
  <c r="B93" s="1"/>
  <c r="X136"/>
  <c r="B135"/>
  <c r="B136" s="1"/>
  <c r="B137" s="1"/>
  <c r="B138" s="1"/>
  <c r="G193"/>
  <c r="H193" s="1"/>
  <c r="B193"/>
  <c r="B194" s="1"/>
  <c r="B230"/>
  <c r="B231" s="1"/>
  <c r="B232" s="1"/>
  <c r="B233" s="1"/>
  <c r="B246"/>
  <c r="B247" s="1"/>
  <c r="B248" s="1"/>
  <c r="B249" s="1"/>
  <c r="X39"/>
  <c r="X76"/>
  <c r="X113"/>
  <c r="X150"/>
  <c r="X187"/>
  <c r="X224"/>
  <c r="X261"/>
  <c r="X298"/>
  <c r="X335"/>
  <c r="X372"/>
  <c r="X409"/>
  <c r="AA112"/>
  <c r="P195"/>
  <c r="P203"/>
  <c r="P210"/>
  <c r="P231"/>
  <c r="P239"/>
  <c r="P275"/>
  <c r="W519"/>
  <c r="X520"/>
  <c r="X556"/>
  <c r="W667"/>
  <c r="X668"/>
  <c r="X704"/>
  <c r="W778"/>
  <c r="X779"/>
  <c r="X815"/>
  <c r="W926"/>
  <c r="X927"/>
  <c r="X960"/>
  <c r="W1062"/>
  <c r="X1063"/>
  <c r="X1096"/>
  <c r="W1198"/>
  <c r="X1199"/>
  <c r="H357"/>
  <c r="H423"/>
  <c r="I267"/>
  <c r="C305"/>
  <c r="G305" s="1"/>
  <c r="E415"/>
  <c r="H431"/>
  <c r="E1212"/>
  <c r="M1212" s="1"/>
  <c r="E1076"/>
  <c r="M1076" s="1"/>
  <c r="E940"/>
  <c r="M940" s="1"/>
  <c r="E974"/>
  <c r="M974" s="1"/>
  <c r="G1206"/>
  <c r="F1178"/>
  <c r="N1178" s="1"/>
  <c r="J1178"/>
  <c r="E1178"/>
  <c r="M1178" s="1"/>
  <c r="I1178"/>
  <c r="D1178"/>
  <c r="L1178" s="1"/>
  <c r="H1178"/>
  <c r="D1144"/>
  <c r="L1144" s="1"/>
  <c r="H1144"/>
  <c r="H1137"/>
  <c r="I1110"/>
  <c r="E1110"/>
  <c r="M1110" s="1"/>
  <c r="D1076"/>
  <c r="L1076" s="1"/>
  <c r="I1076"/>
  <c r="H1076"/>
  <c r="F1042"/>
  <c r="N1042" s="1"/>
  <c r="J1042"/>
  <c r="E1042"/>
  <c r="M1042" s="1"/>
  <c r="I1042"/>
  <c r="D1042"/>
  <c r="L1042" s="1"/>
  <c r="H1042"/>
  <c r="I1008"/>
  <c r="E1008"/>
  <c r="M1008" s="1"/>
  <c r="D974"/>
  <c r="L974" s="1"/>
  <c r="I974"/>
  <c r="H974"/>
  <c r="D940"/>
  <c r="L940" s="1"/>
  <c r="I940"/>
  <c r="H940"/>
  <c r="H933"/>
  <c r="E904"/>
  <c r="I904"/>
  <c r="I867"/>
  <c r="E867"/>
  <c r="I830"/>
  <c r="E830"/>
  <c r="M830" s="1"/>
  <c r="E793"/>
  <c r="I793"/>
  <c r="H756"/>
  <c r="E756"/>
  <c r="J756"/>
  <c r="D756"/>
  <c r="I756"/>
  <c r="E719"/>
  <c r="I719"/>
  <c r="E682"/>
  <c r="I682"/>
  <c r="I645"/>
  <c r="E645"/>
  <c r="I608"/>
  <c r="E608"/>
  <c r="H571"/>
  <c r="E571"/>
  <c r="J571"/>
  <c r="D571"/>
  <c r="I571"/>
  <c r="E534"/>
  <c r="I534"/>
  <c r="E497"/>
  <c r="I497"/>
  <c r="E431"/>
  <c r="D431"/>
  <c r="I431"/>
  <c r="C432"/>
  <c r="G432" s="1"/>
  <c r="I432" s="1"/>
  <c r="D423"/>
  <c r="I423"/>
  <c r="C424"/>
  <c r="G424" s="1"/>
  <c r="H424" s="1"/>
  <c r="Q423"/>
  <c r="D416"/>
  <c r="E416"/>
  <c r="Q415"/>
  <c r="D415"/>
  <c r="I415"/>
  <c r="G1213"/>
  <c r="K1213" s="1"/>
  <c r="C1214"/>
  <c r="C1215" s="1"/>
  <c r="D1213"/>
  <c r="E1213"/>
  <c r="F1213"/>
  <c r="D1205"/>
  <c r="H1205"/>
  <c r="K1219"/>
  <c r="C1220"/>
  <c r="G1220"/>
  <c r="K1205"/>
  <c r="C1206"/>
  <c r="J1205"/>
  <c r="D1212"/>
  <c r="H1212"/>
  <c r="E1219"/>
  <c r="I1219"/>
  <c r="E1205"/>
  <c r="K1212"/>
  <c r="D1219"/>
  <c r="F1219" s="1"/>
  <c r="H1219"/>
  <c r="J1219" s="1"/>
  <c r="K1179"/>
  <c r="C1180"/>
  <c r="C1181" s="1"/>
  <c r="D1179"/>
  <c r="E1179"/>
  <c r="F1179"/>
  <c r="G1180"/>
  <c r="G1181" s="1"/>
  <c r="H1179"/>
  <c r="I1179"/>
  <c r="J1179" s="1"/>
  <c r="D1171"/>
  <c r="H1171"/>
  <c r="K1185"/>
  <c r="C1186"/>
  <c r="G1186"/>
  <c r="K1171"/>
  <c r="C1172"/>
  <c r="G1172"/>
  <c r="F1171"/>
  <c r="J1171"/>
  <c r="E1185"/>
  <c r="I1185"/>
  <c r="E1171"/>
  <c r="K1178"/>
  <c r="D1185"/>
  <c r="H1185"/>
  <c r="K1145"/>
  <c r="C1146"/>
  <c r="C1147" s="1"/>
  <c r="D1145"/>
  <c r="L1145" s="1"/>
  <c r="E1145"/>
  <c r="F1145"/>
  <c r="G1146"/>
  <c r="G1147" s="1"/>
  <c r="H1145"/>
  <c r="J1145" s="1"/>
  <c r="I1145"/>
  <c r="L1137"/>
  <c r="K1151"/>
  <c r="C1152"/>
  <c r="G1152"/>
  <c r="K1137"/>
  <c r="C1138"/>
  <c r="G1138"/>
  <c r="E1144"/>
  <c r="F1144" s="1"/>
  <c r="I1144"/>
  <c r="F1137"/>
  <c r="J1137"/>
  <c r="E1151"/>
  <c r="I1151"/>
  <c r="E1137"/>
  <c r="K1144"/>
  <c r="D1151"/>
  <c r="H1151"/>
  <c r="K1111"/>
  <c r="C1112"/>
  <c r="D1111"/>
  <c r="L1111" s="1"/>
  <c r="E1111"/>
  <c r="F1111"/>
  <c r="G1112"/>
  <c r="G1113" s="1"/>
  <c r="H1111"/>
  <c r="I1111"/>
  <c r="J1111" s="1"/>
  <c r="D1103"/>
  <c r="H1103"/>
  <c r="J1110"/>
  <c r="K1117"/>
  <c r="C1118"/>
  <c r="G1118"/>
  <c r="K1103"/>
  <c r="C1104"/>
  <c r="G1104"/>
  <c r="J1103"/>
  <c r="D1110"/>
  <c r="H1110"/>
  <c r="E1117"/>
  <c r="I1117"/>
  <c r="E1103"/>
  <c r="K1110"/>
  <c r="D1117"/>
  <c r="H1117"/>
  <c r="G1078"/>
  <c r="G1079" s="1"/>
  <c r="H1077"/>
  <c r="I1077"/>
  <c r="K1077"/>
  <c r="C1078"/>
  <c r="C1079" s="1"/>
  <c r="D1077"/>
  <c r="E1077"/>
  <c r="M1077" s="1"/>
  <c r="J1077"/>
  <c r="F1077"/>
  <c r="D1069"/>
  <c r="H1069"/>
  <c r="F1076"/>
  <c r="J1076"/>
  <c r="K1083"/>
  <c r="C1084"/>
  <c r="G1084"/>
  <c r="K1069"/>
  <c r="C1070"/>
  <c r="G1070"/>
  <c r="F1069"/>
  <c r="J1069"/>
  <c r="E1083"/>
  <c r="I1083"/>
  <c r="E1069"/>
  <c r="K1076"/>
  <c r="D1083"/>
  <c r="H1083"/>
  <c r="K1043"/>
  <c r="C1044"/>
  <c r="C1045" s="1"/>
  <c r="D1043"/>
  <c r="E1043"/>
  <c r="M1043" s="1"/>
  <c r="F1043"/>
  <c r="G1044"/>
  <c r="G1045" s="1"/>
  <c r="H1043"/>
  <c r="J1043" s="1"/>
  <c r="I1043"/>
  <c r="D1035"/>
  <c r="H1035"/>
  <c r="K1049"/>
  <c r="C1050"/>
  <c r="G1050"/>
  <c r="K1035"/>
  <c r="C1036"/>
  <c r="G1036"/>
  <c r="F1035"/>
  <c r="J1035"/>
  <c r="E1049"/>
  <c r="I1049"/>
  <c r="E1035"/>
  <c r="K1042"/>
  <c r="D1049"/>
  <c r="H1049"/>
  <c r="K1009"/>
  <c r="C1010"/>
  <c r="F1010" s="1"/>
  <c r="D1009"/>
  <c r="E1009"/>
  <c r="M1009" s="1"/>
  <c r="F1009"/>
  <c r="N1009" s="1"/>
  <c r="H1009"/>
  <c r="J1009" s="1"/>
  <c r="I1009"/>
  <c r="D1001"/>
  <c r="H1001"/>
  <c r="K1015"/>
  <c r="C1016"/>
  <c r="G1016"/>
  <c r="K1001"/>
  <c r="C1002"/>
  <c r="G1002"/>
  <c r="F1001"/>
  <c r="J1001"/>
  <c r="D1008"/>
  <c r="H1008"/>
  <c r="J1008" s="1"/>
  <c r="G1011"/>
  <c r="E1015"/>
  <c r="I1015"/>
  <c r="E1001"/>
  <c r="K1008"/>
  <c r="F1015"/>
  <c r="H1015"/>
  <c r="G976"/>
  <c r="G977" s="1"/>
  <c r="H975"/>
  <c r="J975" s="1"/>
  <c r="I975"/>
  <c r="K975"/>
  <c r="C976"/>
  <c r="C977" s="1"/>
  <c r="D975"/>
  <c r="L975" s="1"/>
  <c r="E975"/>
  <c r="M975" s="1"/>
  <c r="F975"/>
  <c r="D967"/>
  <c r="H967"/>
  <c r="F974"/>
  <c r="J974"/>
  <c r="K981"/>
  <c r="C982"/>
  <c r="G982"/>
  <c r="K967"/>
  <c r="C968"/>
  <c r="G968"/>
  <c r="J967"/>
  <c r="E981"/>
  <c r="I981"/>
  <c r="E967"/>
  <c r="K974"/>
  <c r="D981"/>
  <c r="H981"/>
  <c r="J933"/>
  <c r="K941"/>
  <c r="C942"/>
  <c r="C943" s="1"/>
  <c r="D941"/>
  <c r="E941"/>
  <c r="F941"/>
  <c r="H941"/>
  <c r="I941"/>
  <c r="G942"/>
  <c r="G943" s="1"/>
  <c r="L933"/>
  <c r="F940"/>
  <c r="J940"/>
  <c r="K947"/>
  <c r="C948"/>
  <c r="G948"/>
  <c r="K933"/>
  <c r="C934"/>
  <c r="G934"/>
  <c r="J947"/>
  <c r="E933"/>
  <c r="K940"/>
  <c r="D947"/>
  <c r="F947" s="1"/>
  <c r="H947"/>
  <c r="K905"/>
  <c r="C906"/>
  <c r="C908" s="1"/>
  <c r="D905"/>
  <c r="E905"/>
  <c r="M905" s="1"/>
  <c r="F905"/>
  <c r="G906"/>
  <c r="G908" s="1"/>
  <c r="H905"/>
  <c r="J905" s="1"/>
  <c r="I905"/>
  <c r="D896"/>
  <c r="H896"/>
  <c r="K912"/>
  <c r="C913"/>
  <c r="G913"/>
  <c r="K896"/>
  <c r="C897"/>
  <c r="G897"/>
  <c r="F896"/>
  <c r="J896"/>
  <c r="D904"/>
  <c r="H904"/>
  <c r="E912"/>
  <c r="I912"/>
  <c r="E896"/>
  <c r="K904"/>
  <c r="D912"/>
  <c r="H912"/>
  <c r="K868"/>
  <c r="C869"/>
  <c r="C871" s="1"/>
  <c r="D868"/>
  <c r="E868"/>
  <c r="M868" s="1"/>
  <c r="F868"/>
  <c r="G869"/>
  <c r="G871" s="1"/>
  <c r="H868"/>
  <c r="J868" s="1"/>
  <c r="I868"/>
  <c r="D859"/>
  <c r="H859"/>
  <c r="K875"/>
  <c r="C876"/>
  <c r="G876"/>
  <c r="K859"/>
  <c r="C860"/>
  <c r="G860"/>
  <c r="F859"/>
  <c r="J859"/>
  <c r="D867"/>
  <c r="H867"/>
  <c r="E875"/>
  <c r="I875"/>
  <c r="E859"/>
  <c r="K867"/>
  <c r="D875"/>
  <c r="H875"/>
  <c r="K831"/>
  <c r="C832"/>
  <c r="D831"/>
  <c r="E831"/>
  <c r="M831" s="1"/>
  <c r="F831"/>
  <c r="G832"/>
  <c r="H831"/>
  <c r="J831" s="1"/>
  <c r="I831"/>
  <c r="D822"/>
  <c r="H822"/>
  <c r="K838"/>
  <c r="C839"/>
  <c r="G839"/>
  <c r="K822"/>
  <c r="C823"/>
  <c r="G823"/>
  <c r="F822"/>
  <c r="J822"/>
  <c r="D830"/>
  <c r="H830"/>
  <c r="J830" s="1"/>
  <c r="E838"/>
  <c r="I838"/>
  <c r="E822"/>
  <c r="K830"/>
  <c r="D838"/>
  <c r="H838"/>
  <c r="K794"/>
  <c r="C795"/>
  <c r="C797" s="1"/>
  <c r="D794"/>
  <c r="E794"/>
  <c r="M794" s="1"/>
  <c r="F794"/>
  <c r="G795"/>
  <c r="G797" s="1"/>
  <c r="H794"/>
  <c r="J794" s="1"/>
  <c r="I794"/>
  <c r="D785"/>
  <c r="H785"/>
  <c r="K801"/>
  <c r="C802"/>
  <c r="G802"/>
  <c r="K785"/>
  <c r="C786"/>
  <c r="G786"/>
  <c r="F785"/>
  <c r="J785"/>
  <c r="D793"/>
  <c r="H793"/>
  <c r="E801"/>
  <c r="I801"/>
  <c r="E785"/>
  <c r="K793"/>
  <c r="D801"/>
  <c r="H801"/>
  <c r="K757"/>
  <c r="C758"/>
  <c r="C760" s="1"/>
  <c r="D757"/>
  <c r="E757"/>
  <c r="M757" s="1"/>
  <c r="F757"/>
  <c r="G758"/>
  <c r="G760" s="1"/>
  <c r="H757"/>
  <c r="J757" s="1"/>
  <c r="I757"/>
  <c r="D748"/>
  <c r="H748"/>
  <c r="F756"/>
  <c r="K764"/>
  <c r="C765"/>
  <c r="G765"/>
  <c r="K748"/>
  <c r="C749"/>
  <c r="G749"/>
  <c r="F748"/>
  <c r="J748"/>
  <c r="E764"/>
  <c r="I764"/>
  <c r="E748"/>
  <c r="K756"/>
  <c r="D764"/>
  <c r="H764"/>
  <c r="K720"/>
  <c r="C721"/>
  <c r="D720"/>
  <c r="E720"/>
  <c r="M720" s="1"/>
  <c r="F720"/>
  <c r="G721"/>
  <c r="G723" s="1"/>
  <c r="H720"/>
  <c r="J720" s="1"/>
  <c r="I720"/>
  <c r="D711"/>
  <c r="H711"/>
  <c r="K727"/>
  <c r="C728"/>
  <c r="G728"/>
  <c r="K711"/>
  <c r="C712"/>
  <c r="G712"/>
  <c r="F711"/>
  <c r="J711"/>
  <c r="D719"/>
  <c r="H719"/>
  <c r="E727"/>
  <c r="I727"/>
  <c r="E711"/>
  <c r="K719"/>
  <c r="D727"/>
  <c r="H727"/>
  <c r="K683"/>
  <c r="C684"/>
  <c r="D683"/>
  <c r="E683"/>
  <c r="M683" s="1"/>
  <c r="F683"/>
  <c r="G684"/>
  <c r="H683"/>
  <c r="J683" s="1"/>
  <c r="I683"/>
  <c r="D674"/>
  <c r="H674"/>
  <c r="K690"/>
  <c r="C691"/>
  <c r="G691"/>
  <c r="K674"/>
  <c r="C675"/>
  <c r="G675"/>
  <c r="F674"/>
  <c r="J674"/>
  <c r="D682"/>
  <c r="H682"/>
  <c r="E690"/>
  <c r="I690"/>
  <c r="E674"/>
  <c r="K682"/>
  <c r="D690"/>
  <c r="H690"/>
  <c r="K646"/>
  <c r="C647"/>
  <c r="C649" s="1"/>
  <c r="D646"/>
  <c r="E646"/>
  <c r="M646" s="1"/>
  <c r="F646"/>
  <c r="G647"/>
  <c r="G649" s="1"/>
  <c r="H646"/>
  <c r="J646" s="1"/>
  <c r="I646"/>
  <c r="D637"/>
  <c r="H637"/>
  <c r="K653"/>
  <c r="C654"/>
  <c r="G654"/>
  <c r="K637"/>
  <c r="C638"/>
  <c r="G638"/>
  <c r="F637"/>
  <c r="J637"/>
  <c r="D645"/>
  <c r="H645"/>
  <c r="E653"/>
  <c r="I653"/>
  <c r="E637"/>
  <c r="K645"/>
  <c r="D653"/>
  <c r="H653"/>
  <c r="K609"/>
  <c r="C610"/>
  <c r="C612" s="1"/>
  <c r="D609"/>
  <c r="E609"/>
  <c r="M609" s="1"/>
  <c r="F609"/>
  <c r="G610"/>
  <c r="G612" s="1"/>
  <c r="H609"/>
  <c r="J609" s="1"/>
  <c r="I609"/>
  <c r="D600"/>
  <c r="H600"/>
  <c r="K616"/>
  <c r="C617"/>
  <c r="G617"/>
  <c r="K600"/>
  <c r="C601"/>
  <c r="G601"/>
  <c r="F600"/>
  <c r="J600"/>
  <c r="D608"/>
  <c r="H608"/>
  <c r="E616"/>
  <c r="I616"/>
  <c r="E600"/>
  <c r="K608"/>
  <c r="D616"/>
  <c r="H616"/>
  <c r="K572"/>
  <c r="C573"/>
  <c r="C575" s="1"/>
  <c r="D572"/>
  <c r="E572"/>
  <c r="M572" s="1"/>
  <c r="F572"/>
  <c r="G573"/>
  <c r="G575" s="1"/>
  <c r="H572"/>
  <c r="J572" s="1"/>
  <c r="I572"/>
  <c r="D563"/>
  <c r="H563"/>
  <c r="F571"/>
  <c r="K579"/>
  <c r="C580"/>
  <c r="G580"/>
  <c r="K563"/>
  <c r="C564"/>
  <c r="G564"/>
  <c r="J563"/>
  <c r="E579"/>
  <c r="I579"/>
  <c r="E563"/>
  <c r="K571"/>
  <c r="D579"/>
  <c r="H579"/>
  <c r="K535"/>
  <c r="C536"/>
  <c r="D535"/>
  <c r="E535"/>
  <c r="F535"/>
  <c r="G536"/>
  <c r="H535"/>
  <c r="J535" s="1"/>
  <c r="I535"/>
  <c r="D526"/>
  <c r="H526"/>
  <c r="K542"/>
  <c r="C543"/>
  <c r="G543"/>
  <c r="K526"/>
  <c r="C527"/>
  <c r="G527"/>
  <c r="J526"/>
  <c r="D534"/>
  <c r="H534"/>
  <c r="E542"/>
  <c r="I542"/>
  <c r="E526"/>
  <c r="K534"/>
  <c r="D542"/>
  <c r="H542"/>
  <c r="K498"/>
  <c r="C499"/>
  <c r="D498"/>
  <c r="E498"/>
  <c r="M498" s="1"/>
  <c r="F498"/>
  <c r="G499"/>
  <c r="H498"/>
  <c r="J498" s="1"/>
  <c r="I498"/>
  <c r="D489"/>
  <c r="H489"/>
  <c r="K505"/>
  <c r="C506"/>
  <c r="G506"/>
  <c r="K489"/>
  <c r="C490"/>
  <c r="G490"/>
  <c r="F489"/>
  <c r="J489"/>
  <c r="D497"/>
  <c r="H497"/>
  <c r="E505"/>
  <c r="I505"/>
  <c r="E489"/>
  <c r="K497"/>
  <c r="D505"/>
  <c r="H505"/>
  <c r="G462"/>
  <c r="G464" s="1"/>
  <c r="H461"/>
  <c r="J461" s="1"/>
  <c r="I461"/>
  <c r="K461"/>
  <c r="C462"/>
  <c r="D461"/>
  <c r="E461"/>
  <c r="M461" s="1"/>
  <c r="D452"/>
  <c r="H452"/>
  <c r="K468"/>
  <c r="C469"/>
  <c r="G469"/>
  <c r="K452"/>
  <c r="C453"/>
  <c r="G453"/>
  <c r="E460"/>
  <c r="I460"/>
  <c r="J452"/>
  <c r="D460"/>
  <c r="H460"/>
  <c r="E468"/>
  <c r="I468"/>
  <c r="E452"/>
  <c r="K460"/>
  <c r="D468"/>
  <c r="H468"/>
  <c r="H394"/>
  <c r="C395"/>
  <c r="G395" s="1"/>
  <c r="Q394"/>
  <c r="E394"/>
  <c r="D394"/>
  <c r="I394"/>
  <c r="D387"/>
  <c r="L387" s="1"/>
  <c r="E387"/>
  <c r="Q387"/>
  <c r="Q386"/>
  <c r="E386"/>
  <c r="D386"/>
  <c r="I386"/>
  <c r="E378"/>
  <c r="D378"/>
  <c r="L378" s="1"/>
  <c r="I378"/>
  <c r="C379"/>
  <c r="G379" s="1"/>
  <c r="D357"/>
  <c r="I357"/>
  <c r="C358"/>
  <c r="G358" s="1"/>
  <c r="H358" s="1"/>
  <c r="Q357"/>
  <c r="C350"/>
  <c r="Q349"/>
  <c r="E349"/>
  <c r="D349"/>
  <c r="I349"/>
  <c r="D342"/>
  <c r="E342"/>
  <c r="Q341"/>
  <c r="E341"/>
  <c r="D341"/>
  <c r="I341"/>
  <c r="C321"/>
  <c r="G321" s="1"/>
  <c r="Q320"/>
  <c r="E320"/>
  <c r="D320"/>
  <c r="I320"/>
  <c r="D313"/>
  <c r="L313" s="1"/>
  <c r="E313"/>
  <c r="M313" s="1"/>
  <c r="Q313"/>
  <c r="Q312"/>
  <c r="E312"/>
  <c r="D312"/>
  <c r="I312"/>
  <c r="H305"/>
  <c r="I305"/>
  <c r="D304"/>
  <c r="I304"/>
  <c r="H304"/>
  <c r="Q304"/>
  <c r="E304"/>
  <c r="P281"/>
  <c r="G283"/>
  <c r="Q283"/>
  <c r="Q284"/>
  <c r="J281"/>
  <c r="E283"/>
  <c r="E284"/>
  <c r="I285"/>
  <c r="C275"/>
  <c r="K275" s="1"/>
  <c r="C276"/>
  <c r="X276"/>
  <c r="Q277"/>
  <c r="P273"/>
  <c r="G275"/>
  <c r="Q275"/>
  <c r="Q276"/>
  <c r="J262"/>
  <c r="C267"/>
  <c r="J267" s="1"/>
  <c r="C268"/>
  <c r="G268" s="1"/>
  <c r="I268" s="1"/>
  <c r="C246"/>
  <c r="D246" s="1"/>
  <c r="Q248"/>
  <c r="H248"/>
  <c r="X247"/>
  <c r="P244"/>
  <c r="G246"/>
  <c r="Q246"/>
  <c r="Q247"/>
  <c r="J244"/>
  <c r="E247"/>
  <c r="C238"/>
  <c r="K238" s="1"/>
  <c r="C239"/>
  <c r="Q240"/>
  <c r="P236"/>
  <c r="G238"/>
  <c r="Q238"/>
  <c r="Q239"/>
  <c r="C230"/>
  <c r="P225"/>
  <c r="I230"/>
  <c r="I232"/>
  <c r="J225"/>
  <c r="C231"/>
  <c r="G231" s="1"/>
  <c r="H231" s="1"/>
  <c r="J170"/>
  <c r="C165"/>
  <c r="J162"/>
  <c r="G164"/>
  <c r="P151"/>
  <c r="X128"/>
  <c r="G127"/>
  <c r="P125"/>
  <c r="G90"/>
  <c r="I90" s="1"/>
  <c r="G53"/>
  <c r="C45"/>
  <c r="D45" s="1"/>
  <c r="P40"/>
  <c r="H82"/>
  <c r="D203"/>
  <c r="H119"/>
  <c r="J207"/>
  <c r="P207"/>
  <c r="Q209"/>
  <c r="G209"/>
  <c r="Q210"/>
  <c r="C209"/>
  <c r="J209" s="1"/>
  <c r="C210"/>
  <c r="G210" s="1"/>
  <c r="X210"/>
  <c r="Q211"/>
  <c r="C201"/>
  <c r="K201" s="1"/>
  <c r="C202"/>
  <c r="Q203"/>
  <c r="P199"/>
  <c r="G201"/>
  <c r="Q201"/>
  <c r="Q202"/>
  <c r="J199"/>
  <c r="I193"/>
  <c r="C193"/>
  <c r="Q193" s="1"/>
  <c r="P188"/>
  <c r="J188"/>
  <c r="X173"/>
  <c r="E172"/>
  <c r="P170"/>
  <c r="P162"/>
  <c r="E164"/>
  <c r="D164"/>
  <c r="D156"/>
  <c r="I156"/>
  <c r="H156"/>
  <c r="P133"/>
  <c r="G135"/>
  <c r="J133"/>
  <c r="C135"/>
  <c r="D135" s="1"/>
  <c r="J125"/>
  <c r="P114"/>
  <c r="J114"/>
  <c r="G98"/>
  <c r="H98" s="1"/>
  <c r="P96"/>
  <c r="J96"/>
  <c r="X99"/>
  <c r="E90"/>
  <c r="P88"/>
  <c r="X91"/>
  <c r="J88"/>
  <c r="AA75"/>
  <c r="P77"/>
  <c r="J77"/>
  <c r="G61"/>
  <c r="C61"/>
  <c r="E61" s="1"/>
  <c r="P59"/>
  <c r="J59"/>
  <c r="P51"/>
  <c r="J51"/>
  <c r="E53"/>
  <c r="J40"/>
  <c r="AA38"/>
  <c r="G24"/>
  <c r="I24" s="1"/>
  <c r="C24"/>
  <c r="E24" s="1"/>
  <c r="P22"/>
  <c r="E17"/>
  <c r="D53"/>
  <c r="E82"/>
  <c r="D90"/>
  <c r="E98"/>
  <c r="E156"/>
  <c r="D172"/>
  <c r="I172"/>
  <c r="C54"/>
  <c r="G54" s="1"/>
  <c r="D82"/>
  <c r="I82"/>
  <c r="C91"/>
  <c r="G91" s="1"/>
  <c r="D98"/>
  <c r="C173"/>
  <c r="G173" s="1"/>
  <c r="C83"/>
  <c r="G83" s="1"/>
  <c r="C99"/>
  <c r="G99" s="1"/>
  <c r="C157"/>
  <c r="G157" s="1"/>
  <c r="D120"/>
  <c r="E120"/>
  <c r="E119"/>
  <c r="D119"/>
  <c r="K424"/>
  <c r="J415"/>
  <c r="K431"/>
  <c r="K415"/>
  <c r="K423"/>
  <c r="F431"/>
  <c r="K387"/>
  <c r="M387"/>
  <c r="K394"/>
  <c r="K378"/>
  <c r="J378"/>
  <c r="F378"/>
  <c r="K386"/>
  <c r="J341"/>
  <c r="F349"/>
  <c r="K357"/>
  <c r="K341"/>
  <c r="K349"/>
  <c r="K313"/>
  <c r="J304"/>
  <c r="K320"/>
  <c r="K304"/>
  <c r="F304"/>
  <c r="K312"/>
  <c r="F320"/>
  <c r="K283"/>
  <c r="K156"/>
  <c r="K119"/>
  <c r="K82"/>
  <c r="I16"/>
  <c r="D16"/>
  <c r="D9"/>
  <c r="E9"/>
  <c r="K16"/>
  <c r="E8"/>
  <c r="E10"/>
  <c r="D8"/>
  <c r="I8"/>
  <c r="H8"/>
  <c r="K8"/>
  <c r="P3" i="22"/>
  <c r="J3"/>
  <c r="X2"/>
  <c r="A2"/>
  <c r="AA1"/>
  <c r="X1"/>
  <c r="O6" s="1"/>
  <c r="W1"/>
  <c r="G8" i="21"/>
  <c r="C8"/>
  <c r="B8"/>
  <c r="P3"/>
  <c r="X2"/>
  <c r="A2"/>
  <c r="AA1"/>
  <c r="X1"/>
  <c r="C15" s="1"/>
  <c r="W1"/>
  <c r="G8" i="2"/>
  <c r="H8" s="1"/>
  <c r="B8"/>
  <c r="C8"/>
  <c r="P3"/>
  <c r="J3"/>
  <c r="X2"/>
  <c r="C15"/>
  <c r="W1"/>
  <c r="I231" i="23" l="1"/>
  <c r="G120"/>
  <c r="I358"/>
  <c r="K239"/>
  <c r="G239"/>
  <c r="K350"/>
  <c r="G350"/>
  <c r="D284"/>
  <c r="G284"/>
  <c r="I424"/>
  <c r="G435"/>
  <c r="H268"/>
  <c r="H432"/>
  <c r="K202"/>
  <c r="G202"/>
  <c r="D165"/>
  <c r="G165"/>
  <c r="D10"/>
  <c r="G9"/>
  <c r="H9" s="1"/>
  <c r="D17"/>
  <c r="G17"/>
  <c r="H17" s="1"/>
  <c r="K276"/>
  <c r="G276"/>
  <c r="D247"/>
  <c r="G247"/>
  <c r="B13" i="21"/>
  <c r="B11"/>
  <c r="C9"/>
  <c r="B9"/>
  <c r="G13"/>
  <c r="G9"/>
  <c r="G10" s="1"/>
  <c r="G11" s="1"/>
  <c r="G12" s="1"/>
  <c r="B12"/>
  <c r="B10"/>
  <c r="C10"/>
  <c r="C11" s="1"/>
  <c r="C9" i="2"/>
  <c r="G9"/>
  <c r="G10" s="1"/>
  <c r="G11" s="1"/>
  <c r="G12" s="1"/>
  <c r="G13" s="1"/>
  <c r="I269" i="23"/>
  <c r="F267"/>
  <c r="F912"/>
  <c r="J904"/>
  <c r="M904"/>
  <c r="F875"/>
  <c r="M867"/>
  <c r="J867"/>
  <c r="F838"/>
  <c r="F801"/>
  <c r="M793"/>
  <c r="J793"/>
  <c r="M756"/>
  <c r="L756"/>
  <c r="F727"/>
  <c r="C723"/>
  <c r="J719"/>
  <c r="M719"/>
  <c r="F690"/>
  <c r="G686"/>
  <c r="C686"/>
  <c r="M682"/>
  <c r="J682"/>
  <c r="F653"/>
  <c r="M645"/>
  <c r="J645"/>
  <c r="F616"/>
  <c r="J608"/>
  <c r="M608"/>
  <c r="L571"/>
  <c r="M571"/>
  <c r="K267"/>
  <c r="F542"/>
  <c r="C538"/>
  <c r="G538"/>
  <c r="M534"/>
  <c r="J534"/>
  <c r="G501"/>
  <c r="F505"/>
  <c r="C501"/>
  <c r="M497"/>
  <c r="J497"/>
  <c r="F468"/>
  <c r="J468"/>
  <c r="C464"/>
  <c r="G427"/>
  <c r="F452"/>
  <c r="C419"/>
  <c r="C390"/>
  <c r="E389"/>
  <c r="M389" s="1"/>
  <c r="K389"/>
  <c r="D389"/>
  <c r="L389" s="1"/>
  <c r="F389"/>
  <c r="N389" s="1"/>
  <c r="J389"/>
  <c r="Q389"/>
  <c r="G361"/>
  <c r="I360"/>
  <c r="H360"/>
  <c r="M349"/>
  <c r="L349"/>
  <c r="E344"/>
  <c r="M344" s="1"/>
  <c r="K344"/>
  <c r="Q344"/>
  <c r="F344"/>
  <c r="N344" s="1"/>
  <c r="D344"/>
  <c r="L344" s="1"/>
  <c r="J344"/>
  <c r="C345"/>
  <c r="C316"/>
  <c r="E315"/>
  <c r="M315" s="1"/>
  <c r="K315"/>
  <c r="Q315"/>
  <c r="F315"/>
  <c r="N315" s="1"/>
  <c r="D315"/>
  <c r="L315" s="1"/>
  <c r="J315"/>
  <c r="G308"/>
  <c r="I307"/>
  <c r="H307"/>
  <c r="E286"/>
  <c r="M286" s="1"/>
  <c r="K286"/>
  <c r="F286"/>
  <c r="N286" s="1"/>
  <c r="R286" s="1"/>
  <c r="D286"/>
  <c r="L286" s="1"/>
  <c r="J286"/>
  <c r="I286"/>
  <c r="H286"/>
  <c r="K172"/>
  <c r="I278"/>
  <c r="H278"/>
  <c r="E278"/>
  <c r="M278" s="1"/>
  <c r="K278"/>
  <c r="F278"/>
  <c r="N278" s="1"/>
  <c r="R278" s="1"/>
  <c r="D278"/>
  <c r="L278" s="1"/>
  <c r="J278"/>
  <c r="K127"/>
  <c r="E270"/>
  <c r="M270" s="1"/>
  <c r="K270"/>
  <c r="F270"/>
  <c r="N270" s="1"/>
  <c r="R270" s="1"/>
  <c r="D270"/>
  <c r="L270" s="1"/>
  <c r="J270"/>
  <c r="I270"/>
  <c r="H270"/>
  <c r="D127"/>
  <c r="F127" s="1"/>
  <c r="I249"/>
  <c r="H249"/>
  <c r="E249"/>
  <c r="M249" s="1"/>
  <c r="K249"/>
  <c r="F249"/>
  <c r="N249" s="1"/>
  <c r="R249" s="1"/>
  <c r="D249"/>
  <c r="L249" s="1"/>
  <c r="J249"/>
  <c r="I241"/>
  <c r="H241"/>
  <c r="E241"/>
  <c r="M241" s="1"/>
  <c r="K241"/>
  <c r="F241"/>
  <c r="N241" s="1"/>
  <c r="R241" s="1"/>
  <c r="D241"/>
  <c r="L241" s="1"/>
  <c r="J241"/>
  <c r="I233"/>
  <c r="H233"/>
  <c r="E233"/>
  <c r="M233" s="1"/>
  <c r="K233"/>
  <c r="F233"/>
  <c r="N233" s="1"/>
  <c r="R233" s="1"/>
  <c r="D233"/>
  <c r="L233" s="1"/>
  <c r="J233"/>
  <c r="I212"/>
  <c r="H212"/>
  <c r="E212"/>
  <c r="M212" s="1"/>
  <c r="K212"/>
  <c r="F212"/>
  <c r="N212" s="1"/>
  <c r="R212" s="1"/>
  <c r="D212"/>
  <c r="L212" s="1"/>
  <c r="J212"/>
  <c r="I204"/>
  <c r="H204"/>
  <c r="E204"/>
  <c r="M204" s="1"/>
  <c r="K204"/>
  <c r="F204"/>
  <c r="N204" s="1"/>
  <c r="R204" s="1"/>
  <c r="D204"/>
  <c r="L204" s="1"/>
  <c r="J204"/>
  <c r="E196"/>
  <c r="M196" s="1"/>
  <c r="K196"/>
  <c r="D196"/>
  <c r="L196" s="1"/>
  <c r="F196"/>
  <c r="N196" s="1"/>
  <c r="R196" s="1"/>
  <c r="J196"/>
  <c r="I196"/>
  <c r="H196"/>
  <c r="I159"/>
  <c r="H159"/>
  <c r="G160"/>
  <c r="K165"/>
  <c r="E122"/>
  <c r="D122"/>
  <c r="C123"/>
  <c r="I64"/>
  <c r="H64"/>
  <c r="C20"/>
  <c r="C12"/>
  <c r="F246"/>
  <c r="K164"/>
  <c r="K209"/>
  <c r="E135"/>
  <c r="K135"/>
  <c r="E16"/>
  <c r="K246"/>
  <c r="J119"/>
  <c r="K90"/>
  <c r="H90"/>
  <c r="E165"/>
  <c r="H157"/>
  <c r="I157"/>
  <c r="C62"/>
  <c r="I98"/>
  <c r="K98"/>
  <c r="C136"/>
  <c r="G136" s="1"/>
  <c r="H136" s="1"/>
  <c r="D61"/>
  <c r="I164"/>
  <c r="E45"/>
  <c r="H164"/>
  <c r="K45"/>
  <c r="L119"/>
  <c r="C46"/>
  <c r="G46" s="1"/>
  <c r="F209"/>
  <c r="I61"/>
  <c r="F156"/>
  <c r="E203"/>
  <c r="F172"/>
  <c r="F53"/>
  <c r="C1011"/>
  <c r="K9"/>
  <c r="F98"/>
  <c r="K53"/>
  <c r="K193"/>
  <c r="J193"/>
  <c r="H1213"/>
  <c r="I1213"/>
  <c r="H24"/>
  <c r="H61"/>
  <c r="F82"/>
  <c r="H53"/>
  <c r="I248"/>
  <c r="K61"/>
  <c r="I53"/>
  <c r="F193"/>
  <c r="E246"/>
  <c r="M246" s="1"/>
  <c r="I135"/>
  <c r="J156"/>
  <c r="G1214"/>
  <c r="G1215" s="1"/>
  <c r="H433"/>
  <c r="H435" s="1"/>
  <c r="I433"/>
  <c r="I435" s="1"/>
  <c r="Q432"/>
  <c r="C435"/>
  <c r="D432"/>
  <c r="E432"/>
  <c r="E424"/>
  <c r="Q424"/>
  <c r="C427"/>
  <c r="D424"/>
  <c r="L424" s="1"/>
  <c r="I425"/>
  <c r="I427" s="1"/>
  <c r="H425"/>
  <c r="H427" s="1"/>
  <c r="I416"/>
  <c r="G419"/>
  <c r="H416"/>
  <c r="D417"/>
  <c r="D419" s="1"/>
  <c r="E417"/>
  <c r="E419" s="1"/>
  <c r="J1213"/>
  <c r="M1213"/>
  <c r="N1219"/>
  <c r="M1219"/>
  <c r="L1212"/>
  <c r="F1212"/>
  <c r="I1206"/>
  <c r="G1207"/>
  <c r="H1206"/>
  <c r="G1221"/>
  <c r="H1220"/>
  <c r="I1220"/>
  <c r="K1214"/>
  <c r="K1215" s="1"/>
  <c r="D1214"/>
  <c r="E1214"/>
  <c r="L1205"/>
  <c r="N1213"/>
  <c r="L1213"/>
  <c r="L1219"/>
  <c r="F1205"/>
  <c r="M1205"/>
  <c r="E1206"/>
  <c r="M1206" s="1"/>
  <c r="J1206"/>
  <c r="C1207"/>
  <c r="K1206"/>
  <c r="D1206"/>
  <c r="L1206" s="1"/>
  <c r="C1221"/>
  <c r="D1220"/>
  <c r="L1220" s="1"/>
  <c r="E1220"/>
  <c r="M1220" s="1"/>
  <c r="J1220"/>
  <c r="F1220"/>
  <c r="N1220" s="1"/>
  <c r="K1220"/>
  <c r="J1212"/>
  <c r="I1172"/>
  <c r="G1173"/>
  <c r="H1172"/>
  <c r="G1187"/>
  <c r="H1186"/>
  <c r="I1186"/>
  <c r="M1179"/>
  <c r="L1185"/>
  <c r="L1171"/>
  <c r="K1180"/>
  <c r="D1180"/>
  <c r="E1180"/>
  <c r="F1180" s="1"/>
  <c r="F1185"/>
  <c r="M1171"/>
  <c r="J1185"/>
  <c r="N1179"/>
  <c r="L1179"/>
  <c r="M1185"/>
  <c r="N1171"/>
  <c r="E1172"/>
  <c r="M1172" s="1"/>
  <c r="J1172"/>
  <c r="C1173"/>
  <c r="K1172"/>
  <c r="D1172"/>
  <c r="L1172" s="1"/>
  <c r="C1187"/>
  <c r="C1188" s="1"/>
  <c r="D1186"/>
  <c r="L1186" s="1"/>
  <c r="E1186"/>
  <c r="M1186" s="1"/>
  <c r="J1186"/>
  <c r="F1186"/>
  <c r="N1186" s="1"/>
  <c r="K1186"/>
  <c r="P1178"/>
  <c r="H1180"/>
  <c r="H1181" s="1"/>
  <c r="I1180"/>
  <c r="I1181" s="1"/>
  <c r="K1181"/>
  <c r="M1137"/>
  <c r="J1144"/>
  <c r="I1138"/>
  <c r="G1139"/>
  <c r="G1140" s="1"/>
  <c r="H1138"/>
  <c r="G1153"/>
  <c r="H1152"/>
  <c r="I1152"/>
  <c r="F1146"/>
  <c r="F1147" s="1"/>
  <c r="K1146"/>
  <c r="K1147" s="1"/>
  <c r="D1146"/>
  <c r="D1147" s="1"/>
  <c r="E1146"/>
  <c r="E1147" s="1"/>
  <c r="J1151"/>
  <c r="M1151"/>
  <c r="N1137"/>
  <c r="N1145"/>
  <c r="L1151"/>
  <c r="M1144"/>
  <c r="E1138"/>
  <c r="M1138" s="1"/>
  <c r="J1138"/>
  <c r="C1139"/>
  <c r="K1138"/>
  <c r="D1138"/>
  <c r="C1153"/>
  <c r="C1154" s="1"/>
  <c r="D1152"/>
  <c r="L1152" s="1"/>
  <c r="E1152"/>
  <c r="M1152" s="1"/>
  <c r="J1152"/>
  <c r="F1152"/>
  <c r="K1152"/>
  <c r="H1146"/>
  <c r="H1147" s="1"/>
  <c r="I1146"/>
  <c r="I1147" s="1"/>
  <c r="F1151"/>
  <c r="M1145"/>
  <c r="M1103"/>
  <c r="E1104"/>
  <c r="J1104"/>
  <c r="C1105"/>
  <c r="C1106" s="1"/>
  <c r="K1104"/>
  <c r="D1104"/>
  <c r="C1119"/>
  <c r="D1118"/>
  <c r="E1118"/>
  <c r="M1118" s="1"/>
  <c r="K1118"/>
  <c r="K1112"/>
  <c r="K1113" s="1"/>
  <c r="D1112"/>
  <c r="D1113" s="1"/>
  <c r="E1112"/>
  <c r="M1117"/>
  <c r="L1110"/>
  <c r="I1104"/>
  <c r="G1105"/>
  <c r="G1106" s="1"/>
  <c r="H1104"/>
  <c r="G1119"/>
  <c r="G1120" s="1"/>
  <c r="H1118"/>
  <c r="J1118" s="1"/>
  <c r="I1118"/>
  <c r="L1103"/>
  <c r="H1112"/>
  <c r="J1112" s="1"/>
  <c r="J1113" s="1"/>
  <c r="I1112"/>
  <c r="I1113" s="1"/>
  <c r="L1117"/>
  <c r="F1117"/>
  <c r="C1120"/>
  <c r="N1111"/>
  <c r="J1117"/>
  <c r="C1113"/>
  <c r="F1103"/>
  <c r="F1110"/>
  <c r="M1111"/>
  <c r="M1069"/>
  <c r="H1078"/>
  <c r="H1079" s="1"/>
  <c r="I1078"/>
  <c r="I1079" s="1"/>
  <c r="J1083"/>
  <c r="N1077"/>
  <c r="L1077"/>
  <c r="M1083"/>
  <c r="N1069"/>
  <c r="N1076"/>
  <c r="E1070"/>
  <c r="C1071"/>
  <c r="K1070"/>
  <c r="D1070"/>
  <c r="C1085"/>
  <c r="D1084"/>
  <c r="E1084"/>
  <c r="F1084"/>
  <c r="K1084"/>
  <c r="L1083"/>
  <c r="I1070"/>
  <c r="G1071"/>
  <c r="H1070"/>
  <c r="G1085"/>
  <c r="H1084"/>
  <c r="I1084"/>
  <c r="L1069"/>
  <c r="J1078"/>
  <c r="J1079" s="1"/>
  <c r="K1078"/>
  <c r="K1079" s="1"/>
  <c r="D1078"/>
  <c r="E1078"/>
  <c r="F1083"/>
  <c r="I1036"/>
  <c r="G1037"/>
  <c r="H1036"/>
  <c r="G1051"/>
  <c r="H1050"/>
  <c r="I1050"/>
  <c r="H1044"/>
  <c r="J1044" s="1"/>
  <c r="J1045" s="1"/>
  <c r="I1044"/>
  <c r="I1045" s="1"/>
  <c r="L1049"/>
  <c r="L1035"/>
  <c r="F1049"/>
  <c r="M1035"/>
  <c r="K1044"/>
  <c r="K1045" s="1"/>
  <c r="D1044"/>
  <c r="E1044"/>
  <c r="M1044" s="1"/>
  <c r="M1045" s="1"/>
  <c r="J1049"/>
  <c r="M1049"/>
  <c r="N1035"/>
  <c r="E1036"/>
  <c r="M1036" s="1"/>
  <c r="J1036"/>
  <c r="C1037"/>
  <c r="K1036"/>
  <c r="D1036"/>
  <c r="L1036" s="1"/>
  <c r="C1051"/>
  <c r="D1050"/>
  <c r="L1050" s="1"/>
  <c r="E1050"/>
  <c r="M1050" s="1"/>
  <c r="J1050"/>
  <c r="K1050"/>
  <c r="P1042"/>
  <c r="N1043"/>
  <c r="L1043"/>
  <c r="M1001"/>
  <c r="E1002"/>
  <c r="C1003"/>
  <c r="K1002"/>
  <c r="D1002"/>
  <c r="C1017"/>
  <c r="D1016"/>
  <c r="E1016"/>
  <c r="F1016"/>
  <c r="K1016"/>
  <c r="K1010"/>
  <c r="K1011" s="1"/>
  <c r="D1010"/>
  <c r="N1010" s="1"/>
  <c r="E1010"/>
  <c r="M1015"/>
  <c r="L1008"/>
  <c r="I1002"/>
  <c r="G1003"/>
  <c r="G1004" s="1"/>
  <c r="H1002"/>
  <c r="J1002" s="1"/>
  <c r="G1017"/>
  <c r="G1018" s="1"/>
  <c r="H1016"/>
  <c r="J1016" s="1"/>
  <c r="I1016"/>
  <c r="L1001"/>
  <c r="L1009"/>
  <c r="H1010"/>
  <c r="J1010" s="1"/>
  <c r="J1011" s="1"/>
  <c r="I1010"/>
  <c r="I1011" s="1"/>
  <c r="J1015"/>
  <c r="N1015" s="1"/>
  <c r="L1015"/>
  <c r="N1001"/>
  <c r="F1008"/>
  <c r="M967"/>
  <c r="H976"/>
  <c r="H977" s="1"/>
  <c r="I976"/>
  <c r="I977" s="1"/>
  <c r="J981"/>
  <c r="N975"/>
  <c r="M981"/>
  <c r="N974"/>
  <c r="F967"/>
  <c r="E968"/>
  <c r="C969"/>
  <c r="K968"/>
  <c r="D968"/>
  <c r="C983"/>
  <c r="C984" s="1"/>
  <c r="D982"/>
  <c r="E982"/>
  <c r="F982"/>
  <c r="K982"/>
  <c r="L981"/>
  <c r="I968"/>
  <c r="G969"/>
  <c r="H968"/>
  <c r="J968" s="1"/>
  <c r="G983"/>
  <c r="H982"/>
  <c r="I982"/>
  <c r="L967"/>
  <c r="J976"/>
  <c r="J977" s="1"/>
  <c r="K976"/>
  <c r="K977" s="1"/>
  <c r="D976"/>
  <c r="E976"/>
  <c r="M976" s="1"/>
  <c r="M977" s="1"/>
  <c r="F981"/>
  <c r="N947"/>
  <c r="M933"/>
  <c r="F933"/>
  <c r="E934"/>
  <c r="C935"/>
  <c r="K934"/>
  <c r="F934"/>
  <c r="D934"/>
  <c r="C949"/>
  <c r="C950" s="1"/>
  <c r="D948"/>
  <c r="E948"/>
  <c r="F948"/>
  <c r="K948"/>
  <c r="H942"/>
  <c r="H943" s="1"/>
  <c r="I942"/>
  <c r="I943" s="1"/>
  <c r="M941"/>
  <c r="I934"/>
  <c r="G935"/>
  <c r="G936" s="1"/>
  <c r="H934"/>
  <c r="G949"/>
  <c r="G950" s="1"/>
  <c r="H948"/>
  <c r="J948" s="1"/>
  <c r="I948"/>
  <c r="J942"/>
  <c r="F942"/>
  <c r="N942" s="1"/>
  <c r="K942"/>
  <c r="K943" s="1"/>
  <c r="D942"/>
  <c r="E942"/>
  <c r="J941"/>
  <c r="L941"/>
  <c r="L947"/>
  <c r="N940"/>
  <c r="M896"/>
  <c r="E897"/>
  <c r="C898"/>
  <c r="C900" s="1"/>
  <c r="K897"/>
  <c r="D897"/>
  <c r="C914"/>
  <c r="C916" s="1"/>
  <c r="D913"/>
  <c r="E913"/>
  <c r="F913"/>
  <c r="K913"/>
  <c r="K906"/>
  <c r="K908" s="1"/>
  <c r="D906"/>
  <c r="F906" s="1"/>
  <c r="N906" s="1"/>
  <c r="E906"/>
  <c r="E908" s="1"/>
  <c r="M912"/>
  <c r="L904"/>
  <c r="I897"/>
  <c r="G898"/>
  <c r="G900" s="1"/>
  <c r="H897"/>
  <c r="J897" s="1"/>
  <c r="G914"/>
  <c r="G916" s="1"/>
  <c r="H913"/>
  <c r="J913" s="1"/>
  <c r="I913"/>
  <c r="L896"/>
  <c r="N905"/>
  <c r="L905"/>
  <c r="H906"/>
  <c r="J906" s="1"/>
  <c r="I906"/>
  <c r="I908" s="1"/>
  <c r="J912"/>
  <c r="L912"/>
  <c r="N896"/>
  <c r="F904"/>
  <c r="M859"/>
  <c r="E860"/>
  <c r="C861"/>
  <c r="C863" s="1"/>
  <c r="K860"/>
  <c r="D860"/>
  <c r="C877"/>
  <c r="C879" s="1"/>
  <c r="D876"/>
  <c r="E876"/>
  <c r="F876"/>
  <c r="K876"/>
  <c r="K869"/>
  <c r="K871" s="1"/>
  <c r="D869"/>
  <c r="F869" s="1"/>
  <c r="N869" s="1"/>
  <c r="E869"/>
  <c r="E871" s="1"/>
  <c r="M875"/>
  <c r="L867"/>
  <c r="I860"/>
  <c r="G861"/>
  <c r="G863" s="1"/>
  <c r="H860"/>
  <c r="J860" s="1"/>
  <c r="G877"/>
  <c r="G879" s="1"/>
  <c r="H876"/>
  <c r="J876" s="1"/>
  <c r="I876"/>
  <c r="L859"/>
  <c r="N868"/>
  <c r="L868"/>
  <c r="H869"/>
  <c r="J869" s="1"/>
  <c r="I869"/>
  <c r="I871" s="1"/>
  <c r="J875"/>
  <c r="L875"/>
  <c r="N859"/>
  <c r="F867"/>
  <c r="M822"/>
  <c r="E823"/>
  <c r="C824"/>
  <c r="C826" s="1"/>
  <c r="K823"/>
  <c r="D823"/>
  <c r="C840"/>
  <c r="C842" s="1"/>
  <c r="D839"/>
  <c r="E839"/>
  <c r="F839"/>
  <c r="K839"/>
  <c r="K832"/>
  <c r="D832"/>
  <c r="F832" s="1"/>
  <c r="N832" s="1"/>
  <c r="E832"/>
  <c r="M838"/>
  <c r="L830"/>
  <c r="I823"/>
  <c r="G824"/>
  <c r="G826" s="1"/>
  <c r="H823"/>
  <c r="J823" s="1"/>
  <c r="G840"/>
  <c r="G842" s="1"/>
  <c r="H839"/>
  <c r="J839" s="1"/>
  <c r="I839"/>
  <c r="L822"/>
  <c r="N831"/>
  <c r="L831"/>
  <c r="H832"/>
  <c r="J832" s="1"/>
  <c r="I832"/>
  <c r="J838"/>
  <c r="L838"/>
  <c r="N822"/>
  <c r="F830"/>
  <c r="M785"/>
  <c r="E786"/>
  <c r="C787"/>
  <c r="C789" s="1"/>
  <c r="K786"/>
  <c r="D786"/>
  <c r="C803"/>
  <c r="C805" s="1"/>
  <c r="D802"/>
  <c r="E802"/>
  <c r="F802"/>
  <c r="K802"/>
  <c r="K795"/>
  <c r="K797" s="1"/>
  <c r="D795"/>
  <c r="F795" s="1"/>
  <c r="N795" s="1"/>
  <c r="E795"/>
  <c r="E797" s="1"/>
  <c r="M801"/>
  <c r="L793"/>
  <c r="I786"/>
  <c r="G787"/>
  <c r="G789" s="1"/>
  <c r="H786"/>
  <c r="J786" s="1"/>
  <c r="G803"/>
  <c r="G805" s="1"/>
  <c r="H802"/>
  <c r="J802" s="1"/>
  <c r="I802"/>
  <c r="L785"/>
  <c r="N794"/>
  <c r="L794"/>
  <c r="H795"/>
  <c r="J795" s="1"/>
  <c r="I795"/>
  <c r="I797" s="1"/>
  <c r="J801"/>
  <c r="L801"/>
  <c r="N785"/>
  <c r="F793"/>
  <c r="L764"/>
  <c r="L748"/>
  <c r="F764"/>
  <c r="M748"/>
  <c r="J764"/>
  <c r="M764"/>
  <c r="N748"/>
  <c r="E749"/>
  <c r="C750"/>
  <c r="C752" s="1"/>
  <c r="K749"/>
  <c r="D749"/>
  <c r="C766"/>
  <c r="C768" s="1"/>
  <c r="D765"/>
  <c r="E765"/>
  <c r="F765"/>
  <c r="K765"/>
  <c r="N756"/>
  <c r="H758"/>
  <c r="H760" s="1"/>
  <c r="I758"/>
  <c r="I760" s="1"/>
  <c r="J758"/>
  <c r="J760" s="1"/>
  <c r="F758"/>
  <c r="N758" s="1"/>
  <c r="K758"/>
  <c r="K760" s="1"/>
  <c r="D758"/>
  <c r="D760" s="1"/>
  <c r="E758"/>
  <c r="E760" s="1"/>
  <c r="I749"/>
  <c r="G750"/>
  <c r="G752" s="1"/>
  <c r="H749"/>
  <c r="G766"/>
  <c r="G768" s="1"/>
  <c r="H765"/>
  <c r="I765"/>
  <c r="N757"/>
  <c r="L757"/>
  <c r="M711"/>
  <c r="E712"/>
  <c r="J712"/>
  <c r="C713"/>
  <c r="C715" s="1"/>
  <c r="K712"/>
  <c r="D712"/>
  <c r="C729"/>
  <c r="C731" s="1"/>
  <c r="D728"/>
  <c r="E728"/>
  <c r="F728"/>
  <c r="K728"/>
  <c r="K721"/>
  <c r="K723" s="1"/>
  <c r="D721"/>
  <c r="F721" s="1"/>
  <c r="N721" s="1"/>
  <c r="E721"/>
  <c r="E723" s="1"/>
  <c r="M727"/>
  <c r="L719"/>
  <c r="I712"/>
  <c r="G713"/>
  <c r="G715" s="1"/>
  <c r="H712"/>
  <c r="G729"/>
  <c r="G731" s="1"/>
  <c r="H728"/>
  <c r="I728"/>
  <c r="J728" s="1"/>
  <c r="L711"/>
  <c r="N720"/>
  <c r="L720"/>
  <c r="H721"/>
  <c r="J721" s="1"/>
  <c r="I721"/>
  <c r="I723" s="1"/>
  <c r="J727"/>
  <c r="L727"/>
  <c r="N711"/>
  <c r="F719"/>
  <c r="M674"/>
  <c r="E675"/>
  <c r="C676"/>
  <c r="C678" s="1"/>
  <c r="K675"/>
  <c r="D675"/>
  <c r="C692"/>
  <c r="C694" s="1"/>
  <c r="D691"/>
  <c r="E691"/>
  <c r="F691"/>
  <c r="K691"/>
  <c r="K684"/>
  <c r="K686" s="1"/>
  <c r="D684"/>
  <c r="F684" s="1"/>
  <c r="N684" s="1"/>
  <c r="E684"/>
  <c r="E686" s="1"/>
  <c r="M690"/>
  <c r="L682"/>
  <c r="I675"/>
  <c r="G676"/>
  <c r="G678" s="1"/>
  <c r="H675"/>
  <c r="J675" s="1"/>
  <c r="G692"/>
  <c r="G694" s="1"/>
  <c r="H691"/>
  <c r="J691" s="1"/>
  <c r="I691"/>
  <c r="L674"/>
  <c r="N683"/>
  <c r="L683"/>
  <c r="H684"/>
  <c r="J684" s="1"/>
  <c r="I684"/>
  <c r="I686" s="1"/>
  <c r="J690"/>
  <c r="L690"/>
  <c r="N674"/>
  <c r="F682"/>
  <c r="M637"/>
  <c r="E638"/>
  <c r="J638"/>
  <c r="C639"/>
  <c r="C641" s="1"/>
  <c r="K638"/>
  <c r="D638"/>
  <c r="C655"/>
  <c r="C657" s="1"/>
  <c r="D654"/>
  <c r="E654"/>
  <c r="F654"/>
  <c r="K654"/>
  <c r="K647"/>
  <c r="K649" s="1"/>
  <c r="D647"/>
  <c r="F647" s="1"/>
  <c r="N647" s="1"/>
  <c r="E647"/>
  <c r="E649" s="1"/>
  <c r="M653"/>
  <c r="L645"/>
  <c r="I638"/>
  <c r="G639"/>
  <c r="G641" s="1"/>
  <c r="H638"/>
  <c r="G655"/>
  <c r="G657" s="1"/>
  <c r="H654"/>
  <c r="I654"/>
  <c r="J654" s="1"/>
  <c r="L637"/>
  <c r="N646"/>
  <c r="L646"/>
  <c r="H647"/>
  <c r="J647" s="1"/>
  <c r="I647"/>
  <c r="I649" s="1"/>
  <c r="J653"/>
  <c r="L653"/>
  <c r="N637"/>
  <c r="F645"/>
  <c r="M600"/>
  <c r="E601"/>
  <c r="C602"/>
  <c r="C604" s="1"/>
  <c r="K601"/>
  <c r="D601"/>
  <c r="C618"/>
  <c r="C620" s="1"/>
  <c r="D617"/>
  <c r="E617"/>
  <c r="F617"/>
  <c r="K617"/>
  <c r="K610"/>
  <c r="K612" s="1"/>
  <c r="D610"/>
  <c r="F610" s="1"/>
  <c r="N610" s="1"/>
  <c r="E610"/>
  <c r="E612" s="1"/>
  <c r="M616"/>
  <c r="L608"/>
  <c r="I601"/>
  <c r="G602"/>
  <c r="G604" s="1"/>
  <c r="H601"/>
  <c r="J601" s="1"/>
  <c r="G618"/>
  <c r="G620" s="1"/>
  <c r="H617"/>
  <c r="J617" s="1"/>
  <c r="I617"/>
  <c r="L600"/>
  <c r="N609"/>
  <c r="L609"/>
  <c r="H610"/>
  <c r="J610" s="1"/>
  <c r="I610"/>
  <c r="I612" s="1"/>
  <c r="J616"/>
  <c r="L616"/>
  <c r="N600"/>
  <c r="F608"/>
  <c r="L579"/>
  <c r="L563"/>
  <c r="F579"/>
  <c r="M563"/>
  <c r="J579"/>
  <c r="M579"/>
  <c r="E564"/>
  <c r="C565"/>
  <c r="C567" s="1"/>
  <c r="K564"/>
  <c r="D564"/>
  <c r="C581"/>
  <c r="C583" s="1"/>
  <c r="D580"/>
  <c r="E580"/>
  <c r="F580"/>
  <c r="K580"/>
  <c r="N571"/>
  <c r="H573"/>
  <c r="J573" s="1"/>
  <c r="J575" s="1"/>
  <c r="I573"/>
  <c r="I575" s="1"/>
  <c r="K573"/>
  <c r="K575" s="1"/>
  <c r="D573"/>
  <c r="F573" s="1"/>
  <c r="F575" s="1"/>
  <c r="E573"/>
  <c r="E575" s="1"/>
  <c r="F563"/>
  <c r="I564"/>
  <c r="G565"/>
  <c r="G567" s="1"/>
  <c r="H564"/>
  <c r="G581"/>
  <c r="G583" s="1"/>
  <c r="H580"/>
  <c r="J580" s="1"/>
  <c r="I580"/>
  <c r="N572"/>
  <c r="L572"/>
  <c r="M526"/>
  <c r="E527"/>
  <c r="C528"/>
  <c r="C530" s="1"/>
  <c r="K527"/>
  <c r="D527"/>
  <c r="C544"/>
  <c r="C546" s="1"/>
  <c r="D543"/>
  <c r="E543"/>
  <c r="M543" s="1"/>
  <c r="F543"/>
  <c r="K543"/>
  <c r="M542"/>
  <c r="L534"/>
  <c r="I527"/>
  <c r="G528"/>
  <c r="G530" s="1"/>
  <c r="H527"/>
  <c r="J527" s="1"/>
  <c r="G544"/>
  <c r="G546" s="1"/>
  <c r="H543"/>
  <c r="J543" s="1"/>
  <c r="I543"/>
  <c r="L526"/>
  <c r="H536"/>
  <c r="J536" s="1"/>
  <c r="I536"/>
  <c r="I538" s="1"/>
  <c r="M535"/>
  <c r="F536"/>
  <c r="K536"/>
  <c r="K538" s="1"/>
  <c r="D536"/>
  <c r="D538" s="1"/>
  <c r="E536"/>
  <c r="E538" s="1"/>
  <c r="J542"/>
  <c r="L542"/>
  <c r="F526"/>
  <c r="F534"/>
  <c r="N535"/>
  <c r="L535"/>
  <c r="M489"/>
  <c r="E490"/>
  <c r="C491"/>
  <c r="C493" s="1"/>
  <c r="K490"/>
  <c r="D490"/>
  <c r="C507"/>
  <c r="C509" s="1"/>
  <c r="D506"/>
  <c r="E506"/>
  <c r="M506" s="1"/>
  <c r="K506"/>
  <c r="K499"/>
  <c r="K501" s="1"/>
  <c r="D499"/>
  <c r="F499" s="1"/>
  <c r="N499" s="1"/>
  <c r="E499"/>
  <c r="E501" s="1"/>
  <c r="M505"/>
  <c r="L497"/>
  <c r="I490"/>
  <c r="G491"/>
  <c r="G493" s="1"/>
  <c r="H490"/>
  <c r="J490" s="1"/>
  <c r="G507"/>
  <c r="G509" s="1"/>
  <c r="H506"/>
  <c r="J506" s="1"/>
  <c r="I506"/>
  <c r="L489"/>
  <c r="N498"/>
  <c r="L498"/>
  <c r="H499"/>
  <c r="J499" s="1"/>
  <c r="I499"/>
  <c r="I501" s="1"/>
  <c r="J505"/>
  <c r="L505"/>
  <c r="N489"/>
  <c r="F497"/>
  <c r="N452"/>
  <c r="N468"/>
  <c r="M468"/>
  <c r="L460"/>
  <c r="K462"/>
  <c r="K464" s="1"/>
  <c r="D462"/>
  <c r="D464" s="1"/>
  <c r="E462"/>
  <c r="E464" s="1"/>
  <c r="M460"/>
  <c r="E453"/>
  <c r="M453" s="1"/>
  <c r="C454"/>
  <c r="C456" s="1"/>
  <c r="K453"/>
  <c r="D453"/>
  <c r="C470"/>
  <c r="C472" s="1"/>
  <c r="D469"/>
  <c r="L469" s="1"/>
  <c r="E469"/>
  <c r="F469"/>
  <c r="K469"/>
  <c r="H462"/>
  <c r="J462" s="1"/>
  <c r="I462"/>
  <c r="I464" s="1"/>
  <c r="F460"/>
  <c r="F461"/>
  <c r="N461" s="1"/>
  <c r="L461"/>
  <c r="L468"/>
  <c r="I453"/>
  <c r="G454"/>
  <c r="G456" s="1"/>
  <c r="H453"/>
  <c r="G470"/>
  <c r="G472" s="1"/>
  <c r="H469"/>
  <c r="I469"/>
  <c r="J469" s="1"/>
  <c r="J460"/>
  <c r="J464" s="1"/>
  <c r="M452"/>
  <c r="L452"/>
  <c r="I395"/>
  <c r="H395"/>
  <c r="D395"/>
  <c r="E395"/>
  <c r="Q395"/>
  <c r="Q388"/>
  <c r="Q390" s="1"/>
  <c r="D388"/>
  <c r="D390" s="1"/>
  <c r="E388"/>
  <c r="E390" s="1"/>
  <c r="H387"/>
  <c r="I387"/>
  <c r="H379"/>
  <c r="I379"/>
  <c r="D379"/>
  <c r="E379"/>
  <c r="M379" s="1"/>
  <c r="E358"/>
  <c r="Q358"/>
  <c r="D358"/>
  <c r="I359"/>
  <c r="I361" s="1"/>
  <c r="H359"/>
  <c r="H361" s="1"/>
  <c r="I350"/>
  <c r="H350"/>
  <c r="D350"/>
  <c r="L350" s="1"/>
  <c r="E350"/>
  <c r="M350" s="1"/>
  <c r="Q350"/>
  <c r="D343"/>
  <c r="D345" s="1"/>
  <c r="E343"/>
  <c r="E345" s="1"/>
  <c r="I342"/>
  <c r="H342"/>
  <c r="J349"/>
  <c r="I321"/>
  <c r="H321"/>
  <c r="D321"/>
  <c r="L321" s="1"/>
  <c r="E321"/>
  <c r="M321" s="1"/>
  <c r="Q321"/>
  <c r="Q314"/>
  <c r="Q316" s="1"/>
  <c r="D314"/>
  <c r="D316" s="1"/>
  <c r="E314"/>
  <c r="E316" s="1"/>
  <c r="H313"/>
  <c r="I313"/>
  <c r="H306"/>
  <c r="H308" s="1"/>
  <c r="I306"/>
  <c r="I308" s="1"/>
  <c r="E305"/>
  <c r="M305" s="1"/>
  <c r="D305"/>
  <c r="L305" s="1"/>
  <c r="D285"/>
  <c r="E285"/>
  <c r="I283"/>
  <c r="H283"/>
  <c r="I284"/>
  <c r="H284"/>
  <c r="H277"/>
  <c r="I277"/>
  <c r="E277"/>
  <c r="D277"/>
  <c r="H276"/>
  <c r="I276"/>
  <c r="D275"/>
  <c r="L275" s="1"/>
  <c r="E275"/>
  <c r="M275" s="1"/>
  <c r="D276"/>
  <c r="L276" s="1"/>
  <c r="E276"/>
  <c r="M276" s="1"/>
  <c r="H275"/>
  <c r="I275"/>
  <c r="D267"/>
  <c r="L267" s="1"/>
  <c r="E267"/>
  <c r="M267" s="1"/>
  <c r="D268"/>
  <c r="E268"/>
  <c r="M268" s="1"/>
  <c r="D269"/>
  <c r="E269"/>
  <c r="D248"/>
  <c r="E248"/>
  <c r="I246"/>
  <c r="H246"/>
  <c r="I247"/>
  <c r="H247"/>
  <c r="H240"/>
  <c r="I240"/>
  <c r="E240"/>
  <c r="D240"/>
  <c r="H239"/>
  <c r="I239"/>
  <c r="D238"/>
  <c r="L238" s="1"/>
  <c r="E238"/>
  <c r="M238" s="1"/>
  <c r="D239"/>
  <c r="L239" s="1"/>
  <c r="E239"/>
  <c r="M239" s="1"/>
  <c r="H238"/>
  <c r="I238"/>
  <c r="D230"/>
  <c r="L230" s="1"/>
  <c r="E230"/>
  <c r="M230" s="1"/>
  <c r="D231"/>
  <c r="L231" s="1"/>
  <c r="E231"/>
  <c r="M231" s="1"/>
  <c r="D232"/>
  <c r="E232"/>
  <c r="K230"/>
  <c r="J230"/>
  <c r="F230"/>
  <c r="N230" s="1"/>
  <c r="H135"/>
  <c r="K91"/>
  <c r="J82"/>
  <c r="I54"/>
  <c r="H54"/>
  <c r="C25"/>
  <c r="J201"/>
  <c r="I9"/>
  <c r="J9" s="1"/>
  <c r="J24"/>
  <c r="K10"/>
  <c r="K24"/>
  <c r="I10"/>
  <c r="D24"/>
  <c r="J275"/>
  <c r="J313"/>
  <c r="F9"/>
  <c r="F276"/>
  <c r="N276" s="1"/>
  <c r="J276"/>
  <c r="J312"/>
  <c r="J238"/>
  <c r="J239"/>
  <c r="J387"/>
  <c r="J350"/>
  <c r="J386"/>
  <c r="F387"/>
  <c r="N387" s="1"/>
  <c r="P387" s="1"/>
  <c r="F415"/>
  <c r="L9"/>
  <c r="F350"/>
  <c r="N350" s="1"/>
  <c r="P350" s="1"/>
  <c r="J423"/>
  <c r="J424"/>
  <c r="H211"/>
  <c r="I211"/>
  <c r="H210"/>
  <c r="I210"/>
  <c r="D209"/>
  <c r="L209" s="1"/>
  <c r="E209"/>
  <c r="M209" s="1"/>
  <c r="E211"/>
  <c r="D211"/>
  <c r="D210"/>
  <c r="E210"/>
  <c r="H209"/>
  <c r="I209"/>
  <c r="H202"/>
  <c r="I202"/>
  <c r="E201"/>
  <c r="M201" s="1"/>
  <c r="D201"/>
  <c r="L201" s="1"/>
  <c r="E202"/>
  <c r="M202" s="1"/>
  <c r="D202"/>
  <c r="L202" s="1"/>
  <c r="H201"/>
  <c r="I201"/>
  <c r="I203"/>
  <c r="H203"/>
  <c r="C194"/>
  <c r="D193"/>
  <c r="L193" s="1"/>
  <c r="E193"/>
  <c r="M193" s="1"/>
  <c r="K173"/>
  <c r="H172"/>
  <c r="I127"/>
  <c r="H127"/>
  <c r="C128"/>
  <c r="G128" s="1"/>
  <c r="I46"/>
  <c r="H46"/>
  <c r="I45"/>
  <c r="H45"/>
  <c r="F424"/>
  <c r="J202"/>
  <c r="F275"/>
  <c r="N275" s="1"/>
  <c r="F386"/>
  <c r="E173"/>
  <c r="D173"/>
  <c r="H99"/>
  <c r="I99"/>
  <c r="F61"/>
  <c r="E18"/>
  <c r="D18"/>
  <c r="D166"/>
  <c r="E166"/>
  <c r="L16"/>
  <c r="D136"/>
  <c r="E136"/>
  <c r="D99"/>
  <c r="L99" s="1"/>
  <c r="E99"/>
  <c r="E91"/>
  <c r="D91"/>
  <c r="I158"/>
  <c r="H158"/>
  <c r="F239"/>
  <c r="N239" s="1"/>
  <c r="D157"/>
  <c r="E157"/>
  <c r="M157" s="1"/>
  <c r="D62"/>
  <c r="E62"/>
  <c r="M61"/>
  <c r="L53"/>
  <c r="F201"/>
  <c r="N201" s="1"/>
  <c r="E47"/>
  <c r="H63"/>
  <c r="I63"/>
  <c r="F313"/>
  <c r="N313" s="1"/>
  <c r="P313" s="1"/>
  <c r="D83"/>
  <c r="E83"/>
  <c r="I165"/>
  <c r="H165"/>
  <c r="I83"/>
  <c r="M83" s="1"/>
  <c r="H83"/>
  <c r="E54"/>
  <c r="D54"/>
  <c r="I120"/>
  <c r="M120" s="1"/>
  <c r="H120"/>
  <c r="D121"/>
  <c r="D123" s="1"/>
  <c r="E121"/>
  <c r="E123" s="1"/>
  <c r="M415"/>
  <c r="M431"/>
  <c r="L423"/>
  <c r="M423"/>
  <c r="J431"/>
  <c r="L431"/>
  <c r="M416"/>
  <c r="J416"/>
  <c r="K416"/>
  <c r="L416"/>
  <c r="K432"/>
  <c r="L415"/>
  <c r="F423"/>
  <c r="N378"/>
  <c r="L394"/>
  <c r="J379"/>
  <c r="K379"/>
  <c r="K395"/>
  <c r="M378"/>
  <c r="K388"/>
  <c r="K390" s="1"/>
  <c r="M394"/>
  <c r="L386"/>
  <c r="O387"/>
  <c r="F394"/>
  <c r="M386"/>
  <c r="J394"/>
  <c r="M342"/>
  <c r="J342"/>
  <c r="K342"/>
  <c r="L342"/>
  <c r="K358"/>
  <c r="N349"/>
  <c r="L341"/>
  <c r="L357"/>
  <c r="F357"/>
  <c r="M341"/>
  <c r="J357"/>
  <c r="M357"/>
  <c r="F341"/>
  <c r="M304"/>
  <c r="M320"/>
  <c r="L312"/>
  <c r="K314"/>
  <c r="K316" s="1"/>
  <c r="M312"/>
  <c r="O313"/>
  <c r="J320"/>
  <c r="L320"/>
  <c r="N304"/>
  <c r="J305"/>
  <c r="K305"/>
  <c r="K321"/>
  <c r="L304"/>
  <c r="F312"/>
  <c r="N267"/>
  <c r="L283"/>
  <c r="J268"/>
  <c r="K268"/>
  <c r="K284"/>
  <c r="K277"/>
  <c r="M283"/>
  <c r="F283"/>
  <c r="J283"/>
  <c r="K240"/>
  <c r="O239"/>
  <c r="J246"/>
  <c r="N246" s="1"/>
  <c r="L246"/>
  <c r="J231"/>
  <c r="K231"/>
  <c r="L247"/>
  <c r="K247"/>
  <c r="F238"/>
  <c r="N193"/>
  <c r="N209"/>
  <c r="K210"/>
  <c r="F202"/>
  <c r="O201"/>
  <c r="K203"/>
  <c r="M156"/>
  <c r="M172"/>
  <c r="M164"/>
  <c r="F165"/>
  <c r="N156"/>
  <c r="J157"/>
  <c r="K157"/>
  <c r="L156"/>
  <c r="F164"/>
  <c r="M119"/>
  <c r="M135"/>
  <c r="F119"/>
  <c r="K120"/>
  <c r="K136"/>
  <c r="F135"/>
  <c r="M82"/>
  <c r="M98"/>
  <c r="L90"/>
  <c r="M90"/>
  <c r="J98"/>
  <c r="L98"/>
  <c r="K83"/>
  <c r="K99"/>
  <c r="L82"/>
  <c r="F90"/>
  <c r="K46"/>
  <c r="F45"/>
  <c r="M53"/>
  <c r="K54"/>
  <c r="J16"/>
  <c r="M24"/>
  <c r="F17"/>
  <c r="J8"/>
  <c r="M8"/>
  <c r="L8"/>
  <c r="F10"/>
  <c r="F8"/>
  <c r="G16" i="22"/>
  <c r="G25" i="21"/>
  <c r="D8" i="2"/>
  <c r="H8" i="22"/>
  <c r="H9" s="1"/>
  <c r="C9"/>
  <c r="G9"/>
  <c r="C10"/>
  <c r="K8"/>
  <c r="F8"/>
  <c r="O6" i="21"/>
  <c r="E8"/>
  <c r="I8"/>
  <c r="D8"/>
  <c r="H8"/>
  <c r="K8"/>
  <c r="G25" i="2"/>
  <c r="O6"/>
  <c r="B11"/>
  <c r="B13"/>
  <c r="B10"/>
  <c r="B9"/>
  <c r="B12"/>
  <c r="E8"/>
  <c r="I8"/>
  <c r="D25" i="23" l="1"/>
  <c r="G25"/>
  <c r="M99"/>
  <c r="I136"/>
  <c r="F194"/>
  <c r="G194"/>
  <c r="G62"/>
  <c r="K62" s="1"/>
  <c r="O11" i="21"/>
  <c r="C12"/>
  <c r="K10"/>
  <c r="O10"/>
  <c r="F797" i="23"/>
  <c r="F871"/>
  <c r="F908"/>
  <c r="N912"/>
  <c r="J908"/>
  <c r="H908"/>
  <c r="D908"/>
  <c r="N875"/>
  <c r="J871"/>
  <c r="H871"/>
  <c r="D871"/>
  <c r="N838"/>
  <c r="F686"/>
  <c r="N801"/>
  <c r="J797"/>
  <c r="H797"/>
  <c r="D797"/>
  <c r="N760"/>
  <c r="F760"/>
  <c r="N727"/>
  <c r="F723"/>
  <c r="J723"/>
  <c r="H723"/>
  <c r="D723"/>
  <c r="N690"/>
  <c r="J686"/>
  <c r="H686"/>
  <c r="D686"/>
  <c r="F612"/>
  <c r="N653"/>
  <c r="H649"/>
  <c r="D649"/>
  <c r="F649"/>
  <c r="J649"/>
  <c r="N616"/>
  <c r="D612"/>
  <c r="J612"/>
  <c r="H612"/>
  <c r="D575"/>
  <c r="H575"/>
  <c r="N542"/>
  <c r="F501"/>
  <c r="F538"/>
  <c r="H538"/>
  <c r="J538"/>
  <c r="N505"/>
  <c r="H501"/>
  <c r="D501"/>
  <c r="J501"/>
  <c r="H464"/>
  <c r="N415"/>
  <c r="G398"/>
  <c r="I397"/>
  <c r="H397"/>
  <c r="C398"/>
  <c r="E397"/>
  <c r="M397" s="1"/>
  <c r="K397"/>
  <c r="Q397"/>
  <c r="F397"/>
  <c r="N397" s="1"/>
  <c r="D397"/>
  <c r="L397" s="1"/>
  <c r="J397"/>
  <c r="I389"/>
  <c r="H389"/>
  <c r="G390"/>
  <c r="R389"/>
  <c r="P389"/>
  <c r="N386"/>
  <c r="P378"/>
  <c r="G382"/>
  <c r="C382"/>
  <c r="I381"/>
  <c r="H381"/>
  <c r="E381"/>
  <c r="M381" s="1"/>
  <c r="K381"/>
  <c r="Q381"/>
  <c r="F381"/>
  <c r="N381" s="1"/>
  <c r="D381"/>
  <c r="L381" s="1"/>
  <c r="J381"/>
  <c r="E360"/>
  <c r="M360" s="1"/>
  <c r="K360"/>
  <c r="Q360"/>
  <c r="F360"/>
  <c r="N360" s="1"/>
  <c r="D360"/>
  <c r="L360" s="1"/>
  <c r="J360"/>
  <c r="C361"/>
  <c r="I352"/>
  <c r="H352"/>
  <c r="C353"/>
  <c r="G353"/>
  <c r="E352"/>
  <c r="M352" s="1"/>
  <c r="K352"/>
  <c r="Q352"/>
  <c r="F352"/>
  <c r="N352" s="1"/>
  <c r="D352"/>
  <c r="L352" s="1"/>
  <c r="J352"/>
  <c r="G345"/>
  <c r="R344"/>
  <c r="P344"/>
  <c r="I344"/>
  <c r="H344"/>
  <c r="G324"/>
  <c r="E323"/>
  <c r="M323" s="1"/>
  <c r="K323"/>
  <c r="Q323"/>
  <c r="F323"/>
  <c r="N323" s="1"/>
  <c r="D323"/>
  <c r="L323" s="1"/>
  <c r="J323"/>
  <c r="C324"/>
  <c r="I323"/>
  <c r="H323"/>
  <c r="G316"/>
  <c r="I315"/>
  <c r="H315"/>
  <c r="R315"/>
  <c r="P315"/>
  <c r="C308"/>
  <c r="E307"/>
  <c r="M307" s="1"/>
  <c r="K307"/>
  <c r="Q307"/>
  <c r="F307"/>
  <c r="N307" s="1"/>
  <c r="D307"/>
  <c r="L307" s="1"/>
  <c r="J307"/>
  <c r="I160"/>
  <c r="L172"/>
  <c r="H160"/>
  <c r="E159"/>
  <c r="M159" s="1"/>
  <c r="K159"/>
  <c r="D159"/>
  <c r="L159" s="1"/>
  <c r="L164"/>
  <c r="F122"/>
  <c r="C160"/>
  <c r="P156"/>
  <c r="K166"/>
  <c r="K167"/>
  <c r="C176"/>
  <c r="C168"/>
  <c r="E167"/>
  <c r="D167"/>
  <c r="J159"/>
  <c r="C139"/>
  <c r="I122"/>
  <c r="M122" s="1"/>
  <c r="H122"/>
  <c r="E138"/>
  <c r="K138"/>
  <c r="D138"/>
  <c r="M127"/>
  <c r="J135"/>
  <c r="I138"/>
  <c r="H138"/>
  <c r="G139"/>
  <c r="G123"/>
  <c r="K122"/>
  <c r="L127"/>
  <c r="L122"/>
  <c r="J172"/>
  <c r="N172" s="1"/>
  <c r="G102"/>
  <c r="H85"/>
  <c r="I85"/>
  <c r="E85"/>
  <c r="D85"/>
  <c r="K85"/>
  <c r="C94"/>
  <c r="J90"/>
  <c r="C102"/>
  <c r="C86"/>
  <c r="E93"/>
  <c r="D93"/>
  <c r="E101"/>
  <c r="K101"/>
  <c r="D101"/>
  <c r="I101"/>
  <c r="H101"/>
  <c r="G86"/>
  <c r="C49"/>
  <c r="E56"/>
  <c r="D56"/>
  <c r="K56"/>
  <c r="E64"/>
  <c r="M64" s="1"/>
  <c r="K64"/>
  <c r="D64"/>
  <c r="L64" s="1"/>
  <c r="L45"/>
  <c r="H48"/>
  <c r="I48"/>
  <c r="D48"/>
  <c r="E48"/>
  <c r="K48"/>
  <c r="G57"/>
  <c r="F16"/>
  <c r="N16" s="1"/>
  <c r="J64"/>
  <c r="F24"/>
  <c r="N24" s="1"/>
  <c r="I56"/>
  <c r="H56"/>
  <c r="C65"/>
  <c r="C57"/>
  <c r="L61"/>
  <c r="G49"/>
  <c r="E19"/>
  <c r="E20" s="1"/>
  <c r="D19"/>
  <c r="H10"/>
  <c r="K11"/>
  <c r="K12" s="1"/>
  <c r="D11"/>
  <c r="D12" s="1"/>
  <c r="E11"/>
  <c r="E12" s="1"/>
  <c r="J136"/>
  <c r="M165"/>
  <c r="D47"/>
  <c r="L157"/>
  <c r="M16"/>
  <c r="H137"/>
  <c r="J164"/>
  <c r="I137"/>
  <c r="N82"/>
  <c r="I17"/>
  <c r="K17"/>
  <c r="E46"/>
  <c r="D46"/>
  <c r="F166"/>
  <c r="K194"/>
  <c r="K351"/>
  <c r="K353" s="1"/>
  <c r="M54"/>
  <c r="J83"/>
  <c r="L83"/>
  <c r="F18"/>
  <c r="J54"/>
  <c r="L135"/>
  <c r="J120"/>
  <c r="L24"/>
  <c r="F136"/>
  <c r="J99"/>
  <c r="J46"/>
  <c r="D1011"/>
  <c r="K425"/>
  <c r="K427" s="1"/>
  <c r="M10"/>
  <c r="J61"/>
  <c r="M9"/>
  <c r="J194"/>
  <c r="I55"/>
  <c r="E25"/>
  <c r="H1214"/>
  <c r="H1215" s="1"/>
  <c r="R239"/>
  <c r="R387"/>
  <c r="R313"/>
  <c r="H55"/>
  <c r="E977"/>
  <c r="I1214"/>
  <c r="I1215" s="1"/>
  <c r="J53"/>
  <c r="H25"/>
  <c r="L25" s="1"/>
  <c r="I25"/>
  <c r="J45"/>
  <c r="H1045"/>
  <c r="P304"/>
  <c r="J943"/>
  <c r="N431"/>
  <c r="E433"/>
  <c r="E435" s="1"/>
  <c r="Q433"/>
  <c r="Q435" s="1"/>
  <c r="D433"/>
  <c r="D435" s="1"/>
  <c r="M424"/>
  <c r="D425"/>
  <c r="D427" s="1"/>
  <c r="E425"/>
  <c r="E427" s="1"/>
  <c r="Q425"/>
  <c r="Q427" s="1"/>
  <c r="I417"/>
  <c r="I419" s="1"/>
  <c r="H417"/>
  <c r="H419" s="1"/>
  <c r="J1214"/>
  <c r="J1215" s="1"/>
  <c r="M1214"/>
  <c r="M1215" s="1"/>
  <c r="P1213"/>
  <c r="O1213" s="1"/>
  <c r="Q1213" s="1"/>
  <c r="R1213" s="1"/>
  <c r="I1207"/>
  <c r="I1208" s="1"/>
  <c r="H1207"/>
  <c r="H1208" s="1"/>
  <c r="G1208"/>
  <c r="P1219"/>
  <c r="O1219" s="1"/>
  <c r="F1206"/>
  <c r="N1206" s="1"/>
  <c r="E1215"/>
  <c r="L1214"/>
  <c r="L1215" s="1"/>
  <c r="D1215"/>
  <c r="K1221"/>
  <c r="K1222" s="1"/>
  <c r="D1221"/>
  <c r="D1222" s="1"/>
  <c r="E1221"/>
  <c r="M1221" s="1"/>
  <c r="M1222" s="1"/>
  <c r="E1207"/>
  <c r="M1207" s="1"/>
  <c r="M1208" s="1"/>
  <c r="K1207"/>
  <c r="K1208" s="1"/>
  <c r="D1207"/>
  <c r="D1208" s="1"/>
  <c r="C1208"/>
  <c r="N1205"/>
  <c r="H1221"/>
  <c r="H1222" s="1"/>
  <c r="I1221"/>
  <c r="I1222" s="1"/>
  <c r="G1222"/>
  <c r="N1212"/>
  <c r="F1214"/>
  <c r="N1214" s="1"/>
  <c r="P1220"/>
  <c r="O1220" s="1"/>
  <c r="Q1220" s="1"/>
  <c r="R1220" s="1"/>
  <c r="C1222"/>
  <c r="F1181"/>
  <c r="P1179"/>
  <c r="O1179" s="1"/>
  <c r="Q1179" s="1"/>
  <c r="R1179" s="1"/>
  <c r="N1185"/>
  <c r="I1173"/>
  <c r="J1173" s="1"/>
  <c r="J1174" s="1"/>
  <c r="H1173"/>
  <c r="H1174" s="1"/>
  <c r="G1174"/>
  <c r="P1171"/>
  <c r="O1171" s="1"/>
  <c r="L1180"/>
  <c r="L1181" s="1"/>
  <c r="D1181"/>
  <c r="F1172"/>
  <c r="J1180"/>
  <c r="J1181" s="1"/>
  <c r="K1187"/>
  <c r="K1188" s="1"/>
  <c r="D1187"/>
  <c r="D1188" s="1"/>
  <c r="E1187"/>
  <c r="F1187" s="1"/>
  <c r="E1173"/>
  <c r="M1173" s="1"/>
  <c r="M1174" s="1"/>
  <c r="K1173"/>
  <c r="K1174" s="1"/>
  <c r="D1173"/>
  <c r="L1173" s="1"/>
  <c r="L1174" s="1"/>
  <c r="C1174"/>
  <c r="H1187"/>
  <c r="H1188" s="1"/>
  <c r="I1187"/>
  <c r="I1188" s="1"/>
  <c r="G1188"/>
  <c r="O1178"/>
  <c r="P1186"/>
  <c r="O1186" s="1"/>
  <c r="Q1186" s="1"/>
  <c r="R1186" s="1"/>
  <c r="M1180"/>
  <c r="M1181" s="1"/>
  <c r="E1181"/>
  <c r="E1188"/>
  <c r="E1174"/>
  <c r="I1174"/>
  <c r="N1152"/>
  <c r="M1146"/>
  <c r="N1151"/>
  <c r="I1139"/>
  <c r="I1140" s="1"/>
  <c r="H1139"/>
  <c r="H1140" s="1"/>
  <c r="M1147"/>
  <c r="L1138"/>
  <c r="P1145"/>
  <c r="O1145"/>
  <c r="Q1145" s="1"/>
  <c r="R1145" s="1"/>
  <c r="P1137"/>
  <c r="O1137"/>
  <c r="F1138"/>
  <c r="L1146"/>
  <c r="L1147" s="1"/>
  <c r="J1146"/>
  <c r="J1147" s="1"/>
  <c r="K1153"/>
  <c r="K1154" s="1"/>
  <c r="D1153"/>
  <c r="L1153" s="1"/>
  <c r="E1153"/>
  <c r="F1153"/>
  <c r="F1154" s="1"/>
  <c r="E1139"/>
  <c r="M1139" s="1"/>
  <c r="M1140" s="1"/>
  <c r="J1139"/>
  <c r="J1140" s="1"/>
  <c r="F1139"/>
  <c r="N1139" s="1"/>
  <c r="K1139"/>
  <c r="K1140" s="1"/>
  <c r="D1139"/>
  <c r="L1139" s="1"/>
  <c r="C1140"/>
  <c r="H1153"/>
  <c r="H1154" s="1"/>
  <c r="I1153"/>
  <c r="I1154" s="1"/>
  <c r="G1154"/>
  <c r="L1154"/>
  <c r="N1146"/>
  <c r="N1144"/>
  <c r="N1103"/>
  <c r="L1104"/>
  <c r="F1104"/>
  <c r="N1104" s="1"/>
  <c r="P1111"/>
  <c r="O1111" s="1"/>
  <c r="Q1111" s="1"/>
  <c r="R1111" s="1"/>
  <c r="H1119"/>
  <c r="H1120" s="1"/>
  <c r="I1119"/>
  <c r="I1120" s="1"/>
  <c r="N1117"/>
  <c r="I1105"/>
  <c r="I1106" s="1"/>
  <c r="H1105"/>
  <c r="H1106" s="1"/>
  <c r="K1119"/>
  <c r="K1120" s="1"/>
  <c r="D1119"/>
  <c r="E1119"/>
  <c r="M1119" s="1"/>
  <c r="M1120" s="1"/>
  <c r="E1105"/>
  <c r="F1105" s="1"/>
  <c r="K1105"/>
  <c r="K1106" s="1"/>
  <c r="D1105"/>
  <c r="H1113"/>
  <c r="L1112"/>
  <c r="L1113" s="1"/>
  <c r="M1112"/>
  <c r="M1113" s="1"/>
  <c r="E1113"/>
  <c r="N1110"/>
  <c r="F1112"/>
  <c r="N1112" s="1"/>
  <c r="F1118"/>
  <c r="N1118" s="1"/>
  <c r="L1118"/>
  <c r="M1104"/>
  <c r="M1078"/>
  <c r="M1079" s="1"/>
  <c r="E1079"/>
  <c r="P1077"/>
  <c r="O1077" s="1"/>
  <c r="Q1077" s="1"/>
  <c r="R1077" s="1"/>
  <c r="M1084"/>
  <c r="L1070"/>
  <c r="F1070"/>
  <c r="N1083"/>
  <c r="H1085"/>
  <c r="H1086" s="1"/>
  <c r="I1085"/>
  <c r="I1086" s="1"/>
  <c r="K1085"/>
  <c r="K1086" s="1"/>
  <c r="D1085"/>
  <c r="E1085"/>
  <c r="E1086" s="1"/>
  <c r="F1085"/>
  <c r="F1086" s="1"/>
  <c r="E1071"/>
  <c r="E1072" s="1"/>
  <c r="F1071"/>
  <c r="K1071"/>
  <c r="K1072" s="1"/>
  <c r="D1071"/>
  <c r="C1072"/>
  <c r="P1069"/>
  <c r="O1069"/>
  <c r="J1084"/>
  <c r="C1086"/>
  <c r="L1078"/>
  <c r="L1079" s="1"/>
  <c r="D1079"/>
  <c r="N1084"/>
  <c r="L1084"/>
  <c r="M1070"/>
  <c r="G1086"/>
  <c r="I1071"/>
  <c r="I1072" s="1"/>
  <c r="H1071"/>
  <c r="H1072" s="1"/>
  <c r="G1072"/>
  <c r="P1076"/>
  <c r="O1076" s="1"/>
  <c r="F1078"/>
  <c r="J1070"/>
  <c r="P1043"/>
  <c r="O1043"/>
  <c r="Q1043" s="1"/>
  <c r="R1043" s="1"/>
  <c r="K1051"/>
  <c r="K1052" s="1"/>
  <c r="D1051"/>
  <c r="D1052" s="1"/>
  <c r="E1051"/>
  <c r="M1051" s="1"/>
  <c r="M1052" s="1"/>
  <c r="E1037"/>
  <c r="K1037"/>
  <c r="K1038" s="1"/>
  <c r="D1037"/>
  <c r="D1038" s="1"/>
  <c r="C1038"/>
  <c r="N1049"/>
  <c r="H1051"/>
  <c r="H1052" s="1"/>
  <c r="I1051"/>
  <c r="I1052" s="1"/>
  <c r="G1052"/>
  <c r="C1052"/>
  <c r="F1050"/>
  <c r="N1050" s="1"/>
  <c r="L1044"/>
  <c r="L1045" s="1"/>
  <c r="O1042"/>
  <c r="I1037"/>
  <c r="I1038" s="1"/>
  <c r="H1037"/>
  <c r="H1038" s="1"/>
  <c r="G1038"/>
  <c r="F1044"/>
  <c r="P1035"/>
  <c r="F1036"/>
  <c r="E1045"/>
  <c r="D1045"/>
  <c r="P1015"/>
  <c r="O1015"/>
  <c r="P1010"/>
  <c r="O1010"/>
  <c r="Q1010" s="1"/>
  <c r="R1010" s="1"/>
  <c r="F1011"/>
  <c r="N1008"/>
  <c r="N1016"/>
  <c r="L1016"/>
  <c r="M1002"/>
  <c r="P1009"/>
  <c r="O1009" s="1"/>
  <c r="Q1009" s="1"/>
  <c r="R1009" s="1"/>
  <c r="I1003"/>
  <c r="I1004" s="1"/>
  <c r="H1003"/>
  <c r="H1004" s="1"/>
  <c r="M1010"/>
  <c r="M1011" s="1"/>
  <c r="E1011"/>
  <c r="P1001"/>
  <c r="H1011"/>
  <c r="M1016"/>
  <c r="L1002"/>
  <c r="F1002"/>
  <c r="H1017"/>
  <c r="H1018" s="1"/>
  <c r="I1017"/>
  <c r="I1018" s="1"/>
  <c r="K1017"/>
  <c r="K1018" s="1"/>
  <c r="D1017"/>
  <c r="E1017"/>
  <c r="F1017"/>
  <c r="C1018"/>
  <c r="E1003"/>
  <c r="F1003"/>
  <c r="K1003"/>
  <c r="K1004" s="1"/>
  <c r="D1003"/>
  <c r="C1004"/>
  <c r="L1010"/>
  <c r="L1011" s="1"/>
  <c r="N967"/>
  <c r="M982"/>
  <c r="L968"/>
  <c r="F968"/>
  <c r="N968" s="1"/>
  <c r="N981"/>
  <c r="H983"/>
  <c r="J983" s="1"/>
  <c r="I983"/>
  <c r="I984" s="1"/>
  <c r="K983"/>
  <c r="K984" s="1"/>
  <c r="D983"/>
  <c r="L983" s="1"/>
  <c r="E983"/>
  <c r="M983" s="1"/>
  <c r="F983"/>
  <c r="E969"/>
  <c r="F969"/>
  <c r="K969"/>
  <c r="K970" s="1"/>
  <c r="D969"/>
  <c r="C970"/>
  <c r="J982"/>
  <c r="L976"/>
  <c r="L977" s="1"/>
  <c r="D977"/>
  <c r="P974"/>
  <c r="O974"/>
  <c r="P975"/>
  <c r="O975"/>
  <c r="Q975" s="1"/>
  <c r="R975" s="1"/>
  <c r="N982"/>
  <c r="L982"/>
  <c r="L984" s="1"/>
  <c r="M968"/>
  <c r="G984"/>
  <c r="I969"/>
  <c r="I970" s="1"/>
  <c r="H969"/>
  <c r="J969" s="1"/>
  <c r="J970" s="1"/>
  <c r="G970"/>
  <c r="F976"/>
  <c r="M942"/>
  <c r="M943" s="1"/>
  <c r="E943"/>
  <c r="P947"/>
  <c r="O947" s="1"/>
  <c r="L948"/>
  <c r="M934"/>
  <c r="L942"/>
  <c r="L943" s="1"/>
  <c r="D943"/>
  <c r="I935"/>
  <c r="I936" s="1"/>
  <c r="H935"/>
  <c r="H936" s="1"/>
  <c r="M948"/>
  <c r="L934"/>
  <c r="E935"/>
  <c r="M935" s="1"/>
  <c r="K935"/>
  <c r="K936" s="1"/>
  <c r="J935"/>
  <c r="D935"/>
  <c r="L935" s="1"/>
  <c r="C936"/>
  <c r="F943"/>
  <c r="N941"/>
  <c r="N943" s="1"/>
  <c r="P940"/>
  <c r="O940"/>
  <c r="N933"/>
  <c r="J934"/>
  <c r="P942"/>
  <c r="O942" s="1"/>
  <c r="Q942" s="1"/>
  <c r="R942" s="1"/>
  <c r="I949"/>
  <c r="I950" s="1"/>
  <c r="H949"/>
  <c r="H950" s="1"/>
  <c r="K949"/>
  <c r="K950" s="1"/>
  <c r="D949"/>
  <c r="E949"/>
  <c r="F949"/>
  <c r="N948"/>
  <c r="P912"/>
  <c r="O912"/>
  <c r="P906"/>
  <c r="O906"/>
  <c r="Q906" s="1"/>
  <c r="R906" s="1"/>
  <c r="N904"/>
  <c r="N908" s="1"/>
  <c r="N913"/>
  <c r="L913"/>
  <c r="M897"/>
  <c r="P905"/>
  <c r="O905" s="1"/>
  <c r="Q905" s="1"/>
  <c r="R905" s="1"/>
  <c r="I898"/>
  <c r="I900" s="1"/>
  <c r="H898"/>
  <c r="H900" s="1"/>
  <c r="M906"/>
  <c r="M908" s="1"/>
  <c r="P896"/>
  <c r="M913"/>
  <c r="L897"/>
  <c r="F897"/>
  <c r="H914"/>
  <c r="H916" s="1"/>
  <c r="I914"/>
  <c r="I916" s="1"/>
  <c r="K914"/>
  <c r="K916" s="1"/>
  <c r="D914"/>
  <c r="D916" s="1"/>
  <c r="E914"/>
  <c r="E916" s="1"/>
  <c r="F914"/>
  <c r="F916" s="1"/>
  <c r="E898"/>
  <c r="E900" s="1"/>
  <c r="F898"/>
  <c r="K898"/>
  <c r="K900" s="1"/>
  <c r="D898"/>
  <c r="D900" s="1"/>
  <c r="L906"/>
  <c r="L908" s="1"/>
  <c r="P875"/>
  <c r="O875"/>
  <c r="P869"/>
  <c r="O869"/>
  <c r="Q869" s="1"/>
  <c r="R869" s="1"/>
  <c r="N867"/>
  <c r="N871" s="1"/>
  <c r="N876"/>
  <c r="L876"/>
  <c r="M860"/>
  <c r="P868"/>
  <c r="O868" s="1"/>
  <c r="Q868" s="1"/>
  <c r="R868" s="1"/>
  <c r="I861"/>
  <c r="I863" s="1"/>
  <c r="H861"/>
  <c r="H863" s="1"/>
  <c r="M869"/>
  <c r="M871" s="1"/>
  <c r="P859"/>
  <c r="O859"/>
  <c r="M876"/>
  <c r="L860"/>
  <c r="F860"/>
  <c r="H877"/>
  <c r="H879" s="1"/>
  <c r="I877"/>
  <c r="I879" s="1"/>
  <c r="K877"/>
  <c r="K879" s="1"/>
  <c r="D877"/>
  <c r="D879" s="1"/>
  <c r="E877"/>
  <c r="F877" s="1"/>
  <c r="F879" s="1"/>
  <c r="E861"/>
  <c r="E863" s="1"/>
  <c r="J861"/>
  <c r="J863" s="1"/>
  <c r="K861"/>
  <c r="K863" s="1"/>
  <c r="D861"/>
  <c r="D863" s="1"/>
  <c r="L869"/>
  <c r="L871" s="1"/>
  <c r="P838"/>
  <c r="O838"/>
  <c r="P832"/>
  <c r="O832" s="1"/>
  <c r="Q832" s="1"/>
  <c r="R832" s="1"/>
  <c r="N830"/>
  <c r="N839"/>
  <c r="L839"/>
  <c r="M823"/>
  <c r="P831"/>
  <c r="O831" s="1"/>
  <c r="Q831" s="1"/>
  <c r="R831" s="1"/>
  <c r="I824"/>
  <c r="I826" s="1"/>
  <c r="H824"/>
  <c r="H826" s="1"/>
  <c r="M832"/>
  <c r="P822"/>
  <c r="O822"/>
  <c r="M839"/>
  <c r="L823"/>
  <c r="F823"/>
  <c r="H840"/>
  <c r="H842" s="1"/>
  <c r="I840"/>
  <c r="I842" s="1"/>
  <c r="K840"/>
  <c r="K842" s="1"/>
  <c r="D840"/>
  <c r="D842" s="1"/>
  <c r="E840"/>
  <c r="E842" s="1"/>
  <c r="F840"/>
  <c r="F842" s="1"/>
  <c r="E824"/>
  <c r="E826" s="1"/>
  <c r="J824"/>
  <c r="J826" s="1"/>
  <c r="K824"/>
  <c r="K826" s="1"/>
  <c r="D824"/>
  <c r="D826" s="1"/>
  <c r="L832"/>
  <c r="P801"/>
  <c r="O801"/>
  <c r="P795"/>
  <c r="O795"/>
  <c r="Q795" s="1"/>
  <c r="R795" s="1"/>
  <c r="N793"/>
  <c r="N797" s="1"/>
  <c r="N802"/>
  <c r="L802"/>
  <c r="M786"/>
  <c r="P794"/>
  <c r="O794" s="1"/>
  <c r="Q794" s="1"/>
  <c r="R794" s="1"/>
  <c r="I787"/>
  <c r="I789" s="1"/>
  <c r="H787"/>
  <c r="H789" s="1"/>
  <c r="M795"/>
  <c r="M797" s="1"/>
  <c r="P785"/>
  <c r="M802"/>
  <c r="L786"/>
  <c r="F786"/>
  <c r="H803"/>
  <c r="H805" s="1"/>
  <c r="I803"/>
  <c r="I805" s="1"/>
  <c r="K803"/>
  <c r="K805" s="1"/>
  <c r="D803"/>
  <c r="D805" s="1"/>
  <c r="E803"/>
  <c r="E805" s="1"/>
  <c r="F803"/>
  <c r="F805" s="1"/>
  <c r="E787"/>
  <c r="E789" s="1"/>
  <c r="F787"/>
  <c r="K787"/>
  <c r="K789" s="1"/>
  <c r="D787"/>
  <c r="D789" s="1"/>
  <c r="L795"/>
  <c r="L797" s="1"/>
  <c r="M758"/>
  <c r="M760" s="1"/>
  <c r="J749"/>
  <c r="H766"/>
  <c r="H768" s="1"/>
  <c r="I766"/>
  <c r="I768" s="1"/>
  <c r="P748"/>
  <c r="N764"/>
  <c r="M765"/>
  <c r="L749"/>
  <c r="F749"/>
  <c r="P757"/>
  <c r="O757"/>
  <c r="Q757" s="1"/>
  <c r="R757" s="1"/>
  <c r="L758"/>
  <c r="L760" s="1"/>
  <c r="K766"/>
  <c r="K768" s="1"/>
  <c r="D766"/>
  <c r="L766" s="1"/>
  <c r="E766"/>
  <c r="E768" s="1"/>
  <c r="F766"/>
  <c r="F768" s="1"/>
  <c r="E750"/>
  <c r="E752" s="1"/>
  <c r="F750"/>
  <c r="K750"/>
  <c r="K752" s="1"/>
  <c r="D750"/>
  <c r="D752" s="1"/>
  <c r="J765"/>
  <c r="I750"/>
  <c r="I752" s="1"/>
  <c r="H750"/>
  <c r="J750" s="1"/>
  <c r="P758"/>
  <c r="O758" s="1"/>
  <c r="Q758" s="1"/>
  <c r="R758" s="1"/>
  <c r="P756"/>
  <c r="O756"/>
  <c r="N765"/>
  <c r="L765"/>
  <c r="M749"/>
  <c r="P721"/>
  <c r="O721" s="1"/>
  <c r="Q721" s="1"/>
  <c r="R721" s="1"/>
  <c r="P727"/>
  <c r="O727"/>
  <c r="N719"/>
  <c r="N723" s="1"/>
  <c r="N728"/>
  <c r="L728"/>
  <c r="M712"/>
  <c r="P720"/>
  <c r="O720" s="1"/>
  <c r="Q720" s="1"/>
  <c r="R720" s="1"/>
  <c r="I713"/>
  <c r="I715" s="1"/>
  <c r="H713"/>
  <c r="H715" s="1"/>
  <c r="M721"/>
  <c r="M723" s="1"/>
  <c r="P711"/>
  <c r="M728"/>
  <c r="L712"/>
  <c r="F712"/>
  <c r="H729"/>
  <c r="H731" s="1"/>
  <c r="I729"/>
  <c r="I731" s="1"/>
  <c r="K729"/>
  <c r="K731" s="1"/>
  <c r="D729"/>
  <c r="D731" s="1"/>
  <c r="E729"/>
  <c r="E731" s="1"/>
  <c r="F729"/>
  <c r="F731" s="1"/>
  <c r="E713"/>
  <c r="E715" s="1"/>
  <c r="J713"/>
  <c r="J715" s="1"/>
  <c r="K713"/>
  <c r="K715" s="1"/>
  <c r="D713"/>
  <c r="D715" s="1"/>
  <c r="L721"/>
  <c r="L723" s="1"/>
  <c r="P690"/>
  <c r="O690"/>
  <c r="P684"/>
  <c r="O684"/>
  <c r="Q684" s="1"/>
  <c r="R684" s="1"/>
  <c r="N682"/>
  <c r="N686" s="1"/>
  <c r="N691"/>
  <c r="L691"/>
  <c r="M675"/>
  <c r="P683"/>
  <c r="O683" s="1"/>
  <c r="Q683" s="1"/>
  <c r="R683" s="1"/>
  <c r="I676"/>
  <c r="I678" s="1"/>
  <c r="H676"/>
  <c r="H678" s="1"/>
  <c r="M684"/>
  <c r="M686" s="1"/>
  <c r="P674"/>
  <c r="M691"/>
  <c r="L675"/>
  <c r="F675"/>
  <c r="H692"/>
  <c r="H694" s="1"/>
  <c r="I692"/>
  <c r="I694" s="1"/>
  <c r="K692"/>
  <c r="K694" s="1"/>
  <c r="D692"/>
  <c r="D694" s="1"/>
  <c r="E692"/>
  <c r="E694" s="1"/>
  <c r="F692"/>
  <c r="F694" s="1"/>
  <c r="E676"/>
  <c r="E678" s="1"/>
  <c r="F676"/>
  <c r="K676"/>
  <c r="K678" s="1"/>
  <c r="D676"/>
  <c r="D678" s="1"/>
  <c r="L684"/>
  <c r="L686" s="1"/>
  <c r="P647"/>
  <c r="O647" s="1"/>
  <c r="Q647" s="1"/>
  <c r="R647" s="1"/>
  <c r="P653"/>
  <c r="O653"/>
  <c r="N645"/>
  <c r="N649" s="1"/>
  <c r="N654"/>
  <c r="L654"/>
  <c r="M638"/>
  <c r="P646"/>
  <c r="O646" s="1"/>
  <c r="Q646" s="1"/>
  <c r="R646" s="1"/>
  <c r="I639"/>
  <c r="I641" s="1"/>
  <c r="H639"/>
  <c r="H641" s="1"/>
  <c r="M647"/>
  <c r="M649" s="1"/>
  <c r="P637"/>
  <c r="M654"/>
  <c r="L638"/>
  <c r="F638"/>
  <c r="H655"/>
  <c r="H657" s="1"/>
  <c r="I655"/>
  <c r="I657" s="1"/>
  <c r="K655"/>
  <c r="K657" s="1"/>
  <c r="D655"/>
  <c r="D657" s="1"/>
  <c r="E655"/>
  <c r="E657" s="1"/>
  <c r="F655"/>
  <c r="F657" s="1"/>
  <c r="E639"/>
  <c r="E641" s="1"/>
  <c r="J639"/>
  <c r="J641" s="1"/>
  <c r="K639"/>
  <c r="K641" s="1"/>
  <c r="D639"/>
  <c r="D641" s="1"/>
  <c r="L647"/>
  <c r="L649" s="1"/>
  <c r="P616"/>
  <c r="O616"/>
  <c r="P610"/>
  <c r="O610"/>
  <c r="Q610" s="1"/>
  <c r="R610" s="1"/>
  <c r="N608"/>
  <c r="N612" s="1"/>
  <c r="N617"/>
  <c r="L617"/>
  <c r="M601"/>
  <c r="P609"/>
  <c r="O609" s="1"/>
  <c r="Q609" s="1"/>
  <c r="R609" s="1"/>
  <c r="I602"/>
  <c r="I604" s="1"/>
  <c r="H602"/>
  <c r="H604" s="1"/>
  <c r="M610"/>
  <c r="M612" s="1"/>
  <c r="P600"/>
  <c r="O600"/>
  <c r="M617"/>
  <c r="L601"/>
  <c r="F601"/>
  <c r="H618"/>
  <c r="H620" s="1"/>
  <c r="I618"/>
  <c r="I620" s="1"/>
  <c r="K618"/>
  <c r="K620" s="1"/>
  <c r="D618"/>
  <c r="D620" s="1"/>
  <c r="E618"/>
  <c r="F618" s="1"/>
  <c r="F620" s="1"/>
  <c r="E602"/>
  <c r="E604" s="1"/>
  <c r="J602"/>
  <c r="J604" s="1"/>
  <c r="K602"/>
  <c r="K604" s="1"/>
  <c r="D602"/>
  <c r="D604" s="1"/>
  <c r="L610"/>
  <c r="L612" s="1"/>
  <c r="N573"/>
  <c r="N575" s="1"/>
  <c r="P572"/>
  <c r="O572" s="1"/>
  <c r="Q572" s="1"/>
  <c r="R572" s="1"/>
  <c r="P571"/>
  <c r="N579"/>
  <c r="N580"/>
  <c r="L580"/>
  <c r="M564"/>
  <c r="I565"/>
  <c r="I567" s="1"/>
  <c r="H565"/>
  <c r="H567" s="1"/>
  <c r="M573"/>
  <c r="M575" s="1"/>
  <c r="J564"/>
  <c r="M580"/>
  <c r="L564"/>
  <c r="F564"/>
  <c r="N564" s="1"/>
  <c r="H581"/>
  <c r="H583" s="1"/>
  <c r="I581"/>
  <c r="I583" s="1"/>
  <c r="N563"/>
  <c r="L573"/>
  <c r="L575" s="1"/>
  <c r="K581"/>
  <c r="K583" s="1"/>
  <c r="D581"/>
  <c r="L581" s="1"/>
  <c r="E581"/>
  <c r="E583" s="1"/>
  <c r="J581"/>
  <c r="J583" s="1"/>
  <c r="F581"/>
  <c r="F583" s="1"/>
  <c r="E565"/>
  <c r="E567" s="1"/>
  <c r="J565"/>
  <c r="K565"/>
  <c r="K567" s="1"/>
  <c r="D565"/>
  <c r="L565" s="1"/>
  <c r="P542"/>
  <c r="O542"/>
  <c r="P535"/>
  <c r="O535" s="1"/>
  <c r="Q535" s="1"/>
  <c r="R535" s="1"/>
  <c r="M536"/>
  <c r="M538" s="1"/>
  <c r="H544"/>
  <c r="H546" s="1"/>
  <c r="I544"/>
  <c r="I546" s="1"/>
  <c r="L527"/>
  <c r="F527"/>
  <c r="N527" s="1"/>
  <c r="N526"/>
  <c r="I528"/>
  <c r="I530" s="1"/>
  <c r="H528"/>
  <c r="H530" s="1"/>
  <c r="K544"/>
  <c r="K546" s="1"/>
  <c r="D544"/>
  <c r="D546" s="1"/>
  <c r="E544"/>
  <c r="M544" s="1"/>
  <c r="M546" s="1"/>
  <c r="J544"/>
  <c r="J546" s="1"/>
  <c r="F544"/>
  <c r="F546" s="1"/>
  <c r="E528"/>
  <c r="E530" s="1"/>
  <c r="J528"/>
  <c r="J530" s="1"/>
  <c r="K528"/>
  <c r="K530" s="1"/>
  <c r="D528"/>
  <c r="D530" s="1"/>
  <c r="L536"/>
  <c r="L538" s="1"/>
  <c r="N534"/>
  <c r="N536"/>
  <c r="N543"/>
  <c r="L543"/>
  <c r="M527"/>
  <c r="P499"/>
  <c r="O499" s="1"/>
  <c r="Q499" s="1"/>
  <c r="R499" s="1"/>
  <c r="P505"/>
  <c r="N497"/>
  <c r="N501" s="1"/>
  <c r="F506"/>
  <c r="L506"/>
  <c r="M490"/>
  <c r="P498"/>
  <c r="O498"/>
  <c r="Q498" s="1"/>
  <c r="R498" s="1"/>
  <c r="I491"/>
  <c r="I493" s="1"/>
  <c r="H491"/>
  <c r="H493" s="1"/>
  <c r="M499"/>
  <c r="M501" s="1"/>
  <c r="P489"/>
  <c r="L490"/>
  <c r="F490"/>
  <c r="H507"/>
  <c r="H509" s="1"/>
  <c r="I507"/>
  <c r="I509" s="1"/>
  <c r="K507"/>
  <c r="K509" s="1"/>
  <c r="D507"/>
  <c r="D509" s="1"/>
  <c r="E507"/>
  <c r="M507" s="1"/>
  <c r="M509" s="1"/>
  <c r="E491"/>
  <c r="E493" s="1"/>
  <c r="F491"/>
  <c r="K491"/>
  <c r="K493" s="1"/>
  <c r="D491"/>
  <c r="D493" s="1"/>
  <c r="L499"/>
  <c r="L501" s="1"/>
  <c r="J453"/>
  <c r="F462"/>
  <c r="N462" s="1"/>
  <c r="I454"/>
  <c r="I456" s="1"/>
  <c r="H454"/>
  <c r="J454" s="1"/>
  <c r="P452"/>
  <c r="O452"/>
  <c r="M469"/>
  <c r="L453"/>
  <c r="F453"/>
  <c r="M462"/>
  <c r="M464" s="1"/>
  <c r="N460"/>
  <c r="K470"/>
  <c r="K472" s="1"/>
  <c r="D470"/>
  <c r="D472" s="1"/>
  <c r="E470"/>
  <c r="E472" s="1"/>
  <c r="F470"/>
  <c r="F472" s="1"/>
  <c r="E454"/>
  <c r="M454" s="1"/>
  <c r="M456" s="1"/>
  <c r="F454"/>
  <c r="K454"/>
  <c r="K456" s="1"/>
  <c r="D454"/>
  <c r="D456" s="1"/>
  <c r="P468"/>
  <c r="O468"/>
  <c r="H470"/>
  <c r="H472" s="1"/>
  <c r="I470"/>
  <c r="I472" s="1"/>
  <c r="P461"/>
  <c r="O461" s="1"/>
  <c r="Q461" s="1"/>
  <c r="R461" s="1"/>
  <c r="N469"/>
  <c r="L462"/>
  <c r="L464" s="1"/>
  <c r="D396"/>
  <c r="E396"/>
  <c r="E398" s="1"/>
  <c r="Q396"/>
  <c r="Q398" s="1"/>
  <c r="H396"/>
  <c r="H398" s="1"/>
  <c r="I396"/>
  <c r="H388"/>
  <c r="H390" s="1"/>
  <c r="I388"/>
  <c r="I390" s="1"/>
  <c r="P386"/>
  <c r="E380"/>
  <c r="E382" s="1"/>
  <c r="D380"/>
  <c r="D382" s="1"/>
  <c r="H380"/>
  <c r="I380"/>
  <c r="I382" s="1"/>
  <c r="D359"/>
  <c r="D361" s="1"/>
  <c r="E359"/>
  <c r="E361" s="1"/>
  <c r="Q359"/>
  <c r="Q361" s="1"/>
  <c r="P349"/>
  <c r="H351"/>
  <c r="H353" s="1"/>
  <c r="I351"/>
  <c r="I353" s="1"/>
  <c r="D351"/>
  <c r="D353" s="1"/>
  <c r="E351"/>
  <c r="Q351"/>
  <c r="Q353" s="1"/>
  <c r="H343"/>
  <c r="H345" s="1"/>
  <c r="I343"/>
  <c r="I345" s="1"/>
  <c r="H322"/>
  <c r="H324" s="1"/>
  <c r="I322"/>
  <c r="I324" s="1"/>
  <c r="D322"/>
  <c r="D324" s="1"/>
  <c r="E322"/>
  <c r="E324" s="1"/>
  <c r="Q322"/>
  <c r="H314"/>
  <c r="I314"/>
  <c r="I316" s="1"/>
  <c r="D306"/>
  <c r="D308" s="1"/>
  <c r="E306"/>
  <c r="E308" s="1"/>
  <c r="I91"/>
  <c r="H91"/>
  <c r="K25"/>
  <c r="N424"/>
  <c r="J351"/>
  <c r="J353" s="1"/>
  <c r="F91"/>
  <c r="F395"/>
  <c r="N395" s="1"/>
  <c r="P395" s="1"/>
  <c r="F432"/>
  <c r="J127"/>
  <c r="M432"/>
  <c r="E194"/>
  <c r="M194" s="1"/>
  <c r="D194"/>
  <c r="L194" s="1"/>
  <c r="C195"/>
  <c r="G195" s="1"/>
  <c r="Q194"/>
  <c r="H173"/>
  <c r="I173"/>
  <c r="I128"/>
  <c r="H128"/>
  <c r="E128"/>
  <c r="K128"/>
  <c r="D128"/>
  <c r="C131"/>
  <c r="J63"/>
  <c r="K63"/>
  <c r="F62"/>
  <c r="M45"/>
  <c r="H47"/>
  <c r="H49" s="1"/>
  <c r="I47"/>
  <c r="J247"/>
  <c r="J432"/>
  <c r="F210"/>
  <c r="N210" s="1"/>
  <c r="J358"/>
  <c r="F358"/>
  <c r="N358" s="1"/>
  <c r="P358" s="1"/>
  <c r="J395"/>
  <c r="L432"/>
  <c r="F240"/>
  <c r="N240" s="1"/>
  <c r="J314"/>
  <c r="J316" s="1"/>
  <c r="H84"/>
  <c r="H86" s="1"/>
  <c r="I84"/>
  <c r="I86" s="1"/>
  <c r="H166"/>
  <c r="I166"/>
  <c r="D84"/>
  <c r="E84"/>
  <c r="E86" s="1"/>
  <c r="N61"/>
  <c r="H100"/>
  <c r="H102" s="1"/>
  <c r="I100"/>
  <c r="M203"/>
  <c r="J210"/>
  <c r="F321"/>
  <c r="N98"/>
  <c r="J165"/>
  <c r="N165" s="1"/>
  <c r="L165"/>
  <c r="D100"/>
  <c r="D102" s="1"/>
  <c r="E100"/>
  <c r="E102" s="1"/>
  <c r="L203"/>
  <c r="J240"/>
  <c r="M247"/>
  <c r="L284"/>
  <c r="M388"/>
  <c r="M390" s="1"/>
  <c r="J425"/>
  <c r="J427" s="1"/>
  <c r="M425"/>
  <c r="D92"/>
  <c r="E92"/>
  <c r="E137"/>
  <c r="D137"/>
  <c r="D174"/>
  <c r="E174"/>
  <c r="J203"/>
  <c r="J277"/>
  <c r="J284"/>
  <c r="J321"/>
  <c r="D55"/>
  <c r="D57" s="1"/>
  <c r="E55"/>
  <c r="E63"/>
  <c r="E65" s="1"/>
  <c r="D63"/>
  <c r="L63" s="1"/>
  <c r="E158"/>
  <c r="E160" s="1"/>
  <c r="D158"/>
  <c r="D160" s="1"/>
  <c r="F173"/>
  <c r="I121"/>
  <c r="I123" s="1"/>
  <c r="H121"/>
  <c r="H123" s="1"/>
  <c r="O431"/>
  <c r="O415"/>
  <c r="F416"/>
  <c r="L425"/>
  <c r="L427" s="1"/>
  <c r="K433"/>
  <c r="K435" s="1"/>
  <c r="M417"/>
  <c r="M419" s="1"/>
  <c r="J417"/>
  <c r="J419" s="1"/>
  <c r="K417"/>
  <c r="K419" s="1"/>
  <c r="F425"/>
  <c r="N425" s="1"/>
  <c r="P425" s="1"/>
  <c r="N423"/>
  <c r="L395"/>
  <c r="L388"/>
  <c r="L390" s="1"/>
  <c r="J388"/>
  <c r="J390" s="1"/>
  <c r="N394"/>
  <c r="L379"/>
  <c r="F388"/>
  <c r="F390" s="1"/>
  <c r="M395"/>
  <c r="F379"/>
  <c r="K396"/>
  <c r="K398" s="1"/>
  <c r="J380"/>
  <c r="J382" s="1"/>
  <c r="K380"/>
  <c r="K382" s="1"/>
  <c r="N341"/>
  <c r="M358"/>
  <c r="F342"/>
  <c r="N342" s="1"/>
  <c r="O350"/>
  <c r="R350" s="1"/>
  <c r="K359"/>
  <c r="K361" s="1"/>
  <c r="J343"/>
  <c r="J345" s="1"/>
  <c r="K343"/>
  <c r="K345" s="1"/>
  <c r="O349"/>
  <c r="L358"/>
  <c r="N357"/>
  <c r="F351"/>
  <c r="N312"/>
  <c r="L314"/>
  <c r="L316" s="1"/>
  <c r="N320"/>
  <c r="O304"/>
  <c r="F305"/>
  <c r="F314"/>
  <c r="F316" s="1"/>
  <c r="K322"/>
  <c r="K324" s="1"/>
  <c r="J306"/>
  <c r="J308" s="1"/>
  <c r="K306"/>
  <c r="K308" s="1"/>
  <c r="M314"/>
  <c r="M316" s="1"/>
  <c r="O275"/>
  <c r="O276"/>
  <c r="R276" s="1"/>
  <c r="F284"/>
  <c r="N284" s="1"/>
  <c r="L277"/>
  <c r="N283"/>
  <c r="L268"/>
  <c r="O267"/>
  <c r="F277"/>
  <c r="M284"/>
  <c r="F268"/>
  <c r="K285"/>
  <c r="J269"/>
  <c r="K269"/>
  <c r="L269"/>
  <c r="M277"/>
  <c r="O246"/>
  <c r="N238"/>
  <c r="F247"/>
  <c r="L240"/>
  <c r="O230"/>
  <c r="F231"/>
  <c r="K248"/>
  <c r="M232"/>
  <c r="J232"/>
  <c r="K232"/>
  <c r="M240"/>
  <c r="N194"/>
  <c r="N202"/>
  <c r="O209"/>
  <c r="O193"/>
  <c r="M210"/>
  <c r="K211"/>
  <c r="F203"/>
  <c r="N203" s="1"/>
  <c r="L210"/>
  <c r="O156"/>
  <c r="F157"/>
  <c r="J158"/>
  <c r="K158"/>
  <c r="N119"/>
  <c r="L136"/>
  <c r="L120"/>
  <c r="M136"/>
  <c r="F120"/>
  <c r="N135"/>
  <c r="K137"/>
  <c r="K139" s="1"/>
  <c r="K121"/>
  <c r="K100"/>
  <c r="K102" s="1"/>
  <c r="N90"/>
  <c r="F99"/>
  <c r="K84"/>
  <c r="F83"/>
  <c r="K55"/>
  <c r="K57" s="1"/>
  <c r="L54"/>
  <c r="K47"/>
  <c r="K49" s="1"/>
  <c r="F54"/>
  <c r="M46"/>
  <c r="N9"/>
  <c r="N8"/>
  <c r="E9" i="21"/>
  <c r="D9"/>
  <c r="J8" i="22"/>
  <c r="J9" s="1"/>
  <c r="K9"/>
  <c r="I9"/>
  <c r="M8"/>
  <c r="M9" s="1"/>
  <c r="E9"/>
  <c r="D9"/>
  <c r="L8"/>
  <c r="L9" s="1"/>
  <c r="L8" i="21"/>
  <c r="J8"/>
  <c r="M8"/>
  <c r="F8"/>
  <c r="C10" i="2"/>
  <c r="D9"/>
  <c r="E9"/>
  <c r="I195" i="23" l="1"/>
  <c r="H195"/>
  <c r="G65"/>
  <c r="H62"/>
  <c r="I62"/>
  <c r="H194"/>
  <c r="I194"/>
  <c r="H316"/>
  <c r="O12" i="21"/>
  <c r="C13"/>
  <c r="O13" s="1"/>
  <c r="D11"/>
  <c r="O10" i="2"/>
  <c r="F900" i="23"/>
  <c r="E879"/>
  <c r="L768"/>
  <c r="F789"/>
  <c r="D768"/>
  <c r="P760"/>
  <c r="O760"/>
  <c r="H752"/>
  <c r="O748"/>
  <c r="F752"/>
  <c r="J752"/>
  <c r="F678"/>
  <c r="E620"/>
  <c r="L583"/>
  <c r="D583"/>
  <c r="L567"/>
  <c r="O571"/>
  <c r="J567"/>
  <c r="D567"/>
  <c r="E546"/>
  <c r="N538"/>
  <c r="O505"/>
  <c r="E509"/>
  <c r="F493"/>
  <c r="O489"/>
  <c r="F456"/>
  <c r="F464"/>
  <c r="N464"/>
  <c r="E456"/>
  <c r="H456"/>
  <c r="J456"/>
  <c r="M427"/>
  <c r="F353"/>
  <c r="E139"/>
  <c r="I49"/>
  <c r="K65"/>
  <c r="H382"/>
  <c r="Q324"/>
  <c r="E353"/>
  <c r="F138"/>
  <c r="F427"/>
  <c r="J160"/>
  <c r="K160"/>
  <c r="N427"/>
  <c r="I102"/>
  <c r="I398"/>
  <c r="D398"/>
  <c r="P415"/>
  <c r="R397"/>
  <c r="P397"/>
  <c r="R381"/>
  <c r="P381"/>
  <c r="R360"/>
  <c r="P360"/>
  <c r="P352"/>
  <c r="R352"/>
  <c r="P341"/>
  <c r="N321"/>
  <c r="P321" s="1"/>
  <c r="P323"/>
  <c r="R323"/>
  <c r="H139"/>
  <c r="F167"/>
  <c r="F168" s="1"/>
  <c r="P307"/>
  <c r="R307"/>
  <c r="N136"/>
  <c r="P136" s="1"/>
  <c r="E49"/>
  <c r="P172"/>
  <c r="F101"/>
  <c r="G168"/>
  <c r="K168"/>
  <c r="Q156"/>
  <c r="N164"/>
  <c r="H57"/>
  <c r="J138"/>
  <c r="F159"/>
  <c r="N159" s="1"/>
  <c r="P159" s="1"/>
  <c r="Q159" s="1"/>
  <c r="R159" s="1"/>
  <c r="E175"/>
  <c r="D175"/>
  <c r="D176" s="1"/>
  <c r="E168"/>
  <c r="E11" i="21"/>
  <c r="I139" i="23"/>
  <c r="F85"/>
  <c r="K174"/>
  <c r="K175"/>
  <c r="I167"/>
  <c r="I168" s="1"/>
  <c r="H167"/>
  <c r="L167" s="1"/>
  <c r="D168"/>
  <c r="I57"/>
  <c r="L48"/>
  <c r="K123"/>
  <c r="L138"/>
  <c r="J122"/>
  <c r="N122" s="1"/>
  <c r="E130"/>
  <c r="K130"/>
  <c r="D130"/>
  <c r="P119"/>
  <c r="M138"/>
  <c r="D139"/>
  <c r="G131"/>
  <c r="P135"/>
  <c r="I130"/>
  <c r="H130"/>
  <c r="N127"/>
  <c r="M48"/>
  <c r="L85"/>
  <c r="K86"/>
  <c r="J85"/>
  <c r="E94"/>
  <c r="P90"/>
  <c r="I93"/>
  <c r="M93" s="1"/>
  <c r="H93"/>
  <c r="J101"/>
  <c r="M91"/>
  <c r="P82"/>
  <c r="K93"/>
  <c r="D86"/>
  <c r="L101"/>
  <c r="F93"/>
  <c r="M85"/>
  <c r="G94"/>
  <c r="D94"/>
  <c r="P98"/>
  <c r="M101"/>
  <c r="E57"/>
  <c r="F19"/>
  <c r="F20" s="1"/>
  <c r="J10"/>
  <c r="N10" s="1"/>
  <c r="J56"/>
  <c r="D65"/>
  <c r="L56"/>
  <c r="D20"/>
  <c r="F25"/>
  <c r="P16"/>
  <c r="G12"/>
  <c r="G28"/>
  <c r="P8"/>
  <c r="P61"/>
  <c r="N45"/>
  <c r="N53"/>
  <c r="L46"/>
  <c r="D49"/>
  <c r="F48"/>
  <c r="J48"/>
  <c r="F64"/>
  <c r="N64" s="1"/>
  <c r="F56"/>
  <c r="G20"/>
  <c r="P24"/>
  <c r="M56"/>
  <c r="F11"/>
  <c r="F12" s="1"/>
  <c r="I27"/>
  <c r="H27"/>
  <c r="I19"/>
  <c r="M19" s="1"/>
  <c r="H19"/>
  <c r="L10"/>
  <c r="K19"/>
  <c r="C28"/>
  <c r="H11"/>
  <c r="H12" s="1"/>
  <c r="I11"/>
  <c r="N120"/>
  <c r="P120" s="1"/>
  <c r="M17"/>
  <c r="H18"/>
  <c r="L18" s="1"/>
  <c r="K18"/>
  <c r="I18"/>
  <c r="L17"/>
  <c r="J17"/>
  <c r="K26"/>
  <c r="K195"/>
  <c r="M84"/>
  <c r="J25"/>
  <c r="M137"/>
  <c r="L380"/>
  <c r="L382" s="1"/>
  <c r="E26"/>
  <c r="D26"/>
  <c r="F46"/>
  <c r="L351"/>
  <c r="L353" s="1"/>
  <c r="M63"/>
  <c r="L84"/>
  <c r="M984"/>
  <c r="F92"/>
  <c r="J84"/>
  <c r="J195"/>
  <c r="M166"/>
  <c r="M351"/>
  <c r="M353" s="1"/>
  <c r="J121"/>
  <c r="L121"/>
  <c r="L123" s="1"/>
  <c r="L166"/>
  <c r="M306"/>
  <c r="M308" s="1"/>
  <c r="M936"/>
  <c r="E1052"/>
  <c r="E1120"/>
  <c r="E1222"/>
  <c r="M25"/>
  <c r="J91"/>
  <c r="N91" s="1"/>
  <c r="P91" s="1"/>
  <c r="I26"/>
  <c r="H26"/>
  <c r="F1113"/>
  <c r="D1174"/>
  <c r="P165"/>
  <c r="O165" s="1"/>
  <c r="Q165" s="1"/>
  <c r="R165" s="1"/>
  <c r="J936"/>
  <c r="P431"/>
  <c r="P423"/>
  <c r="O424"/>
  <c r="R424" s="1"/>
  <c r="P424"/>
  <c r="Q1219"/>
  <c r="N1215"/>
  <c r="P1212"/>
  <c r="O1212" s="1"/>
  <c r="P1206"/>
  <c r="O1206" s="1"/>
  <c r="Q1206" s="1"/>
  <c r="R1206" s="1"/>
  <c r="L1207"/>
  <c r="L1208" s="1"/>
  <c r="J1207"/>
  <c r="J1208" s="1"/>
  <c r="J1221"/>
  <c r="J1222" s="1"/>
  <c r="F1207"/>
  <c r="F1221"/>
  <c r="L1221"/>
  <c r="L1222" s="1"/>
  <c r="E1208"/>
  <c r="P1214"/>
  <c r="O1214" s="1"/>
  <c r="Q1214" s="1"/>
  <c r="R1214" s="1"/>
  <c r="P1205"/>
  <c r="O1205"/>
  <c r="F1215"/>
  <c r="F1188"/>
  <c r="Q1171"/>
  <c r="J1187"/>
  <c r="J1188" s="1"/>
  <c r="N1180"/>
  <c r="Q1178"/>
  <c r="P1185"/>
  <c r="O1185"/>
  <c r="F1173"/>
  <c r="N1173" s="1"/>
  <c r="L1187"/>
  <c r="L1188" s="1"/>
  <c r="N1172"/>
  <c r="M1187"/>
  <c r="M1188" s="1"/>
  <c r="O1139"/>
  <c r="Q1139" s="1"/>
  <c r="R1139" s="1"/>
  <c r="N1138"/>
  <c r="F1140"/>
  <c r="D1140"/>
  <c r="E1140"/>
  <c r="D1154"/>
  <c r="P1146"/>
  <c r="O1146"/>
  <c r="Q1146" s="1"/>
  <c r="R1146" s="1"/>
  <c r="P1151"/>
  <c r="O1151"/>
  <c r="M1153"/>
  <c r="M1154" s="1"/>
  <c r="E1154"/>
  <c r="J1153"/>
  <c r="J1154" s="1"/>
  <c r="N1147"/>
  <c r="P1144"/>
  <c r="P1147" s="1"/>
  <c r="O1144"/>
  <c r="P1139"/>
  <c r="Q1137"/>
  <c r="P1152"/>
  <c r="O1152" s="1"/>
  <c r="Q1152" s="1"/>
  <c r="R1152" s="1"/>
  <c r="N1153"/>
  <c r="L1140"/>
  <c r="N1105"/>
  <c r="N1106" s="1"/>
  <c r="F1106"/>
  <c r="P1112"/>
  <c r="O1112" s="1"/>
  <c r="Q1112" s="1"/>
  <c r="R1112" s="1"/>
  <c r="L1105"/>
  <c r="L1106" s="1"/>
  <c r="D1106"/>
  <c r="P1104"/>
  <c r="O1104"/>
  <c r="Q1104" s="1"/>
  <c r="R1104" s="1"/>
  <c r="J1105"/>
  <c r="J1106" s="1"/>
  <c r="J1119"/>
  <c r="J1120" s="1"/>
  <c r="P1118"/>
  <c r="O1118" s="1"/>
  <c r="Q1118" s="1"/>
  <c r="R1118" s="1"/>
  <c r="L1119"/>
  <c r="L1120" s="1"/>
  <c r="D1120"/>
  <c r="F1119"/>
  <c r="N1119" s="1"/>
  <c r="N1120" s="1"/>
  <c r="N1113"/>
  <c r="P1110"/>
  <c r="P1113" s="1"/>
  <c r="O1110"/>
  <c r="M1105"/>
  <c r="M1106" s="1"/>
  <c r="E1106"/>
  <c r="P1117"/>
  <c r="P1103"/>
  <c r="O1103"/>
  <c r="Q1076"/>
  <c r="P1083"/>
  <c r="O1083" s="1"/>
  <c r="M1071"/>
  <c r="M1072" s="1"/>
  <c r="M1085"/>
  <c r="M1086" s="1"/>
  <c r="L1071"/>
  <c r="L1072" s="1"/>
  <c r="D1072"/>
  <c r="N1070"/>
  <c r="F1072"/>
  <c r="J1071"/>
  <c r="J1072" s="1"/>
  <c r="J1085"/>
  <c r="N1085" s="1"/>
  <c r="N1078"/>
  <c r="F1079"/>
  <c r="P1084"/>
  <c r="O1084"/>
  <c r="Q1084" s="1"/>
  <c r="R1084" s="1"/>
  <c r="Q1069"/>
  <c r="L1085"/>
  <c r="L1086" s="1"/>
  <c r="D1086"/>
  <c r="N1071"/>
  <c r="N1044"/>
  <c r="F1045"/>
  <c r="Q1042"/>
  <c r="L1037"/>
  <c r="L1038" s="1"/>
  <c r="J1037"/>
  <c r="J1038" s="1"/>
  <c r="J1051"/>
  <c r="J1052" s="1"/>
  <c r="O1035"/>
  <c r="F1037"/>
  <c r="F1038" s="1"/>
  <c r="F1051"/>
  <c r="N1051" s="1"/>
  <c r="N1052" s="1"/>
  <c r="L1051"/>
  <c r="L1052" s="1"/>
  <c r="N1036"/>
  <c r="P1050"/>
  <c r="O1050" s="1"/>
  <c r="Q1050" s="1"/>
  <c r="R1050" s="1"/>
  <c r="P1049"/>
  <c r="O1049" s="1"/>
  <c r="M1037"/>
  <c r="M1038" s="1"/>
  <c r="E1038"/>
  <c r="M1017"/>
  <c r="M1018" s="1"/>
  <c r="E1018"/>
  <c r="N1002"/>
  <c r="F1004"/>
  <c r="P1016"/>
  <c r="O1016" s="1"/>
  <c r="M1003"/>
  <c r="M1004" s="1"/>
  <c r="E1004"/>
  <c r="N1011"/>
  <c r="P1008"/>
  <c r="P1011" s="1"/>
  <c r="J1017"/>
  <c r="J1018" s="1"/>
  <c r="L1003"/>
  <c r="L1004" s="1"/>
  <c r="D1004"/>
  <c r="L1017"/>
  <c r="L1018" s="1"/>
  <c r="D1018"/>
  <c r="J1003"/>
  <c r="J1004" s="1"/>
  <c r="O1001"/>
  <c r="F1018"/>
  <c r="Q1015"/>
  <c r="J984"/>
  <c r="P968"/>
  <c r="O968" s="1"/>
  <c r="Q968" s="1"/>
  <c r="R968" s="1"/>
  <c r="P967"/>
  <c r="O967" s="1"/>
  <c r="N969"/>
  <c r="N983"/>
  <c r="N984" s="1"/>
  <c r="H984"/>
  <c r="Q974"/>
  <c r="E984"/>
  <c r="P982"/>
  <c r="O982" s="1"/>
  <c r="Q982" s="1"/>
  <c r="R982" s="1"/>
  <c r="P981"/>
  <c r="O981" s="1"/>
  <c r="M969"/>
  <c r="M970" s="1"/>
  <c r="E970"/>
  <c r="N976"/>
  <c r="F977"/>
  <c r="L969"/>
  <c r="L970" s="1"/>
  <c r="D970"/>
  <c r="H970"/>
  <c r="F984"/>
  <c r="F970"/>
  <c r="D984"/>
  <c r="Q947"/>
  <c r="P933"/>
  <c r="O933"/>
  <c r="M949"/>
  <c r="M950" s="1"/>
  <c r="F935"/>
  <c r="L936"/>
  <c r="P948"/>
  <c r="O948" s="1"/>
  <c r="J949"/>
  <c r="J950" s="1"/>
  <c r="D936"/>
  <c r="E936"/>
  <c r="L949"/>
  <c r="L950" s="1"/>
  <c r="D950"/>
  <c r="Q940"/>
  <c r="N949"/>
  <c r="N950" s="1"/>
  <c r="F950"/>
  <c r="P941"/>
  <c r="P943" s="1"/>
  <c r="O941"/>
  <c r="Q941" s="1"/>
  <c r="R941" s="1"/>
  <c r="E950"/>
  <c r="N934"/>
  <c r="M914"/>
  <c r="M916" s="1"/>
  <c r="N897"/>
  <c r="P913"/>
  <c r="O913" s="1"/>
  <c r="M898"/>
  <c r="M900" s="1"/>
  <c r="P904"/>
  <c r="P908" s="1"/>
  <c r="J914"/>
  <c r="J916" s="1"/>
  <c r="L898"/>
  <c r="L900" s="1"/>
  <c r="L914"/>
  <c r="L916" s="1"/>
  <c r="J898"/>
  <c r="J900" s="1"/>
  <c r="O896"/>
  <c r="Q912"/>
  <c r="M861"/>
  <c r="M863" s="1"/>
  <c r="P876"/>
  <c r="O876" s="1"/>
  <c r="J877"/>
  <c r="J879" s="1"/>
  <c r="L861"/>
  <c r="L863" s="1"/>
  <c r="L877"/>
  <c r="L879" s="1"/>
  <c r="Q859"/>
  <c r="P867"/>
  <c r="P871" s="1"/>
  <c r="O867"/>
  <c r="O871" s="1"/>
  <c r="F861"/>
  <c r="N861" s="1"/>
  <c r="M877"/>
  <c r="M879" s="1"/>
  <c r="N860"/>
  <c r="Q875"/>
  <c r="M840"/>
  <c r="M842" s="1"/>
  <c r="N823"/>
  <c r="P839"/>
  <c r="M824"/>
  <c r="M826" s="1"/>
  <c r="P830"/>
  <c r="O830"/>
  <c r="J840"/>
  <c r="J842" s="1"/>
  <c r="L824"/>
  <c r="L826" s="1"/>
  <c r="L840"/>
  <c r="L842" s="1"/>
  <c r="Q822"/>
  <c r="N840"/>
  <c r="N842" s="1"/>
  <c r="Q838"/>
  <c r="F824"/>
  <c r="N824" s="1"/>
  <c r="M803"/>
  <c r="M805" s="1"/>
  <c r="N786"/>
  <c r="P802"/>
  <c r="O802" s="1"/>
  <c r="M787"/>
  <c r="M789" s="1"/>
  <c r="P793"/>
  <c r="P797" s="1"/>
  <c r="J803"/>
  <c r="J805" s="1"/>
  <c r="L787"/>
  <c r="L789" s="1"/>
  <c r="L803"/>
  <c r="L805" s="1"/>
  <c r="J787"/>
  <c r="J789" s="1"/>
  <c r="O785"/>
  <c r="Q801"/>
  <c r="Q748"/>
  <c r="P765"/>
  <c r="O765"/>
  <c r="Q765" s="1"/>
  <c r="R765" s="1"/>
  <c r="M766"/>
  <c r="M768" s="1"/>
  <c r="N749"/>
  <c r="P764"/>
  <c r="O764"/>
  <c r="M750"/>
  <c r="M752" s="1"/>
  <c r="L750"/>
  <c r="L752" s="1"/>
  <c r="J766"/>
  <c r="J768" s="1"/>
  <c r="Q756"/>
  <c r="Q760" s="1"/>
  <c r="N750"/>
  <c r="N766"/>
  <c r="N768" s="1"/>
  <c r="M713"/>
  <c r="M715" s="1"/>
  <c r="J729"/>
  <c r="J731" s="1"/>
  <c r="L713"/>
  <c r="L715" s="1"/>
  <c r="N729"/>
  <c r="N731" s="1"/>
  <c r="L729"/>
  <c r="L731" s="1"/>
  <c r="P728"/>
  <c r="O728" s="1"/>
  <c r="P719"/>
  <c r="P723" s="1"/>
  <c r="F713"/>
  <c r="N713" s="1"/>
  <c r="O711"/>
  <c r="M729"/>
  <c r="M731" s="1"/>
  <c r="N712"/>
  <c r="Q727"/>
  <c r="M692"/>
  <c r="M694" s="1"/>
  <c r="N675"/>
  <c r="P691"/>
  <c r="O691" s="1"/>
  <c r="M676"/>
  <c r="M678" s="1"/>
  <c r="P682"/>
  <c r="P686" s="1"/>
  <c r="J692"/>
  <c r="J694" s="1"/>
  <c r="L676"/>
  <c r="L678" s="1"/>
  <c r="L692"/>
  <c r="L694" s="1"/>
  <c r="J676"/>
  <c r="J678" s="1"/>
  <c r="O674"/>
  <c r="Q690"/>
  <c r="M639"/>
  <c r="M641" s="1"/>
  <c r="J655"/>
  <c r="J657" s="1"/>
  <c r="L639"/>
  <c r="L641" s="1"/>
  <c r="N655"/>
  <c r="N657" s="1"/>
  <c r="L655"/>
  <c r="L657" s="1"/>
  <c r="P654"/>
  <c r="O654" s="1"/>
  <c r="P645"/>
  <c r="P649" s="1"/>
  <c r="F639"/>
  <c r="N639" s="1"/>
  <c r="O637"/>
  <c r="M655"/>
  <c r="M657" s="1"/>
  <c r="N638"/>
  <c r="Q653"/>
  <c r="M602"/>
  <c r="M604" s="1"/>
  <c r="P617"/>
  <c r="O617" s="1"/>
  <c r="J618"/>
  <c r="J620" s="1"/>
  <c r="L602"/>
  <c r="L604" s="1"/>
  <c r="L618"/>
  <c r="L620" s="1"/>
  <c r="Q600"/>
  <c r="P608"/>
  <c r="P612" s="1"/>
  <c r="O608"/>
  <c r="O612" s="1"/>
  <c r="F602"/>
  <c r="N602" s="1"/>
  <c r="M618"/>
  <c r="M620" s="1"/>
  <c r="N601"/>
  <c r="Q616"/>
  <c r="Q571"/>
  <c r="M565"/>
  <c r="M567" s="1"/>
  <c r="P580"/>
  <c r="O580" s="1"/>
  <c r="Q580" s="1"/>
  <c r="R580" s="1"/>
  <c r="P573"/>
  <c r="O573" s="1"/>
  <c r="M581"/>
  <c r="M583" s="1"/>
  <c r="P563"/>
  <c r="O563"/>
  <c r="P579"/>
  <c r="O579"/>
  <c r="P564"/>
  <c r="O564"/>
  <c r="Q564" s="1"/>
  <c r="R564" s="1"/>
  <c r="F565"/>
  <c r="N565" s="1"/>
  <c r="N567" s="1"/>
  <c r="N581"/>
  <c r="N583" s="1"/>
  <c r="P526"/>
  <c r="O526"/>
  <c r="M528"/>
  <c r="M530" s="1"/>
  <c r="P536"/>
  <c r="O536" s="1"/>
  <c r="Q536" s="1"/>
  <c r="R536" s="1"/>
  <c r="L528"/>
  <c r="L530" s="1"/>
  <c r="P527"/>
  <c r="O527"/>
  <c r="Q527" s="1"/>
  <c r="R527" s="1"/>
  <c r="L544"/>
  <c r="L546" s="1"/>
  <c r="F528"/>
  <c r="N528" s="1"/>
  <c r="N530" s="1"/>
  <c r="N544"/>
  <c r="N546" s="1"/>
  <c r="P543"/>
  <c r="O543"/>
  <c r="Q543" s="1"/>
  <c r="R543" s="1"/>
  <c r="P534"/>
  <c r="O534"/>
  <c r="Q542"/>
  <c r="Q489"/>
  <c r="Q505"/>
  <c r="M491"/>
  <c r="M493" s="1"/>
  <c r="J507"/>
  <c r="J509" s="1"/>
  <c r="L491"/>
  <c r="L493" s="1"/>
  <c r="L507"/>
  <c r="L509" s="1"/>
  <c r="N506"/>
  <c r="J491"/>
  <c r="J493" s="1"/>
  <c r="F507"/>
  <c r="F509" s="1"/>
  <c r="P497"/>
  <c r="P501" s="1"/>
  <c r="N490"/>
  <c r="P462"/>
  <c r="O462" s="1"/>
  <c r="Q462" s="1"/>
  <c r="R462" s="1"/>
  <c r="M470"/>
  <c r="M472" s="1"/>
  <c r="L454"/>
  <c r="L456" s="1"/>
  <c r="J470"/>
  <c r="J472" s="1"/>
  <c r="Q468"/>
  <c r="L470"/>
  <c r="L472" s="1"/>
  <c r="Q452"/>
  <c r="N454"/>
  <c r="N470"/>
  <c r="N472" s="1"/>
  <c r="P469"/>
  <c r="O469"/>
  <c r="Q469" s="1"/>
  <c r="R469" s="1"/>
  <c r="P460"/>
  <c r="O460"/>
  <c r="O464" s="1"/>
  <c r="N453"/>
  <c r="P394"/>
  <c r="P357"/>
  <c r="P342"/>
  <c r="P320"/>
  <c r="P312"/>
  <c r="H92"/>
  <c r="H94" s="1"/>
  <c r="I92"/>
  <c r="M92" s="1"/>
  <c r="K92"/>
  <c r="K94" s="1"/>
  <c r="L91"/>
  <c r="J47"/>
  <c r="J49" s="1"/>
  <c r="J166"/>
  <c r="F55"/>
  <c r="M47"/>
  <c r="M49" s="1"/>
  <c r="M158"/>
  <c r="M160" s="1"/>
  <c r="N314"/>
  <c r="P314" s="1"/>
  <c r="N432"/>
  <c r="F9" i="21"/>
  <c r="E195" i="23"/>
  <c r="D195"/>
  <c r="L195" s="1"/>
  <c r="Q195"/>
  <c r="L173"/>
  <c r="J173"/>
  <c r="N173" s="1"/>
  <c r="P173" s="1"/>
  <c r="H174"/>
  <c r="L174" s="1"/>
  <c r="I174"/>
  <c r="M174" s="1"/>
  <c r="M173"/>
  <c r="J128"/>
  <c r="M128"/>
  <c r="I129"/>
  <c r="I131" s="1"/>
  <c r="H129"/>
  <c r="L128"/>
  <c r="K129"/>
  <c r="K131" s="1"/>
  <c r="E129"/>
  <c r="E131" s="1"/>
  <c r="D129"/>
  <c r="F128"/>
  <c r="F63"/>
  <c r="L396"/>
  <c r="L398" s="1"/>
  <c r="M248"/>
  <c r="F322"/>
  <c r="F324" s="1"/>
  <c r="F359"/>
  <c r="F361" s="1"/>
  <c r="J433"/>
  <c r="J435" s="1"/>
  <c r="F232"/>
  <c r="N232" s="1"/>
  <c r="F417"/>
  <c r="N417" s="1"/>
  <c r="P417" s="1"/>
  <c r="F306"/>
  <c r="N306" s="1"/>
  <c r="P306" s="1"/>
  <c r="J211"/>
  <c r="L285"/>
  <c r="M322"/>
  <c r="M324" s="1"/>
  <c r="L359"/>
  <c r="L361" s="1"/>
  <c r="M211"/>
  <c r="O16"/>
  <c r="F211"/>
  <c r="J285"/>
  <c r="J359"/>
  <c r="J361" s="1"/>
  <c r="L433"/>
  <c r="L435" s="1"/>
  <c r="F174"/>
  <c r="F158"/>
  <c r="N158" s="1"/>
  <c r="P158" s="1"/>
  <c r="F100"/>
  <c r="F102" s="1"/>
  <c r="J55"/>
  <c r="J57" s="1"/>
  <c r="F47"/>
  <c r="R425"/>
  <c r="F433"/>
  <c r="F435" s="1"/>
  <c r="N416"/>
  <c r="M433"/>
  <c r="M435" s="1"/>
  <c r="L417"/>
  <c r="L419" s="1"/>
  <c r="O394"/>
  <c r="F380"/>
  <c r="N380" s="1"/>
  <c r="P380" s="1"/>
  <c r="M396"/>
  <c r="M398" s="1"/>
  <c r="N388"/>
  <c r="N390" s="1"/>
  <c r="O395"/>
  <c r="R395" s="1"/>
  <c r="M380"/>
  <c r="M382" s="1"/>
  <c r="J396"/>
  <c r="J398" s="1"/>
  <c r="O378"/>
  <c r="N379"/>
  <c r="F396"/>
  <c r="F398" s="1"/>
  <c r="O386"/>
  <c r="N351"/>
  <c r="N353" s="1"/>
  <c r="O358"/>
  <c r="R358" s="1"/>
  <c r="M343"/>
  <c r="M345" s="1"/>
  <c r="M359"/>
  <c r="M361" s="1"/>
  <c r="O342"/>
  <c r="O357"/>
  <c r="L343"/>
  <c r="L345" s="1"/>
  <c r="F343"/>
  <c r="F345" s="1"/>
  <c r="L306"/>
  <c r="L308" s="1"/>
  <c r="J322"/>
  <c r="J324" s="1"/>
  <c r="N305"/>
  <c r="L322"/>
  <c r="L324" s="1"/>
  <c r="O320"/>
  <c r="O321"/>
  <c r="R321" s="1"/>
  <c r="M269"/>
  <c r="M285"/>
  <c r="N277"/>
  <c r="O284"/>
  <c r="R284" s="1"/>
  <c r="O283"/>
  <c r="N268"/>
  <c r="F269"/>
  <c r="N269" s="1"/>
  <c r="F285"/>
  <c r="N285" s="1"/>
  <c r="F248"/>
  <c r="L248"/>
  <c r="N247"/>
  <c r="R240"/>
  <c r="L232"/>
  <c r="N231"/>
  <c r="J248"/>
  <c r="O202"/>
  <c r="F195"/>
  <c r="R203"/>
  <c r="O194"/>
  <c r="R201"/>
  <c r="O210"/>
  <c r="R210" s="1"/>
  <c r="L211"/>
  <c r="N157"/>
  <c r="L158"/>
  <c r="L160" s="1"/>
  <c r="L137"/>
  <c r="L139" s="1"/>
  <c r="O135"/>
  <c r="F121"/>
  <c r="F137"/>
  <c r="F139" s="1"/>
  <c r="O119"/>
  <c r="M121"/>
  <c r="M123" s="1"/>
  <c r="O120"/>
  <c r="J137"/>
  <c r="J139" s="1"/>
  <c r="L100"/>
  <c r="L102" s="1"/>
  <c r="N83"/>
  <c r="P83" s="1"/>
  <c r="N99"/>
  <c r="P99" s="1"/>
  <c r="F84"/>
  <c r="N84" s="1"/>
  <c r="P84" s="1"/>
  <c r="O82"/>
  <c r="O90"/>
  <c r="M100"/>
  <c r="M102" s="1"/>
  <c r="J100"/>
  <c r="J102" s="1"/>
  <c r="N54"/>
  <c r="P54" s="1"/>
  <c r="L55"/>
  <c r="L47"/>
  <c r="L49" s="1"/>
  <c r="M55"/>
  <c r="P9"/>
  <c r="D10" i="2"/>
  <c r="H9" i="21"/>
  <c r="I9"/>
  <c r="K9"/>
  <c r="D10"/>
  <c r="E10"/>
  <c r="E10" i="2"/>
  <c r="N8" i="22"/>
  <c r="F9"/>
  <c r="N8" i="21"/>
  <c r="H10" i="2"/>
  <c r="C11"/>
  <c r="O11" s="1"/>
  <c r="H9"/>
  <c r="I9"/>
  <c r="A2"/>
  <c r="M62" i="23" l="1"/>
  <c r="I65"/>
  <c r="J62"/>
  <c r="L62"/>
  <c r="L65" s="1"/>
  <c r="H65"/>
  <c r="M65"/>
  <c r="F11" i="21"/>
  <c r="F26" i="23"/>
  <c r="N121"/>
  <c r="P121" s="1"/>
  <c r="O136"/>
  <c r="H131"/>
  <c r="N138"/>
  <c r="P138" s="1"/>
  <c r="Q138" s="1"/>
  <c r="R138" s="1"/>
  <c r="N863"/>
  <c r="F863"/>
  <c r="N826"/>
  <c r="F826"/>
  <c r="N715"/>
  <c r="N752"/>
  <c r="F715"/>
  <c r="N641"/>
  <c r="O538"/>
  <c r="F641"/>
  <c r="N604"/>
  <c r="F604"/>
  <c r="P538"/>
  <c r="N101"/>
  <c r="P101" s="1"/>
  <c r="Q101" s="1"/>
  <c r="R101" s="1"/>
  <c r="O575"/>
  <c r="P575"/>
  <c r="F567"/>
  <c r="P464"/>
  <c r="N382"/>
  <c r="F530"/>
  <c r="N456"/>
  <c r="N419"/>
  <c r="N85"/>
  <c r="N86" s="1"/>
  <c r="P427"/>
  <c r="F419"/>
  <c r="F382"/>
  <c r="N308"/>
  <c r="L86"/>
  <c r="P316"/>
  <c r="K176"/>
  <c r="N316"/>
  <c r="F308"/>
  <c r="F130"/>
  <c r="N25"/>
  <c r="P25" s="1"/>
  <c r="G176"/>
  <c r="F175"/>
  <c r="F176" s="1"/>
  <c r="E176"/>
  <c r="L168"/>
  <c r="H28"/>
  <c r="P10"/>
  <c r="Q10" s="1"/>
  <c r="R10" s="1"/>
  <c r="P157"/>
  <c r="P160" s="1"/>
  <c r="N160"/>
  <c r="J93"/>
  <c r="N93" s="1"/>
  <c r="P93" s="1"/>
  <c r="Q93" s="1"/>
  <c r="R93" s="1"/>
  <c r="J167"/>
  <c r="N167" s="1"/>
  <c r="F160"/>
  <c r="I175"/>
  <c r="H175"/>
  <c r="M167"/>
  <c r="M168" s="1"/>
  <c r="H168"/>
  <c r="P164"/>
  <c r="M139"/>
  <c r="Q119"/>
  <c r="J130"/>
  <c r="M130"/>
  <c r="P127"/>
  <c r="J123"/>
  <c r="L130"/>
  <c r="D131"/>
  <c r="F123"/>
  <c r="P122"/>
  <c r="P85"/>
  <c r="Q85" s="1"/>
  <c r="R85" s="1"/>
  <c r="J86"/>
  <c r="M86"/>
  <c r="Q82"/>
  <c r="K20"/>
  <c r="M94"/>
  <c r="F86"/>
  <c r="I94"/>
  <c r="F94"/>
  <c r="N48"/>
  <c r="P48" s="1"/>
  <c r="Q48" s="1"/>
  <c r="R48" s="1"/>
  <c r="L93"/>
  <c r="F57"/>
  <c r="H20"/>
  <c r="I28"/>
  <c r="M57"/>
  <c r="L57"/>
  <c r="N46"/>
  <c r="P46" s="1"/>
  <c r="F49"/>
  <c r="M11"/>
  <c r="M12" s="1"/>
  <c r="I12"/>
  <c r="O24"/>
  <c r="P53"/>
  <c r="O53" s="1"/>
  <c r="I20"/>
  <c r="P64"/>
  <c r="Q64" s="1"/>
  <c r="R64" s="1"/>
  <c r="P45"/>
  <c r="N56"/>
  <c r="F65"/>
  <c r="J19"/>
  <c r="N19" s="1"/>
  <c r="J11"/>
  <c r="N11" s="1"/>
  <c r="P11" s="1"/>
  <c r="Q11" s="1"/>
  <c r="R11" s="1"/>
  <c r="L19"/>
  <c r="L20" s="1"/>
  <c r="J27"/>
  <c r="E27"/>
  <c r="D27"/>
  <c r="L27" s="1"/>
  <c r="K27"/>
  <c r="K28" s="1"/>
  <c r="L11"/>
  <c r="L12" s="1"/>
  <c r="P19"/>
  <c r="Q19" s="1"/>
  <c r="R19" s="1"/>
  <c r="J18"/>
  <c r="N18" s="1"/>
  <c r="P18" s="1"/>
  <c r="Q18" s="1"/>
  <c r="R18" s="1"/>
  <c r="M18"/>
  <c r="M20" s="1"/>
  <c r="N17"/>
  <c r="R314"/>
  <c r="F1052"/>
  <c r="J26"/>
  <c r="N26" s="1"/>
  <c r="P26" s="1"/>
  <c r="R232"/>
  <c r="N47"/>
  <c r="P47" s="1"/>
  <c r="O173"/>
  <c r="M195"/>
  <c r="L26"/>
  <c r="M26"/>
  <c r="N55"/>
  <c r="P55" s="1"/>
  <c r="J1086"/>
  <c r="F1174"/>
  <c r="O432"/>
  <c r="P432"/>
  <c r="O1215"/>
  <c r="Q1212"/>
  <c r="N1207"/>
  <c r="F1208"/>
  <c r="N1221"/>
  <c r="F1222"/>
  <c r="R1219"/>
  <c r="Q1205"/>
  <c r="P1215"/>
  <c r="P1173"/>
  <c r="O1173" s="1"/>
  <c r="Q1173" s="1"/>
  <c r="R1173" s="1"/>
  <c r="N1187"/>
  <c r="P1180"/>
  <c r="P1181" s="1"/>
  <c r="O1180"/>
  <c r="N1181"/>
  <c r="P1172"/>
  <c r="O1172"/>
  <c r="N1174"/>
  <c r="Q1185"/>
  <c r="R1178"/>
  <c r="R1171"/>
  <c r="R1137"/>
  <c r="P1138"/>
  <c r="P1140" s="1"/>
  <c r="N1140"/>
  <c r="O1147"/>
  <c r="Q1144"/>
  <c r="Q1151"/>
  <c r="P1153"/>
  <c r="P1154" s="1"/>
  <c r="N1154"/>
  <c r="P1105"/>
  <c r="O1105"/>
  <c r="Q1105" s="1"/>
  <c r="R1105" s="1"/>
  <c r="O1113"/>
  <c r="Q1110"/>
  <c r="P1106"/>
  <c r="P1119"/>
  <c r="P1120" s="1"/>
  <c r="Q1103"/>
  <c r="O1117"/>
  <c r="F1120"/>
  <c r="P1085"/>
  <c r="P1086" s="1"/>
  <c r="O1085"/>
  <c r="Q1085" s="1"/>
  <c r="R1085" s="1"/>
  <c r="N1086"/>
  <c r="Q1083"/>
  <c r="R1069"/>
  <c r="P1070"/>
  <c r="O1070"/>
  <c r="N1072"/>
  <c r="R1076"/>
  <c r="P1078"/>
  <c r="P1079" s="1"/>
  <c r="O1078"/>
  <c r="N1079"/>
  <c r="R1071"/>
  <c r="P1071"/>
  <c r="O1071"/>
  <c r="Q1071" s="1"/>
  <c r="Q1049"/>
  <c r="P1036"/>
  <c r="O1036" s="1"/>
  <c r="Q1035"/>
  <c r="P1044"/>
  <c r="P1045" s="1"/>
  <c r="O1044"/>
  <c r="N1045"/>
  <c r="N1037"/>
  <c r="P1051"/>
  <c r="P1052" s="1"/>
  <c r="R1042"/>
  <c r="Q1016"/>
  <c r="R1016" s="1"/>
  <c r="N1003"/>
  <c r="N1004" s="1"/>
  <c r="N1017"/>
  <c r="O1008"/>
  <c r="R1015"/>
  <c r="Q1001"/>
  <c r="P1002"/>
  <c r="O1002" s="1"/>
  <c r="Q981"/>
  <c r="Q967"/>
  <c r="P976"/>
  <c r="P977" s="1"/>
  <c r="N977"/>
  <c r="R974"/>
  <c r="P969"/>
  <c r="P970" s="1"/>
  <c r="O969"/>
  <c r="Q969" s="1"/>
  <c r="R969" s="1"/>
  <c r="N970"/>
  <c r="P983"/>
  <c r="P984" s="1"/>
  <c r="O983"/>
  <c r="Q983" s="1"/>
  <c r="R983" s="1"/>
  <c r="Q948"/>
  <c r="R948" s="1"/>
  <c r="P934"/>
  <c r="N935"/>
  <c r="F936"/>
  <c r="O943"/>
  <c r="P949"/>
  <c r="P950" s="1"/>
  <c r="Q933"/>
  <c r="R947"/>
  <c r="Q943"/>
  <c r="R940"/>
  <c r="R943" s="1"/>
  <c r="N936"/>
  <c r="Q913"/>
  <c r="R913" s="1"/>
  <c r="N898"/>
  <c r="N900" s="1"/>
  <c r="N914"/>
  <c r="N916" s="1"/>
  <c r="O904"/>
  <c r="O908" s="1"/>
  <c r="R912"/>
  <c r="Q896"/>
  <c r="P897"/>
  <c r="Q876"/>
  <c r="R876" s="1"/>
  <c r="R875"/>
  <c r="Q867"/>
  <c r="Q871" s="1"/>
  <c r="R859"/>
  <c r="N877"/>
  <c r="N879" s="1"/>
  <c r="P860"/>
  <c r="P861"/>
  <c r="O861" s="1"/>
  <c r="Q861" s="1"/>
  <c r="R861" s="1"/>
  <c r="P824"/>
  <c r="O824" s="1"/>
  <c r="Q824" s="1"/>
  <c r="R824" s="1"/>
  <c r="P840"/>
  <c r="O840" s="1"/>
  <c r="Q840" s="1"/>
  <c r="R840" s="1"/>
  <c r="P823"/>
  <c r="O823"/>
  <c r="O839"/>
  <c r="R838"/>
  <c r="R822"/>
  <c r="Q830"/>
  <c r="Q802"/>
  <c r="R802" s="1"/>
  <c r="N787"/>
  <c r="N789" s="1"/>
  <c r="N803"/>
  <c r="N805" s="1"/>
  <c r="O793"/>
  <c r="O797" s="1"/>
  <c r="R801"/>
  <c r="Q785"/>
  <c r="P786"/>
  <c r="R756"/>
  <c r="R760" s="1"/>
  <c r="P750"/>
  <c r="O750" s="1"/>
  <c r="Q750" s="1"/>
  <c r="R750" s="1"/>
  <c r="P749"/>
  <c r="O749"/>
  <c r="R748"/>
  <c r="P766"/>
  <c r="O766" s="1"/>
  <c r="O768" s="1"/>
  <c r="Q764"/>
  <c r="Q728"/>
  <c r="R728" s="1"/>
  <c r="R727"/>
  <c r="P713"/>
  <c r="O713" s="1"/>
  <c r="Q713" s="1"/>
  <c r="R713" s="1"/>
  <c r="P729"/>
  <c r="P731" s="1"/>
  <c r="O729"/>
  <c r="Q729" s="1"/>
  <c r="R729" s="1"/>
  <c r="P712"/>
  <c r="Q711"/>
  <c r="O719"/>
  <c r="O723" s="1"/>
  <c r="Q691"/>
  <c r="R691" s="1"/>
  <c r="N676"/>
  <c r="N678" s="1"/>
  <c r="N692"/>
  <c r="N694" s="1"/>
  <c r="O682"/>
  <c r="O686" s="1"/>
  <c r="R690"/>
  <c r="Q674"/>
  <c r="P675"/>
  <c r="Q654"/>
  <c r="R654" s="1"/>
  <c r="P639"/>
  <c r="O639" s="1"/>
  <c r="Q639" s="1"/>
  <c r="R639" s="1"/>
  <c r="P638"/>
  <c r="O638"/>
  <c r="Q638" s="1"/>
  <c r="R638" s="1"/>
  <c r="Q637"/>
  <c r="R653"/>
  <c r="P655"/>
  <c r="P657" s="1"/>
  <c r="O645"/>
  <c r="O649" s="1"/>
  <c r="Q617"/>
  <c r="R617" s="1"/>
  <c r="R616"/>
  <c r="Q608"/>
  <c r="Q612" s="1"/>
  <c r="R600"/>
  <c r="N618"/>
  <c r="N620" s="1"/>
  <c r="P601"/>
  <c r="O601"/>
  <c r="P602"/>
  <c r="O602"/>
  <c r="Q602" s="1"/>
  <c r="R602" s="1"/>
  <c r="Q573"/>
  <c r="R573" s="1"/>
  <c r="Q579"/>
  <c r="Q563"/>
  <c r="R571"/>
  <c r="P565"/>
  <c r="P567" s="1"/>
  <c r="P581"/>
  <c r="P583" s="1"/>
  <c r="P528"/>
  <c r="P530" s="1"/>
  <c r="O528"/>
  <c r="Q528" s="1"/>
  <c r="R528" s="1"/>
  <c r="Q534"/>
  <c r="Q538" s="1"/>
  <c r="P544"/>
  <c r="O544" s="1"/>
  <c r="O546" s="1"/>
  <c r="R542"/>
  <c r="Q526"/>
  <c r="N507"/>
  <c r="N509" s="1"/>
  <c r="P506"/>
  <c r="O506"/>
  <c r="R489"/>
  <c r="O497"/>
  <c r="O501" s="1"/>
  <c r="N491"/>
  <c r="N493" s="1"/>
  <c r="P490"/>
  <c r="R505"/>
  <c r="R452"/>
  <c r="R468"/>
  <c r="P454"/>
  <c r="O454" s="1"/>
  <c r="Q454" s="1"/>
  <c r="R454" s="1"/>
  <c r="Q460"/>
  <c r="Q464" s="1"/>
  <c r="P470"/>
  <c r="P472" s="1"/>
  <c r="P453"/>
  <c r="Q417"/>
  <c r="R417" s="1"/>
  <c r="P416"/>
  <c r="P419" s="1"/>
  <c r="P388"/>
  <c r="P390" s="1"/>
  <c r="P379"/>
  <c r="P382" s="1"/>
  <c r="P351"/>
  <c r="P353" s="1"/>
  <c r="Q342"/>
  <c r="Q306"/>
  <c r="R306" s="1"/>
  <c r="P305"/>
  <c r="P308" s="1"/>
  <c r="N166"/>
  <c r="P166" s="1"/>
  <c r="L92"/>
  <c r="L94" s="1"/>
  <c r="J92"/>
  <c r="J94" s="1"/>
  <c r="O91"/>
  <c r="Q91" s="1"/>
  <c r="R91" s="1"/>
  <c r="Q158"/>
  <c r="R158" s="1"/>
  <c r="F129"/>
  <c r="F131" s="1"/>
  <c r="N128"/>
  <c r="N211"/>
  <c r="J174"/>
  <c r="L129"/>
  <c r="J129"/>
  <c r="J131" s="1"/>
  <c r="M129"/>
  <c r="N63"/>
  <c r="N359"/>
  <c r="N361" s="1"/>
  <c r="N248"/>
  <c r="Q90"/>
  <c r="Q136"/>
  <c r="R136" s="1"/>
  <c r="N322"/>
  <c r="N324" s="1"/>
  <c r="Q135"/>
  <c r="O61"/>
  <c r="N9" i="22"/>
  <c r="Q173" i="23"/>
  <c r="R173" s="1"/>
  <c r="Q16"/>
  <c r="O98"/>
  <c r="Q120"/>
  <c r="O9"/>
  <c r="Q9" s="1"/>
  <c r="R9" s="1"/>
  <c r="N433"/>
  <c r="P433" s="1"/>
  <c r="R431"/>
  <c r="O423"/>
  <c r="O427" s="1"/>
  <c r="R415"/>
  <c r="N396"/>
  <c r="N398" s="1"/>
  <c r="N343"/>
  <c r="N345" s="1"/>
  <c r="O361"/>
  <c r="R349"/>
  <c r="O341"/>
  <c r="O324"/>
  <c r="O312"/>
  <c r="O316" s="1"/>
  <c r="R304"/>
  <c r="R269"/>
  <c r="O268"/>
  <c r="R275"/>
  <c r="R267"/>
  <c r="R246"/>
  <c r="R230"/>
  <c r="O238"/>
  <c r="R194"/>
  <c r="R209"/>
  <c r="N195"/>
  <c r="R193"/>
  <c r="R156"/>
  <c r="O164"/>
  <c r="O172"/>
  <c r="N137"/>
  <c r="O83"/>
  <c r="N100"/>
  <c r="N102" s="1"/>
  <c r="O45"/>
  <c r="O8"/>
  <c r="J9" i="21"/>
  <c r="N9" s="1"/>
  <c r="P8" i="22"/>
  <c r="O8" s="1"/>
  <c r="L9" i="21"/>
  <c r="I10" i="2"/>
  <c r="M9" i="21"/>
  <c r="F10"/>
  <c r="I10"/>
  <c r="M10" s="1"/>
  <c r="H10"/>
  <c r="P8"/>
  <c r="O8" s="1"/>
  <c r="C12" i="2"/>
  <c r="O12" s="1"/>
  <c r="E11"/>
  <c r="D11"/>
  <c r="K8"/>
  <c r="J65" i="23" l="1"/>
  <c r="N62"/>
  <c r="P9" i="21"/>
  <c r="O9" s="1"/>
  <c r="Q9" s="1"/>
  <c r="R9" s="1"/>
  <c r="P123" i="23"/>
  <c r="N123"/>
  <c r="Q121"/>
  <c r="O897"/>
  <c r="P863"/>
  <c r="O25"/>
  <c r="Q25" s="1"/>
  <c r="O842"/>
  <c r="O826"/>
  <c r="P842"/>
  <c r="P826"/>
  <c r="O46"/>
  <c r="Q46" s="1"/>
  <c r="O786"/>
  <c r="P768"/>
  <c r="O752"/>
  <c r="P752"/>
  <c r="P715"/>
  <c r="R731"/>
  <c r="O731"/>
  <c r="Q731"/>
  <c r="P86"/>
  <c r="O675"/>
  <c r="P641"/>
  <c r="Q641"/>
  <c r="O641"/>
  <c r="P604"/>
  <c r="O604"/>
  <c r="R575"/>
  <c r="Q575"/>
  <c r="P546"/>
  <c r="Q530"/>
  <c r="O530"/>
  <c r="P456"/>
  <c r="P435"/>
  <c r="N435"/>
  <c r="N130"/>
  <c r="P130" s="1"/>
  <c r="Q130" s="1"/>
  <c r="R130" s="1"/>
  <c r="M175"/>
  <c r="M176" s="1"/>
  <c r="I176"/>
  <c r="J175"/>
  <c r="N175" s="1"/>
  <c r="P175" s="1"/>
  <c r="Q175" s="1"/>
  <c r="R175" s="1"/>
  <c r="H176"/>
  <c r="P167"/>
  <c r="P168" s="1"/>
  <c r="J168"/>
  <c r="N168"/>
  <c r="L175"/>
  <c r="L176" s="1"/>
  <c r="Q122"/>
  <c r="R122" s="1"/>
  <c r="M131"/>
  <c r="L131"/>
  <c r="O127"/>
  <c r="P137"/>
  <c r="P139" s="1"/>
  <c r="N139"/>
  <c r="O86"/>
  <c r="J28"/>
  <c r="Q8"/>
  <c r="O12"/>
  <c r="P56"/>
  <c r="Q56" s="1"/>
  <c r="R56" s="1"/>
  <c r="L28"/>
  <c r="J12"/>
  <c r="D28"/>
  <c r="P49"/>
  <c r="N57"/>
  <c r="P63"/>
  <c r="N65"/>
  <c r="Q53"/>
  <c r="P12"/>
  <c r="N49"/>
  <c r="Q45"/>
  <c r="M27"/>
  <c r="M28" s="1"/>
  <c r="E28"/>
  <c r="Q24"/>
  <c r="N20"/>
  <c r="J20"/>
  <c r="N12"/>
  <c r="F27"/>
  <c r="H12" i="21"/>
  <c r="C13" i="2"/>
  <c r="O13" s="1"/>
  <c r="P17" i="23"/>
  <c r="P20" s="1"/>
  <c r="Q47"/>
  <c r="R47" s="1"/>
  <c r="R248"/>
  <c r="P100"/>
  <c r="P102" s="1"/>
  <c r="P128"/>
  <c r="O128" s="1"/>
  <c r="Q128" s="1"/>
  <c r="R128" s="1"/>
  <c r="R432"/>
  <c r="P1221"/>
  <c r="P1222" s="1"/>
  <c r="N1222"/>
  <c r="O1221"/>
  <c r="Q1215"/>
  <c r="R1212"/>
  <c r="R1215" s="1"/>
  <c r="R1205"/>
  <c r="P1207"/>
  <c r="P1208" s="1"/>
  <c r="O1207"/>
  <c r="N1208"/>
  <c r="Q1172"/>
  <c r="O1174"/>
  <c r="P1187"/>
  <c r="P1188" s="1"/>
  <c r="O1187"/>
  <c r="N1188"/>
  <c r="R1185"/>
  <c r="P1174"/>
  <c r="Q1180"/>
  <c r="O1181"/>
  <c r="Q1147"/>
  <c r="R1144"/>
  <c r="R1147" s="1"/>
  <c r="O1138"/>
  <c r="O1153"/>
  <c r="R1151"/>
  <c r="Q1117"/>
  <c r="Q1113"/>
  <c r="R1110"/>
  <c r="R1113" s="1"/>
  <c r="O1119"/>
  <c r="Q1119" s="1"/>
  <c r="R1119" s="1"/>
  <c r="O1106"/>
  <c r="Q1106"/>
  <c r="R1103"/>
  <c r="R1106" s="1"/>
  <c r="O1086"/>
  <c r="Q1078"/>
  <c r="O1079"/>
  <c r="Q1086"/>
  <c r="R1083"/>
  <c r="R1086" s="1"/>
  <c r="P1072"/>
  <c r="Q1070"/>
  <c r="O1072"/>
  <c r="Q1036"/>
  <c r="R1036" s="1"/>
  <c r="O1051"/>
  <c r="P1037"/>
  <c r="O1037" s="1"/>
  <c r="R1049"/>
  <c r="N1038"/>
  <c r="Q1044"/>
  <c r="O1045"/>
  <c r="R1035"/>
  <c r="Q1002"/>
  <c r="R1002" s="1"/>
  <c r="P1017"/>
  <c r="P1018" s="1"/>
  <c r="O1017"/>
  <c r="N1018"/>
  <c r="R1001"/>
  <c r="O1011"/>
  <c r="Q1008"/>
  <c r="Q1011" s="1"/>
  <c r="P1003"/>
  <c r="P1004" s="1"/>
  <c r="O984"/>
  <c r="Q984"/>
  <c r="R981"/>
  <c r="R984" s="1"/>
  <c r="O976"/>
  <c r="O970"/>
  <c r="Q970"/>
  <c r="R967"/>
  <c r="R970" s="1"/>
  <c r="O949"/>
  <c r="O934"/>
  <c r="P935"/>
  <c r="P936" s="1"/>
  <c r="O935"/>
  <c r="Q935" s="1"/>
  <c r="R935" s="1"/>
  <c r="R933"/>
  <c r="Q897"/>
  <c r="R897" s="1"/>
  <c r="P914"/>
  <c r="P916" s="1"/>
  <c r="O914"/>
  <c r="O916" s="1"/>
  <c r="R896"/>
  <c r="Q904"/>
  <c r="Q908" s="1"/>
  <c r="P898"/>
  <c r="P900" s="1"/>
  <c r="O898"/>
  <c r="Q898" s="1"/>
  <c r="R898" s="1"/>
  <c r="R867"/>
  <c r="R871" s="1"/>
  <c r="P877"/>
  <c r="P879" s="1"/>
  <c r="O877"/>
  <c r="O879" s="1"/>
  <c r="O860"/>
  <c r="O863" s="1"/>
  <c r="Q839"/>
  <c r="Q842" s="1"/>
  <c r="Q823"/>
  <c r="Q826" s="1"/>
  <c r="R830"/>
  <c r="Q786"/>
  <c r="R786" s="1"/>
  <c r="P803"/>
  <c r="P805" s="1"/>
  <c r="O803"/>
  <c r="O805" s="1"/>
  <c r="R785"/>
  <c r="Q793"/>
  <c r="Q797" s="1"/>
  <c r="P787"/>
  <c r="P789" s="1"/>
  <c r="O787"/>
  <c r="Q787" s="1"/>
  <c r="Q766"/>
  <c r="R766" s="1"/>
  <c r="Q749"/>
  <c r="Q752" s="1"/>
  <c r="R764"/>
  <c r="Q719"/>
  <c r="Q723" s="1"/>
  <c r="O712"/>
  <c r="O715" s="1"/>
  <c r="R711"/>
  <c r="Q675"/>
  <c r="R675" s="1"/>
  <c r="P692"/>
  <c r="P694" s="1"/>
  <c r="O692"/>
  <c r="O694" s="1"/>
  <c r="R674"/>
  <c r="Q682"/>
  <c r="Q686" s="1"/>
  <c r="P676"/>
  <c r="P678" s="1"/>
  <c r="O655"/>
  <c r="O657" s="1"/>
  <c r="Q645"/>
  <c r="Q649" s="1"/>
  <c r="R637"/>
  <c r="R641" s="1"/>
  <c r="P618"/>
  <c r="P620" s="1"/>
  <c r="R608"/>
  <c r="R612" s="1"/>
  <c r="Q601"/>
  <c r="Q604" s="1"/>
  <c r="O565"/>
  <c r="O567" s="1"/>
  <c r="R563"/>
  <c r="R579"/>
  <c r="O581"/>
  <c r="O583" s="1"/>
  <c r="Q544"/>
  <c r="Q546" s="1"/>
  <c r="R534"/>
  <c r="R538" s="1"/>
  <c r="R526"/>
  <c r="R530" s="1"/>
  <c r="P491"/>
  <c r="P493" s="1"/>
  <c r="O491"/>
  <c r="Q491" s="1"/>
  <c r="R491" s="1"/>
  <c r="P507"/>
  <c r="O507" s="1"/>
  <c r="O509" s="1"/>
  <c r="Q497"/>
  <c r="Q501" s="1"/>
  <c r="Q506"/>
  <c r="O490"/>
  <c r="O493" s="1"/>
  <c r="O470"/>
  <c r="O472" s="1"/>
  <c r="R460"/>
  <c r="R464" s="1"/>
  <c r="O453"/>
  <c r="O456" s="1"/>
  <c r="P396"/>
  <c r="P398" s="1"/>
  <c r="Q380"/>
  <c r="R380" s="1"/>
  <c r="P359"/>
  <c r="P361" s="1"/>
  <c r="P343"/>
  <c r="P345" s="1"/>
  <c r="R342"/>
  <c r="P322"/>
  <c r="P324" s="1"/>
  <c r="N92"/>
  <c r="N174"/>
  <c r="N129"/>
  <c r="P129" s="1"/>
  <c r="O353"/>
  <c r="O305"/>
  <c r="O308" s="1"/>
  <c r="Q55"/>
  <c r="R55" s="1"/>
  <c r="Q164"/>
  <c r="Q98"/>
  <c r="Q61"/>
  <c r="Q172"/>
  <c r="R16"/>
  <c r="O157"/>
  <c r="O160" s="1"/>
  <c r="R120"/>
  <c r="Q84"/>
  <c r="R84" s="1"/>
  <c r="Q83"/>
  <c r="O416"/>
  <c r="O419" s="1"/>
  <c r="O379"/>
  <c r="O382" s="1"/>
  <c r="O390"/>
  <c r="R386"/>
  <c r="R378"/>
  <c r="R394"/>
  <c r="R359"/>
  <c r="R357"/>
  <c r="R322"/>
  <c r="R320"/>
  <c r="R285"/>
  <c r="R283"/>
  <c r="O247"/>
  <c r="O231"/>
  <c r="R202"/>
  <c r="R121"/>
  <c r="R119"/>
  <c r="R135"/>
  <c r="R90"/>
  <c r="R82"/>
  <c r="O99"/>
  <c r="O54"/>
  <c r="R25"/>
  <c r="D12" i="21"/>
  <c r="E12"/>
  <c r="K12"/>
  <c r="C14"/>
  <c r="B20" s="1"/>
  <c r="I11"/>
  <c r="M11" s="1"/>
  <c r="H11"/>
  <c r="L11" s="1"/>
  <c r="K11"/>
  <c r="P9" i="22"/>
  <c r="J10" i="21"/>
  <c r="L10"/>
  <c r="O9" i="22"/>
  <c r="Q8"/>
  <c r="E12" i="2"/>
  <c r="D12"/>
  <c r="H11"/>
  <c r="I11"/>
  <c r="L8"/>
  <c r="M8"/>
  <c r="J8"/>
  <c r="F8"/>
  <c r="P62" i="23" l="1"/>
  <c r="P65" s="1"/>
  <c r="O62"/>
  <c r="Q62" s="1"/>
  <c r="R62" s="1"/>
  <c r="Q99"/>
  <c r="O102"/>
  <c r="C14" i="2"/>
  <c r="B20" s="1"/>
  <c r="I12" i="21"/>
  <c r="M12" s="1"/>
  <c r="F12"/>
  <c r="Q900" i="23"/>
  <c r="O900"/>
  <c r="R900"/>
  <c r="O57"/>
  <c r="Q789"/>
  <c r="O789"/>
  <c r="Q768"/>
  <c r="R768"/>
  <c r="P509"/>
  <c r="R361"/>
  <c r="R324"/>
  <c r="Q167"/>
  <c r="R167" s="1"/>
  <c r="P174"/>
  <c r="P176" s="1"/>
  <c r="N176"/>
  <c r="J176"/>
  <c r="Q123"/>
  <c r="O123"/>
  <c r="R123"/>
  <c r="N131"/>
  <c r="P131"/>
  <c r="Q127"/>
  <c r="Q86"/>
  <c r="P92"/>
  <c r="P94" s="1"/>
  <c r="N94"/>
  <c r="O49"/>
  <c r="P57"/>
  <c r="N27"/>
  <c r="N28" s="1"/>
  <c r="F28"/>
  <c r="R8"/>
  <c r="R12" s="1"/>
  <c r="Q12"/>
  <c r="R53"/>
  <c r="Q49"/>
  <c r="R24"/>
  <c r="E13" i="21"/>
  <c r="D13"/>
  <c r="D14" s="1"/>
  <c r="C20" s="1"/>
  <c r="E13" i="2"/>
  <c r="E14" s="1"/>
  <c r="D20" s="1"/>
  <c r="D13"/>
  <c r="D14" s="1"/>
  <c r="C20" s="1"/>
  <c r="G14"/>
  <c r="E20" s="1"/>
  <c r="H20" s="1"/>
  <c r="J12" i="21"/>
  <c r="O17" i="23"/>
  <c r="O20" s="1"/>
  <c r="P1038"/>
  <c r="Q1221"/>
  <c r="O1222"/>
  <c r="Q1207"/>
  <c r="O1208"/>
  <c r="Q1187"/>
  <c r="O1188"/>
  <c r="R1172"/>
  <c r="R1174" s="1"/>
  <c r="Q1174"/>
  <c r="Q1181"/>
  <c r="R1180"/>
  <c r="R1181" s="1"/>
  <c r="Q1153"/>
  <c r="O1154"/>
  <c r="Q1138"/>
  <c r="O1140"/>
  <c r="O1120"/>
  <c r="Q1120"/>
  <c r="R1117"/>
  <c r="R1120" s="1"/>
  <c r="Q1072"/>
  <c r="R1070"/>
  <c r="R1072" s="1"/>
  <c r="R1078"/>
  <c r="R1079" s="1"/>
  <c r="Q1079"/>
  <c r="Q1037"/>
  <c r="O1038"/>
  <c r="Q1045"/>
  <c r="R1044"/>
  <c r="R1045" s="1"/>
  <c r="Q1051"/>
  <c r="O1052"/>
  <c r="Q1017"/>
  <c r="Q1018" s="1"/>
  <c r="O1018"/>
  <c r="O1003"/>
  <c r="R1008"/>
  <c r="R1011" s="1"/>
  <c r="Q976"/>
  <c r="O977"/>
  <c r="Q949"/>
  <c r="O950"/>
  <c r="Q934"/>
  <c r="O936"/>
  <c r="R904"/>
  <c r="R908" s="1"/>
  <c r="Q914"/>
  <c r="Q916" s="1"/>
  <c r="Q860"/>
  <c r="Q863" s="1"/>
  <c r="Q877"/>
  <c r="Q879" s="1"/>
  <c r="R823"/>
  <c r="R826" s="1"/>
  <c r="R839"/>
  <c r="R842" s="1"/>
  <c r="Q803"/>
  <c r="Q805" s="1"/>
  <c r="R793"/>
  <c r="R797" s="1"/>
  <c r="R787"/>
  <c r="R789" s="1"/>
  <c r="R749"/>
  <c r="R752" s="1"/>
  <c r="R719"/>
  <c r="R723" s="1"/>
  <c r="Q712"/>
  <c r="Q715" s="1"/>
  <c r="Q692"/>
  <c r="Q694" s="1"/>
  <c r="O676"/>
  <c r="O678" s="1"/>
  <c r="R682"/>
  <c r="R686" s="1"/>
  <c r="Q655"/>
  <c r="Q657" s="1"/>
  <c r="R645"/>
  <c r="R649" s="1"/>
  <c r="R601"/>
  <c r="R604" s="1"/>
  <c r="O618"/>
  <c r="O620" s="1"/>
  <c r="Q565"/>
  <c r="Q567" s="1"/>
  <c r="Q581"/>
  <c r="Q583" s="1"/>
  <c r="R544"/>
  <c r="R546" s="1"/>
  <c r="Q507"/>
  <c r="R507" s="1"/>
  <c r="R506"/>
  <c r="Q490"/>
  <c r="Q493" s="1"/>
  <c r="R497"/>
  <c r="R501" s="1"/>
  <c r="Q470"/>
  <c r="Q472" s="1"/>
  <c r="Q453"/>
  <c r="Q456" s="1"/>
  <c r="Q416"/>
  <c r="Q419" s="1"/>
  <c r="Q379"/>
  <c r="Q382" s="1"/>
  <c r="Q305"/>
  <c r="Q308" s="1"/>
  <c r="O65"/>
  <c r="Q54"/>
  <c r="Q57" s="1"/>
  <c r="Q26"/>
  <c r="R61"/>
  <c r="O398"/>
  <c r="R98"/>
  <c r="Q157"/>
  <c r="Q160" s="1"/>
  <c r="R83"/>
  <c r="R86" s="1"/>
  <c r="R46"/>
  <c r="R423"/>
  <c r="R427" s="1"/>
  <c r="O435"/>
  <c r="O345"/>
  <c r="R351"/>
  <c r="R353" s="1"/>
  <c r="R341"/>
  <c r="R312"/>
  <c r="R316" s="1"/>
  <c r="R305"/>
  <c r="R308" s="1"/>
  <c r="R277"/>
  <c r="R268"/>
  <c r="R238"/>
  <c r="R172"/>
  <c r="R164"/>
  <c r="O139"/>
  <c r="R45"/>
  <c r="J11" i="21"/>
  <c r="N11" s="1"/>
  <c r="L12"/>
  <c r="N12"/>
  <c r="E14"/>
  <c r="D20" s="1"/>
  <c r="N10"/>
  <c r="Q9" i="22"/>
  <c r="R8"/>
  <c r="R9" s="1"/>
  <c r="Q8" i="21"/>
  <c r="H12" i="2"/>
  <c r="I12"/>
  <c r="K9"/>
  <c r="N8"/>
  <c r="F9"/>
  <c r="O94" i="23" l="1"/>
  <c r="O168"/>
  <c r="Q509"/>
  <c r="R509"/>
  <c r="P11" i="21"/>
  <c r="R127" i="23"/>
  <c r="P27"/>
  <c r="P28" s="1"/>
  <c r="R49"/>
  <c r="H13" i="21"/>
  <c r="H14" s="1"/>
  <c r="F20" s="1"/>
  <c r="I20" s="1"/>
  <c r="I13"/>
  <c r="I14" s="1"/>
  <c r="G20" s="1"/>
  <c r="J20" s="1"/>
  <c r="G14"/>
  <c r="E20" s="1"/>
  <c r="H20" s="1"/>
  <c r="K13"/>
  <c r="K14" s="1"/>
  <c r="H13" i="2"/>
  <c r="H14" s="1"/>
  <c r="F20" s="1"/>
  <c r="I20" s="1"/>
  <c r="I13"/>
  <c r="I14" s="1"/>
  <c r="G20" s="1"/>
  <c r="J20" s="1"/>
  <c r="F13" i="21"/>
  <c r="Q17" i="23"/>
  <c r="Q20" s="1"/>
  <c r="Q1208"/>
  <c r="R1207"/>
  <c r="R1208" s="1"/>
  <c r="Q1222"/>
  <c r="R1221"/>
  <c r="R1222" s="1"/>
  <c r="R1187"/>
  <c r="R1188" s="1"/>
  <c r="Q1188"/>
  <c r="R1138"/>
  <c r="R1140" s="1"/>
  <c r="Q1140"/>
  <c r="R1153"/>
  <c r="R1154" s="1"/>
  <c r="Q1154"/>
  <c r="R1037"/>
  <c r="R1038" s="1"/>
  <c r="Q1038"/>
  <c r="R1051"/>
  <c r="R1052" s="1"/>
  <c r="Q1052"/>
  <c r="R1017"/>
  <c r="R1018" s="1"/>
  <c r="Q1003"/>
  <c r="O1004"/>
  <c r="R976"/>
  <c r="R977" s="1"/>
  <c r="Q977"/>
  <c r="R949"/>
  <c r="R950" s="1"/>
  <c r="Q950"/>
  <c r="R934"/>
  <c r="R936" s="1"/>
  <c r="Q936"/>
  <c r="R914"/>
  <c r="R916" s="1"/>
  <c r="R860"/>
  <c r="R863" s="1"/>
  <c r="R877"/>
  <c r="R879" s="1"/>
  <c r="R803"/>
  <c r="R805" s="1"/>
  <c r="R712"/>
  <c r="R715" s="1"/>
  <c r="R692"/>
  <c r="R694" s="1"/>
  <c r="Q676"/>
  <c r="Q678" s="1"/>
  <c r="R655"/>
  <c r="R657" s="1"/>
  <c r="Q618"/>
  <c r="Q620" s="1"/>
  <c r="R565"/>
  <c r="R567" s="1"/>
  <c r="R581"/>
  <c r="R583" s="1"/>
  <c r="R490"/>
  <c r="R493" s="1"/>
  <c r="R453"/>
  <c r="R456" s="1"/>
  <c r="R470"/>
  <c r="R472" s="1"/>
  <c r="Q343"/>
  <c r="Q345" s="1"/>
  <c r="Q166"/>
  <c r="Q168" s="1"/>
  <c r="Q92"/>
  <c r="Q94" s="1"/>
  <c r="O176"/>
  <c r="O131"/>
  <c r="Q63"/>
  <c r="Q65" s="1"/>
  <c r="Q137"/>
  <c r="Q139" s="1"/>
  <c r="Q100"/>
  <c r="Q102" s="1"/>
  <c r="R26"/>
  <c r="R157"/>
  <c r="R160" s="1"/>
  <c r="R416"/>
  <c r="R419" s="1"/>
  <c r="R379"/>
  <c r="R382" s="1"/>
  <c r="R396"/>
  <c r="R398" s="1"/>
  <c r="R388"/>
  <c r="R390" s="1"/>
  <c r="R231"/>
  <c r="R247"/>
  <c r="R99"/>
  <c r="R54"/>
  <c r="R57" s="1"/>
  <c r="P12" i="21"/>
  <c r="Q12" s="1"/>
  <c r="R12" s="1"/>
  <c r="P10"/>
  <c r="R8"/>
  <c r="P8" i="2"/>
  <c r="O8" s="1"/>
  <c r="K10"/>
  <c r="L9"/>
  <c r="M9"/>
  <c r="J9"/>
  <c r="M10"/>
  <c r="L10"/>
  <c r="F10"/>
  <c r="L13" i="21" l="1"/>
  <c r="L14" s="1"/>
  <c r="Q11"/>
  <c r="R11" s="1"/>
  <c r="Q27" i="23"/>
  <c r="J13" i="21"/>
  <c r="J14" s="1"/>
  <c r="N13"/>
  <c r="F14"/>
  <c r="M13"/>
  <c r="M14" s="1"/>
  <c r="R17" i="23"/>
  <c r="R20" s="1"/>
  <c r="Q1004"/>
  <c r="R1003"/>
  <c r="R1004" s="1"/>
  <c r="R676"/>
  <c r="R678" s="1"/>
  <c r="R618"/>
  <c r="R620" s="1"/>
  <c r="R166"/>
  <c r="R168" s="1"/>
  <c r="R92"/>
  <c r="R94" s="1"/>
  <c r="R211"/>
  <c r="Q174"/>
  <c r="Q176" s="1"/>
  <c r="Q129"/>
  <c r="Q131" s="1"/>
  <c r="R63"/>
  <c r="R65" s="1"/>
  <c r="R100"/>
  <c r="R102" s="1"/>
  <c r="R433"/>
  <c r="R435" s="1"/>
  <c r="R343"/>
  <c r="R345" s="1"/>
  <c r="R195"/>
  <c r="R137"/>
  <c r="R139" s="1"/>
  <c r="O14" i="21"/>
  <c r="K20" s="1"/>
  <c r="Q10"/>
  <c r="N9" i="2"/>
  <c r="J10"/>
  <c r="N10" s="1"/>
  <c r="K11"/>
  <c r="M11"/>
  <c r="F11"/>
  <c r="L11"/>
  <c r="O28" i="23" l="1"/>
  <c r="R27"/>
  <c r="R28" s="1"/>
  <c r="Q28"/>
  <c r="P13" i="21"/>
  <c r="N14"/>
  <c r="R174" i="23"/>
  <c r="R176" s="1"/>
  <c r="R129"/>
  <c r="R131" s="1"/>
  <c r="R10" i="21"/>
  <c r="Q8" i="2"/>
  <c r="P10"/>
  <c r="P9"/>
  <c r="O9" s="1"/>
  <c r="J11"/>
  <c r="N11" s="1"/>
  <c r="K12"/>
  <c r="M12"/>
  <c r="J12"/>
  <c r="F12"/>
  <c r="L12"/>
  <c r="Q13" i="21" l="1"/>
  <c r="P14"/>
  <c r="Q9" i="2"/>
  <c r="R9" s="1"/>
  <c r="R8"/>
  <c r="P11"/>
  <c r="K13"/>
  <c r="K14" s="1"/>
  <c r="F13"/>
  <c r="F14" s="1"/>
  <c r="N12"/>
  <c r="R13" i="21" l="1"/>
  <c r="R14" s="1"/>
  <c r="M20" s="1"/>
  <c r="Q14"/>
  <c r="O14" i="2"/>
  <c r="Q10"/>
  <c r="R10" s="1"/>
  <c r="P12"/>
  <c r="M13"/>
  <c r="M14" s="1"/>
  <c r="L13"/>
  <c r="L14" s="1"/>
  <c r="J13"/>
  <c r="J14" s="1"/>
  <c r="K20" l="1"/>
  <c r="J15"/>
  <c r="Q11"/>
  <c r="R11" s="1"/>
  <c r="Q12"/>
  <c r="N13"/>
  <c r="R12" l="1"/>
  <c r="N14"/>
  <c r="P13"/>
  <c r="P14" l="1"/>
  <c r="Q13"/>
  <c r="R13" l="1"/>
  <c r="R14" s="1"/>
  <c r="Q14"/>
  <c r="M20" l="1"/>
  <c r="J16"/>
  <c r="C834" i="23"/>
  <c r="D834"/>
  <c r="E834"/>
  <c r="F834"/>
  <c r="G834"/>
  <c r="H834"/>
  <c r="I834"/>
  <c r="J834"/>
  <c r="K834"/>
  <c r="L834"/>
  <c r="M834"/>
  <c r="N834"/>
  <c r="O834"/>
  <c r="P834"/>
  <c r="Q834"/>
  <c r="R834"/>
</calcChain>
</file>

<file path=xl/sharedStrings.xml><?xml version="1.0" encoding="utf-8"?>
<sst xmlns="http://schemas.openxmlformats.org/spreadsheetml/2006/main" count="1784" uniqueCount="96">
  <si>
    <t>Serial No.</t>
  </si>
  <si>
    <t>Dearness
Allowance</t>
  </si>
  <si>
    <t>H.R.A.</t>
  </si>
  <si>
    <t>Month
&amp; 
Year</t>
  </si>
  <si>
    <t>Basic
 Pay</t>
  </si>
  <si>
    <t>Pay Due</t>
  </si>
  <si>
    <t>Pay Drawn</t>
  </si>
  <si>
    <t>Pay Difference</t>
  </si>
  <si>
    <t>Deducation</t>
  </si>
  <si>
    <t>TOTAL</t>
  </si>
  <si>
    <t>Name of Employee :-</t>
  </si>
  <si>
    <t>OFFICE NAME :-</t>
  </si>
  <si>
    <t>S.R. NO.</t>
  </si>
  <si>
    <t>EMPLOYEE NAME</t>
  </si>
  <si>
    <t>POST</t>
  </si>
  <si>
    <t>How Many Months make Arrear</t>
  </si>
  <si>
    <t>7th Pay Basic</t>
  </si>
  <si>
    <t>EMPLOYEE DETAIL</t>
  </si>
  <si>
    <t>GPF</t>
  </si>
  <si>
    <t>S.R.</t>
  </si>
  <si>
    <t>Date :</t>
  </si>
  <si>
    <t>For Copying And Necessary Action</t>
  </si>
  <si>
    <t>Treasury Officer / Deputy treasury  Officer</t>
  </si>
  <si>
    <t>Related Employee Sh./Smt./Mis.</t>
  </si>
  <si>
    <t>File Register</t>
  </si>
  <si>
    <t>Old  7th Pay DA % :-</t>
  </si>
  <si>
    <t>Old  7th Pay HRA % :-</t>
  </si>
  <si>
    <t>New  7th Pay DA % :-</t>
  </si>
  <si>
    <t>New  7th Pay HRA % :-</t>
  </si>
  <si>
    <t xml:space="preserve">Basic
</t>
  </si>
  <si>
    <t>INCOME TAX</t>
  </si>
  <si>
    <t xml:space="preserve">POST:- </t>
  </si>
  <si>
    <t>HEERA LAL JAT</t>
  </si>
  <si>
    <t>Sr. Teacher</t>
  </si>
  <si>
    <t>PRINCIPAL</t>
  </si>
  <si>
    <t>LECTURER</t>
  </si>
  <si>
    <t>TEACHER L-1</t>
  </si>
  <si>
    <t>P.T.I. IIIrd</t>
  </si>
  <si>
    <t>TEACHER L-2</t>
  </si>
  <si>
    <t>MANDIP SINGH BHULLAR</t>
  </si>
  <si>
    <t>Treasury
Bill@
Voucher 
No.&amp;
Date</t>
  </si>
  <si>
    <t>Income   Tax  /  TDS</t>
  </si>
  <si>
    <t>SEAL AND SIGN OF DDO</t>
  </si>
  <si>
    <t>YES</t>
  </si>
  <si>
    <t>LALIT KUMAR</t>
  </si>
  <si>
    <t>GPF-2004</t>
  </si>
  <si>
    <r>
      <t xml:space="preserve">Total 
Col.
</t>
    </r>
    <r>
      <rPr>
        <b/>
        <i/>
        <sz val="9"/>
        <color theme="1"/>
        <rFont val="Cambria"/>
        <family val="1"/>
        <scheme val="major"/>
      </rPr>
      <t>3 to 5</t>
    </r>
  </si>
  <si>
    <r>
      <t xml:space="preserve">Total 
Col.
</t>
    </r>
    <r>
      <rPr>
        <b/>
        <i/>
        <sz val="9"/>
        <color theme="1"/>
        <rFont val="Cambria"/>
        <family val="1"/>
        <scheme val="major"/>
      </rPr>
      <t>7 to 9</t>
    </r>
  </si>
  <si>
    <r>
      <t xml:space="preserve">Total 
Col.
</t>
    </r>
    <r>
      <rPr>
        <b/>
        <i/>
        <sz val="9"/>
        <color theme="1"/>
        <rFont val="Cambria"/>
        <family val="1"/>
        <scheme val="major"/>
      </rPr>
      <t>11 to 13</t>
    </r>
  </si>
  <si>
    <t>Sr. No. :-</t>
  </si>
  <si>
    <t>DA</t>
  </si>
  <si>
    <t>HRA</t>
  </si>
  <si>
    <t>BASIC</t>
  </si>
  <si>
    <r>
      <t xml:space="preserve">Total 
of 
Dedu
ction 
</t>
    </r>
    <r>
      <rPr>
        <sz val="11"/>
        <color theme="1"/>
        <rFont val="Calibri"/>
        <family val="2"/>
        <scheme val="minor"/>
      </rPr>
      <t/>
    </r>
  </si>
  <si>
    <r>
      <t xml:space="preserve">To be 
paid
in Cash
</t>
    </r>
    <r>
      <rPr>
        <b/>
        <i/>
        <sz val="9"/>
        <color theme="1"/>
        <rFont val="Cambria"/>
        <family val="1"/>
        <scheme val="major"/>
      </rPr>
      <t>Col. 14 
form 18</t>
    </r>
  </si>
  <si>
    <t>To be Paid Cash</t>
  </si>
  <si>
    <t>Mahatma Gandhi Government School (English Medium) BAR , Pali</t>
  </si>
  <si>
    <t>Amount in Words , To be Paid In Cash  :-</t>
  </si>
  <si>
    <t>Surrender Arrear</t>
  </si>
  <si>
    <t>Sr.No.</t>
  </si>
  <si>
    <t>Total 
Col.
11 to 13</t>
  </si>
  <si>
    <t>To be 
paid
in Cash
Col. 14 
form 18</t>
  </si>
  <si>
    <t>GPF / GPF-2004</t>
  </si>
  <si>
    <t>Programmed By :-</t>
  </si>
  <si>
    <t>Sr. Teacher at MGGS BAR (PALI)</t>
  </si>
  <si>
    <t>V./P. -  CHANDAWAL NAGAR , SOJAT (PALI)</t>
  </si>
  <si>
    <t xml:space="preserve"> Whats App No. 09001884272</t>
  </si>
  <si>
    <t>heeralaljatchandawal@gmail.com</t>
  </si>
  <si>
    <t xml:space="preserve">परम पूज्य गुरुदेव वासुदेवजी महाराज </t>
  </si>
  <si>
    <t xml:space="preserve">GPF / GPF-2004 </t>
  </si>
  <si>
    <t>To be Paid In GPF / GPF-2004</t>
  </si>
  <si>
    <r>
      <rPr>
        <b/>
        <sz val="11"/>
        <color rgb="FF0000CC"/>
        <rFont val="Calibri"/>
        <family val="2"/>
        <scheme val="minor"/>
      </rPr>
      <t>किस माह से</t>
    </r>
    <r>
      <rPr>
        <b/>
        <sz val="12"/>
        <color rgb="FF0000CC"/>
        <rFont val="Calibri"/>
        <family val="2"/>
        <scheme val="minor"/>
      </rPr>
      <t xml:space="preserve"> DA </t>
    </r>
    <r>
      <rPr>
        <b/>
        <sz val="11"/>
        <color rgb="FF0000CC"/>
        <rFont val="Calibri"/>
        <family val="2"/>
        <scheme val="minor"/>
      </rPr>
      <t>एरियर बनाना है</t>
    </r>
    <r>
      <rPr>
        <b/>
        <sz val="12"/>
        <color rgb="FF0000CC"/>
        <rFont val="Calibri"/>
        <family val="2"/>
        <scheme val="minor"/>
      </rPr>
      <t xml:space="preserve"> </t>
    </r>
  </si>
  <si>
    <t>https://youtu.be/PBaVmcX26GU</t>
  </si>
  <si>
    <t xml:space="preserve">Old Video Link </t>
  </si>
  <si>
    <t>https://youtu.be/9OVRI3o4WG4</t>
  </si>
  <si>
    <t>USHA PALIYA</t>
  </si>
  <si>
    <t>SEEMA CHHABA</t>
  </si>
  <si>
    <t>YOGENDRA</t>
  </si>
  <si>
    <t>SURESH CHAND SINGARIYA</t>
  </si>
  <si>
    <t xml:space="preserve">RAKESH KUMAR </t>
  </si>
  <si>
    <t>ABHIMANYU SINGH</t>
  </si>
  <si>
    <t>PUSHPENDRA</t>
  </si>
  <si>
    <t>MANOJ KUMAR PANCHORI</t>
  </si>
  <si>
    <t>PRADIP SINGH</t>
  </si>
  <si>
    <t>SAMPAT RAJ</t>
  </si>
  <si>
    <t>BAHADURRAM</t>
  </si>
  <si>
    <t xml:space="preserve">HEMANT </t>
  </si>
  <si>
    <t>P.T.I. IInd</t>
  </si>
  <si>
    <t>UDC</t>
  </si>
  <si>
    <t>LDC</t>
  </si>
  <si>
    <t xml:space="preserve">DA (46%) Drawn Statement  </t>
  </si>
  <si>
    <t>Sheet Password</t>
  </si>
  <si>
    <t xml:space="preserve">DA (46% to 50%) Drawn Statement  </t>
  </si>
  <si>
    <t>DA#2024</t>
  </si>
  <si>
    <t>New Video Link Release on 03-04-2024</t>
  </si>
  <si>
    <t>https://youtu.be/GzIpcPM4XCs</t>
  </si>
</sst>
</file>

<file path=xl/styles.xml><?xml version="1.0" encoding="utf-8"?>
<styleSheet xmlns="http://schemas.openxmlformats.org/spreadsheetml/2006/main">
  <numFmts count="2">
    <numFmt numFmtId="164" formatCode="[$-409]mmm/yy;@"/>
    <numFmt numFmtId="165" formatCode="[$-409]mmmm/yy;@"/>
  </numFmts>
  <fonts count="63">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b/>
      <sz val="14"/>
      <color rgb="FF002060"/>
      <name val="Cambria"/>
      <family val="1"/>
      <scheme val="major"/>
    </font>
    <font>
      <b/>
      <sz val="12"/>
      <color rgb="FF0000CC"/>
      <name val="Calibri"/>
      <family val="2"/>
      <scheme val="minor"/>
    </font>
    <font>
      <b/>
      <sz val="11"/>
      <color theme="1"/>
      <name val="Times New Roman"/>
      <family val="1"/>
    </font>
    <font>
      <b/>
      <sz val="9"/>
      <color theme="1"/>
      <name val="Cambria"/>
      <family val="1"/>
      <scheme val="major"/>
    </font>
    <font>
      <b/>
      <i/>
      <sz val="11"/>
      <name val="Calibri"/>
      <family val="2"/>
      <scheme val="minor"/>
    </font>
    <font>
      <b/>
      <sz val="11"/>
      <color rgb="FFFF0000"/>
      <name val="Calibri"/>
      <family val="2"/>
      <scheme val="minor"/>
    </font>
    <font>
      <b/>
      <sz val="12"/>
      <color rgb="FFFF0000"/>
      <name val="Calibri"/>
      <family val="2"/>
      <scheme val="minor"/>
    </font>
    <font>
      <b/>
      <sz val="9"/>
      <color theme="1"/>
      <name val="Calibri"/>
      <family val="2"/>
      <scheme val="minor"/>
    </font>
    <font>
      <b/>
      <i/>
      <sz val="14"/>
      <color rgb="FFFF0000"/>
      <name val="Calibri"/>
      <family val="2"/>
      <scheme val="minor"/>
    </font>
    <font>
      <u/>
      <sz val="10"/>
      <color theme="10"/>
      <name val="Arial"/>
      <family val="2"/>
    </font>
    <font>
      <b/>
      <i/>
      <u/>
      <sz val="14"/>
      <color rgb="FF7030A0"/>
      <name val="Calibri"/>
      <family val="2"/>
      <scheme val="minor"/>
    </font>
    <font>
      <b/>
      <i/>
      <sz val="14"/>
      <color theme="5" tint="-0.249977111117893"/>
      <name val="Calibri"/>
      <family val="2"/>
      <scheme val="minor"/>
    </font>
    <font>
      <b/>
      <i/>
      <sz val="14"/>
      <color rgb="FF00B050"/>
      <name val="Calibri"/>
      <family val="2"/>
      <scheme val="minor"/>
    </font>
    <font>
      <b/>
      <i/>
      <sz val="14"/>
      <color rgb="FF0070C0"/>
      <name val="Calibri"/>
      <family val="2"/>
    </font>
    <font>
      <b/>
      <i/>
      <u/>
      <sz val="14"/>
      <color theme="9" tint="-0.499984740745262"/>
      <name val="Calibri"/>
      <family val="2"/>
    </font>
    <font>
      <b/>
      <u/>
      <sz val="12"/>
      <color theme="10"/>
      <name val="Arial"/>
      <family val="2"/>
    </font>
    <font>
      <b/>
      <sz val="14"/>
      <color rgb="FFFF0000"/>
      <name val="Calibri"/>
      <family val="2"/>
      <scheme val="minor"/>
    </font>
    <font>
      <b/>
      <sz val="12"/>
      <color theme="1"/>
      <name val="Kruti Dev 010"/>
    </font>
    <font>
      <b/>
      <sz val="11"/>
      <color rgb="FF0000CC"/>
      <name val="Calibri"/>
      <family val="2"/>
      <scheme val="minor"/>
    </font>
    <font>
      <b/>
      <sz val="18"/>
      <color rgb="FF002060"/>
      <name val="Times New Roman"/>
      <family val="1"/>
    </font>
    <font>
      <b/>
      <u/>
      <sz val="12"/>
      <color theme="10"/>
      <name val="Calibri"/>
      <family val="2"/>
      <scheme val="minor"/>
    </font>
    <font>
      <b/>
      <sz val="16"/>
      <color theme="5" tint="-0.499984740745262"/>
      <name val="Times New Roman"/>
      <family val="1"/>
    </font>
    <font>
      <b/>
      <u val="double"/>
      <sz val="14"/>
      <color rgb="FF0000CC"/>
      <name val="Cambria"/>
      <family val="1"/>
      <scheme val="major"/>
    </font>
    <font>
      <b/>
      <sz val="14"/>
      <color theme="1"/>
      <name val="Calibri"/>
      <family val="2"/>
      <scheme val="minor"/>
    </font>
    <font>
      <b/>
      <sz val="12"/>
      <color rgb="FFCC00CC"/>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499984740745262"/>
        <bgColor indexed="64"/>
      </patternFill>
    </fill>
  </fills>
  <borders count="15">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style="thin">
        <color rgb="FF00B050"/>
      </left>
      <right style="thin">
        <color rgb="FF00B050"/>
      </right>
      <top style="thin">
        <color rgb="FF00B050"/>
      </top>
      <bottom style="thin">
        <color rgb="FF00B050"/>
      </bottom>
      <diagonal/>
    </border>
    <border>
      <left style="medium">
        <color rgb="FF00B050"/>
      </left>
      <right/>
      <top/>
      <bottom/>
      <diagonal/>
    </border>
    <border>
      <left style="medium">
        <color rgb="FF00B050"/>
      </left>
      <right/>
      <top/>
      <bottom style="medium">
        <color rgb="FF00B050"/>
      </bottom>
      <diagonal/>
    </border>
    <border>
      <left style="thin">
        <color rgb="FFCC00CC"/>
      </left>
      <right style="thin">
        <color rgb="FFCC00CC"/>
      </right>
      <top style="thin">
        <color rgb="FFCC00CC"/>
      </top>
      <bottom style="thin">
        <color rgb="FFCC00CC"/>
      </bottom>
      <diagonal/>
    </border>
  </borders>
  <cellStyleXfs count="2">
    <xf numFmtId="0" fontId="0" fillId="0" borderId="0"/>
    <xf numFmtId="0" fontId="47" fillId="0" borderId="0" applyNumberFormat="0" applyFill="0" applyBorder="0" applyAlignment="0" applyProtection="0">
      <alignment vertical="top"/>
      <protection locked="0"/>
    </xf>
  </cellStyleXfs>
  <cellXfs count="164">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6" fillId="0" borderId="0" xfId="0" applyFont="1" applyBorder="1" applyAlignment="1" applyProtection="1">
      <alignment horizontal="left"/>
      <protection hidden="1"/>
    </xf>
    <xf numFmtId="0" fontId="16" fillId="0" borderId="0" xfId="0" applyFont="1" applyBorder="1" applyAlignment="1" applyProtection="1">
      <alignment horizontal="left"/>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10" fillId="4" borderId="0" xfId="0" applyFont="1" applyFill="1" applyAlignment="1" applyProtection="1">
      <alignment horizontal="center" vertical="center"/>
      <protection hidden="1"/>
    </xf>
    <xf numFmtId="0" fontId="10" fillId="4" borderId="0" xfId="0" applyFont="1" applyFill="1" applyProtection="1">
      <protection hidden="1"/>
    </xf>
    <xf numFmtId="0" fontId="10" fillId="4" borderId="0" xfId="0" applyFont="1" applyFill="1" applyAlignment="1" applyProtection="1">
      <protection hidden="1"/>
    </xf>
    <xf numFmtId="0" fontId="0" fillId="4" borderId="0" xfId="0" applyFill="1" applyAlignment="1" applyProtection="1">
      <protection hidden="1"/>
    </xf>
    <xf numFmtId="0" fontId="13" fillId="4" borderId="0" xfId="0" applyFont="1" applyFill="1" applyBorder="1" applyAlignment="1" applyProtection="1">
      <alignment horizontal="left" vertical="center"/>
      <protection hidden="1"/>
    </xf>
    <xf numFmtId="0" fontId="13" fillId="4" borderId="0" xfId="0" applyFont="1" applyFill="1" applyBorder="1" applyAlignment="1" applyProtection="1">
      <alignment vertical="center"/>
      <protection hidden="1"/>
    </xf>
    <xf numFmtId="0" fontId="11"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0" fillId="4" borderId="0" xfId="0" applyFill="1" applyAlignment="1" applyProtection="1">
      <alignment vertical="center"/>
      <protection hidden="1"/>
    </xf>
    <xf numFmtId="0" fontId="8" fillId="4" borderId="0" xfId="0" applyFont="1" applyFill="1" applyBorder="1" applyAlignment="1" applyProtection="1">
      <alignment vertical="center" wrapText="1"/>
      <protection hidden="1"/>
    </xf>
    <xf numFmtId="0" fontId="13" fillId="0" borderId="11"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wrapText="1"/>
      <protection hidden="1"/>
    </xf>
    <xf numFmtId="0" fontId="39" fillId="4" borderId="5" xfId="0" applyFont="1" applyFill="1" applyBorder="1" applyAlignment="1" applyProtection="1">
      <alignment horizontal="center" vertical="center" wrapText="1"/>
      <protection hidden="1"/>
    </xf>
    <xf numFmtId="0" fontId="40" fillId="0" borderId="1" xfId="0" applyFont="1" applyBorder="1" applyProtection="1">
      <protection locked="0"/>
    </xf>
    <xf numFmtId="0" fontId="26" fillId="0" borderId="0" xfId="0" applyFont="1" applyBorder="1" applyAlignment="1" applyProtection="1">
      <alignment horizontal="right" vertical="center"/>
      <protection hidden="1"/>
    </xf>
    <xf numFmtId="0" fontId="25" fillId="0" borderId="0" xfId="0" applyFont="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41" fillId="0" borderId="9"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textRotation="90" wrapText="1"/>
      <protection hidden="1"/>
    </xf>
    <xf numFmtId="0" fontId="21" fillId="0" borderId="9" xfId="0" applyFont="1" applyBorder="1" applyAlignment="1" applyProtection="1">
      <alignment horizontal="center" vertical="center" textRotation="90"/>
      <protection hidden="1"/>
    </xf>
    <xf numFmtId="0" fontId="22" fillId="0" borderId="9" xfId="0" applyFont="1" applyBorder="1" applyAlignment="1" applyProtection="1">
      <alignment horizontal="center" vertical="center" wrapText="1"/>
      <protection hidden="1"/>
    </xf>
    <xf numFmtId="1" fontId="35" fillId="0" borderId="0" xfId="0" applyNumberFormat="1" applyFont="1" applyBorder="1" applyAlignment="1" applyProtection="1">
      <alignment horizontal="center" vertical="center"/>
      <protection hidden="1"/>
    </xf>
    <xf numFmtId="1" fontId="36" fillId="0" borderId="0" xfId="0" applyNumberFormat="1" applyFont="1" applyBorder="1" applyAlignment="1" applyProtection="1">
      <alignment horizontal="center" vertical="center"/>
      <protection hidden="1"/>
    </xf>
    <xf numFmtId="0" fontId="29" fillId="0" borderId="0" xfId="0" applyFont="1" applyAlignment="1" applyProtection="1">
      <alignment horizontal="right" vertical="center"/>
      <protection hidden="1"/>
    </xf>
    <xf numFmtId="0" fontId="29" fillId="0" borderId="0" xfId="0" applyFont="1" applyBorder="1" applyAlignment="1" applyProtection="1">
      <alignment horizontal="right" vertical="center"/>
      <protection hidden="1"/>
    </xf>
    <xf numFmtId="1" fontId="35" fillId="0" borderId="11" xfId="0" applyNumberFormat="1" applyFont="1" applyBorder="1" applyAlignment="1" applyProtection="1">
      <alignment horizontal="center" vertical="center"/>
      <protection hidden="1"/>
    </xf>
    <xf numFmtId="0" fontId="43" fillId="0" borderId="1" xfId="0" applyFont="1" applyBorder="1" applyAlignment="1" applyProtection="1">
      <alignment horizontal="center" vertical="center"/>
      <protection hidden="1"/>
    </xf>
    <xf numFmtId="0" fontId="44" fillId="3" borderId="0" xfId="0" applyFont="1" applyFill="1" applyAlignment="1" applyProtection="1">
      <alignment horizontal="center" vertical="center"/>
      <protection locked="0"/>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41" fillId="0" borderId="9" xfId="0" applyFont="1" applyBorder="1" applyAlignment="1" applyProtection="1">
      <alignment horizontal="center" vertical="center" textRotation="90" wrapText="1"/>
      <protection hidden="1"/>
    </xf>
    <xf numFmtId="0" fontId="41" fillId="0" borderId="9" xfId="0" applyFont="1" applyBorder="1" applyAlignment="1" applyProtection="1">
      <alignment horizontal="center" vertical="center" textRotation="90"/>
      <protection hidden="1"/>
    </xf>
    <xf numFmtId="16" fontId="45" fillId="0" borderId="11" xfId="0" applyNumberFormat="1" applyFont="1" applyBorder="1" applyAlignment="1" applyProtection="1">
      <alignment horizontal="center" vertical="center"/>
      <protection hidden="1"/>
    </xf>
    <xf numFmtId="0" fontId="45" fillId="0" borderId="11" xfId="0" applyFont="1" applyBorder="1" applyAlignment="1" applyProtection="1">
      <alignment horizontal="center" vertical="center"/>
      <protection hidden="1"/>
    </xf>
    <xf numFmtId="0" fontId="52" fillId="5" borderId="13" xfId="1" applyFont="1" applyFill="1" applyBorder="1" applyAlignment="1" applyProtection="1">
      <alignment vertical="center"/>
      <protection hidden="1"/>
    </xf>
    <xf numFmtId="0" fontId="52" fillId="5" borderId="0" xfId="1" applyFont="1" applyFill="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43" fillId="0" borderId="0" xfId="0" applyFont="1" applyBorder="1" applyAlignment="1" applyProtection="1">
      <alignment horizontal="center" vertical="center"/>
      <protection hidden="1"/>
    </xf>
    <xf numFmtId="0" fontId="40" fillId="0" borderId="0" xfId="0" applyFont="1" applyBorder="1" applyProtection="1">
      <protection locked="0"/>
    </xf>
    <xf numFmtId="165" fontId="14" fillId="2" borderId="3" xfId="0" applyNumberFormat="1" applyFont="1" applyFill="1" applyBorder="1" applyAlignment="1" applyProtection="1">
      <alignment horizontal="center" vertical="center"/>
      <protection locked="0"/>
    </xf>
    <xf numFmtId="164" fontId="0" fillId="4" borderId="0" xfId="0" applyNumberFormat="1" applyFill="1" applyAlignment="1" applyProtection="1">
      <alignment vertical="center"/>
      <protection hidden="1"/>
    </xf>
    <xf numFmtId="0" fontId="57" fillId="4" borderId="0" xfId="0" applyFont="1" applyFill="1" applyAlignment="1" applyProtection="1">
      <alignment vertical="center" wrapText="1"/>
      <protection hidden="1"/>
    </xf>
    <xf numFmtId="0" fontId="47" fillId="4" borderId="0" xfId="1" applyFill="1" applyAlignment="1" applyProtection="1">
      <alignment vertical="center"/>
      <protection hidden="1"/>
    </xf>
    <xf numFmtId="1" fontId="12" fillId="0" borderId="11" xfId="0" applyNumberFormat="1" applyFont="1" applyBorder="1" applyAlignment="1" applyProtection="1">
      <alignment horizontal="center" vertical="center"/>
      <protection hidden="1"/>
    </xf>
    <xf numFmtId="1" fontId="39" fillId="0" borderId="11" xfId="0" applyNumberFormat="1"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20"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20" fillId="0" borderId="0" xfId="0" applyFont="1" applyAlignment="1" applyProtection="1">
      <alignment horizontal="center"/>
      <protection hidden="1"/>
    </xf>
    <xf numFmtId="0" fontId="42" fillId="0" borderId="0" xfId="0" applyFont="1" applyBorder="1" applyAlignment="1" applyProtection="1">
      <alignment horizontal="left" vertical="center"/>
      <protection hidden="1"/>
    </xf>
    <xf numFmtId="0" fontId="22"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protection hidden="1"/>
    </xf>
    <xf numFmtId="0" fontId="9" fillId="0" borderId="0" xfId="0" applyFont="1" applyBorder="1" applyProtection="1">
      <protection locked="0"/>
    </xf>
    <xf numFmtId="0" fontId="5" fillId="0" borderId="0" xfId="0" applyFont="1" applyBorder="1" applyAlignment="1" applyProtection="1">
      <alignment horizontal="right" vertical="center"/>
      <protection hidden="1"/>
    </xf>
    <xf numFmtId="0" fontId="19" fillId="0" borderId="14"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textRotation="90" wrapText="1"/>
      <protection hidden="1"/>
    </xf>
    <xf numFmtId="0" fontId="21" fillId="0" borderId="14" xfId="0" applyFont="1" applyBorder="1" applyAlignment="1" applyProtection="1">
      <alignment horizontal="center" vertical="center" textRotation="90"/>
      <protection hidden="1"/>
    </xf>
    <xf numFmtId="0" fontId="22" fillId="0" borderId="14" xfId="0" applyFont="1" applyBorder="1" applyAlignment="1" applyProtection="1">
      <alignment horizontal="center" vertical="center" wrapText="1"/>
      <protection hidden="1"/>
    </xf>
    <xf numFmtId="0" fontId="41" fillId="0" borderId="14"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 fillId="0" borderId="14" xfId="0" applyFont="1" applyBorder="1" applyAlignment="1" applyProtection="1">
      <alignment horizontal="center"/>
      <protection hidden="1"/>
    </xf>
    <xf numFmtId="0" fontId="7" fillId="0" borderId="14" xfId="0" applyFont="1" applyBorder="1" applyAlignment="1" applyProtection="1">
      <alignment horizontal="center" vertical="center"/>
      <protection hidden="1"/>
    </xf>
    <xf numFmtId="164" fontId="24" fillId="0" borderId="14" xfId="0" applyNumberFormat="1"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9" fillId="0" borderId="14" xfId="0" applyFont="1" applyBorder="1" applyProtection="1">
      <protection locked="0"/>
    </xf>
    <xf numFmtId="0" fontId="43" fillId="0" borderId="14" xfId="0" applyFont="1" applyBorder="1" applyAlignment="1" applyProtection="1">
      <alignment horizontal="center" vertical="center"/>
      <protection hidden="1"/>
    </xf>
    <xf numFmtId="0" fontId="40" fillId="0" borderId="14" xfId="0" applyFont="1" applyBorder="1" applyProtection="1">
      <protection locked="0"/>
    </xf>
    <xf numFmtId="0" fontId="38" fillId="4" borderId="0" xfId="0" applyFont="1" applyFill="1" applyAlignment="1" applyProtection="1">
      <alignment horizontal="right" vertical="center"/>
      <protection hidden="1"/>
    </xf>
    <xf numFmtId="0" fontId="60" fillId="4" borderId="0" xfId="0" applyFont="1" applyFill="1" applyAlignment="1" applyProtection="1">
      <alignment horizontal="center"/>
      <protection hidden="1"/>
    </xf>
    <xf numFmtId="0" fontId="34" fillId="0" borderId="11" xfId="0" applyFont="1" applyFill="1" applyBorder="1" applyAlignment="1" applyProtection="1">
      <alignment horizontal="left" vertical="center"/>
      <protection locked="0"/>
    </xf>
    <xf numFmtId="0" fontId="58" fillId="4" borderId="0" xfId="1" applyFont="1" applyFill="1" applyAlignment="1" applyProtection="1">
      <alignment horizontal="left" vertical="top"/>
      <protection hidden="1"/>
    </xf>
    <xf numFmtId="0" fontId="59" fillId="4" borderId="0" xfId="0" applyFont="1" applyFill="1" applyAlignment="1" applyProtection="1">
      <alignment horizontal="center" wrapText="1"/>
      <protection hidden="1"/>
    </xf>
    <xf numFmtId="0" fontId="52" fillId="5" borderId="12" xfId="1" applyFont="1" applyFill="1" applyBorder="1" applyAlignment="1" applyProtection="1">
      <alignment horizontal="center" vertical="center"/>
      <protection hidden="1"/>
    </xf>
    <xf numFmtId="0" fontId="52" fillId="5" borderId="0" xfId="1" applyFont="1" applyFill="1" applyBorder="1" applyAlignment="1" applyProtection="1">
      <alignment horizontal="center" vertical="center"/>
      <protection hidden="1"/>
    </xf>
    <xf numFmtId="0" fontId="55" fillId="4" borderId="0" xfId="0" applyFont="1" applyFill="1" applyBorder="1" applyAlignment="1" applyProtection="1">
      <alignment horizontal="center" vertical="center" wrapText="1"/>
      <protection hidden="1"/>
    </xf>
    <xf numFmtId="0" fontId="53" fillId="4" borderId="0" xfId="1" applyFont="1" applyFill="1" applyAlignment="1" applyProtection="1">
      <alignment horizontal="center" vertical="center"/>
      <protection hidden="1"/>
    </xf>
    <xf numFmtId="0" fontId="48" fillId="5" borderId="12" xfId="0" applyFont="1" applyFill="1" applyBorder="1" applyAlignment="1" applyProtection="1">
      <alignment horizontal="center"/>
      <protection hidden="1"/>
    </xf>
    <xf numFmtId="0" fontId="48" fillId="5" borderId="0" xfId="0" applyFont="1" applyFill="1" applyBorder="1" applyAlignment="1" applyProtection="1">
      <alignment horizontal="center"/>
      <protection hidden="1"/>
    </xf>
    <xf numFmtId="0" fontId="49" fillId="5" borderId="12" xfId="0" applyFont="1" applyFill="1" applyBorder="1" applyAlignment="1" applyProtection="1">
      <alignment horizontal="center" vertical="center"/>
      <protection hidden="1"/>
    </xf>
    <xf numFmtId="0" fontId="49" fillId="5" borderId="0" xfId="0" applyFont="1" applyFill="1" applyBorder="1" applyAlignment="1" applyProtection="1">
      <alignment horizontal="center" vertical="center"/>
      <protection hidden="1"/>
    </xf>
    <xf numFmtId="0" fontId="50" fillId="5" borderId="12" xfId="0" applyFont="1" applyFill="1" applyBorder="1" applyAlignment="1" applyProtection="1">
      <alignment horizontal="center" vertical="center"/>
      <protection hidden="1"/>
    </xf>
    <xf numFmtId="0" fontId="50" fillId="5" borderId="0" xfId="0" applyFont="1" applyFill="1" applyBorder="1" applyAlignment="1" applyProtection="1">
      <alignment horizontal="center" vertical="center"/>
      <protection hidden="1"/>
    </xf>
    <xf numFmtId="0" fontId="46" fillId="5" borderId="12" xfId="0" applyFont="1" applyFill="1" applyBorder="1" applyAlignment="1" applyProtection="1">
      <alignment horizontal="center" vertical="center" wrapText="1"/>
      <protection hidden="1"/>
    </xf>
    <xf numFmtId="0" fontId="46" fillId="5" borderId="0" xfId="0" applyFont="1" applyFill="1" applyBorder="1" applyAlignment="1" applyProtection="1">
      <alignment horizontal="center" vertical="center" wrapText="1"/>
      <protection hidden="1"/>
    </xf>
    <xf numFmtId="0" fontId="51" fillId="5" borderId="12" xfId="0" applyFont="1" applyFill="1" applyBorder="1" applyAlignment="1" applyProtection="1">
      <alignment horizontal="center" vertical="center"/>
      <protection hidden="1"/>
    </xf>
    <xf numFmtId="0" fontId="51" fillId="5" borderId="0" xfId="0" applyFont="1" applyFill="1" applyBorder="1" applyAlignment="1" applyProtection="1">
      <alignment horizontal="center" vertical="center"/>
      <protection hidden="1"/>
    </xf>
    <xf numFmtId="0" fontId="54" fillId="4" borderId="0" xfId="0" applyFont="1" applyFill="1" applyAlignment="1" applyProtection="1">
      <alignment horizontal="center"/>
      <protection hidden="1"/>
    </xf>
    <xf numFmtId="0" fontId="53" fillId="4" borderId="0" xfId="1" applyFont="1" applyFill="1" applyAlignment="1" applyProtection="1">
      <alignment horizontal="center"/>
      <protection hidden="1"/>
    </xf>
    <xf numFmtId="0" fontId="44" fillId="4" borderId="0" xfId="0" applyFont="1" applyFill="1" applyAlignment="1" applyProtection="1">
      <alignment horizontal="center"/>
      <protection hidden="1"/>
    </xf>
    <xf numFmtId="0" fontId="42" fillId="0" borderId="0" xfId="0" applyFont="1" applyBorder="1" applyAlignment="1" applyProtection="1">
      <alignment horizontal="left" vertical="center"/>
      <protection hidden="1"/>
    </xf>
    <xf numFmtId="0" fontId="16" fillId="0" borderId="0" xfId="0" applyFont="1" applyBorder="1" applyAlignment="1" applyProtection="1">
      <alignment horizontal="right" vertical="center"/>
      <protection hidden="1"/>
    </xf>
    <xf numFmtId="0" fontId="22" fillId="0" borderId="14" xfId="0"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27" fillId="0" borderId="0" xfId="0" applyFont="1" applyAlignment="1" applyProtection="1">
      <alignment horizontal="right" vertical="center"/>
      <protection hidden="1"/>
    </xf>
    <xf numFmtId="0" fontId="17" fillId="0" borderId="14"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14" xfId="0" applyFont="1" applyBorder="1" applyAlignment="1" applyProtection="1">
      <alignment horizontal="center" vertical="center" textRotation="90"/>
      <protection hidden="1"/>
    </xf>
    <xf numFmtId="0" fontId="19" fillId="0" borderId="14" xfId="0" applyFont="1" applyBorder="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27" fillId="0" borderId="0" xfId="0" applyFont="1" applyAlignment="1" applyProtection="1">
      <alignment horizontal="center"/>
      <protection locked="0"/>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locked="0"/>
    </xf>
    <xf numFmtId="0" fontId="32" fillId="0" borderId="0" xfId="0" applyFont="1" applyAlignment="1" applyProtection="1">
      <alignment horizontal="left" vertical="center"/>
      <protection hidden="1"/>
    </xf>
    <xf numFmtId="0" fontId="27" fillId="0" borderId="0" xfId="0" applyFont="1" applyAlignment="1" applyProtection="1">
      <alignment horizontal="center"/>
      <protection hidden="1"/>
    </xf>
    <xf numFmtId="0" fontId="62" fillId="0" borderId="11" xfId="0" applyFont="1" applyBorder="1" applyAlignment="1" applyProtection="1">
      <alignment horizontal="center"/>
      <protection hidden="1"/>
    </xf>
    <xf numFmtId="0" fontId="37" fillId="0" borderId="11" xfId="0" applyFont="1" applyBorder="1" applyAlignment="1" applyProtection="1">
      <alignment horizontal="center" vertical="center" wrapText="1"/>
      <protection hidden="1"/>
    </xf>
    <xf numFmtId="0" fontId="37" fillId="0" borderId="11" xfId="0" applyFont="1" applyBorder="1" applyAlignment="1" applyProtection="1">
      <alignment horizontal="center" vertical="center"/>
      <protection hidden="1"/>
    </xf>
    <xf numFmtId="16" fontId="37" fillId="0" borderId="11" xfId="0" applyNumberFormat="1" applyFont="1" applyBorder="1" applyAlignment="1" applyProtection="1">
      <alignment horizontal="center" wrapText="1"/>
      <protection hidden="1"/>
    </xf>
    <xf numFmtId="0" fontId="20" fillId="0" borderId="0" xfId="0" applyFont="1" applyAlignment="1" applyProtection="1">
      <alignment horizontal="center"/>
      <protection hidden="1"/>
    </xf>
    <xf numFmtId="0" fontId="17" fillId="0" borderId="10"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23" fillId="0" borderId="1"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6" fillId="0" borderId="6" xfId="0" applyFont="1" applyBorder="1" applyAlignment="1" applyProtection="1">
      <alignment horizontal="right" vertical="center"/>
      <protection hidden="1"/>
    </xf>
    <xf numFmtId="0" fontId="42" fillId="0" borderId="6" xfId="0" applyFont="1" applyBorder="1" applyAlignment="1" applyProtection="1">
      <alignment horizontal="left"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61" fillId="0" borderId="0" xfId="0" applyFont="1" applyAlignment="1" applyProtection="1">
      <alignment horizontal="center" vertical="center"/>
      <protection hidden="1"/>
    </xf>
    <xf numFmtId="0" fontId="54" fillId="0" borderId="0" xfId="0" applyFont="1" applyAlignment="1" applyProtection="1">
      <alignment horizontal="center" vertical="top"/>
      <protection hidden="1"/>
    </xf>
    <xf numFmtId="0" fontId="22" fillId="0" borderId="1" xfId="0" applyFont="1" applyBorder="1" applyAlignment="1" applyProtection="1">
      <alignment horizontal="center" vertical="center" wrapText="1"/>
      <protection hidden="1"/>
    </xf>
    <xf numFmtId="0" fontId="53" fillId="4" borderId="0" xfId="1" applyFont="1" applyFill="1" applyAlignment="1" applyProtection="1">
      <alignment horizontal="left" vertical="top"/>
      <protection hidden="1"/>
    </xf>
  </cellXfs>
  <cellStyles count="2">
    <cellStyle name="Hyperlink" xfId="1" builtinId="8"/>
    <cellStyle name="Normal" xfId="0" builtinId="0"/>
  </cellStyles>
  <dxfs count="0"/>
  <tableStyles count="0" defaultTableStyle="TableStyleMedium9" defaultPivotStyle="PivotStyleLight16"/>
  <colors>
    <mruColors>
      <color rgb="FFCC00CC"/>
      <color rgb="FF0000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6</xdr:row>
      <xdr:rowOff>781050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GzIpcPM4XCs" TargetMode="External"/><Relationship Id="rId2" Type="http://schemas.openxmlformats.org/officeDocument/2006/relationships/hyperlink" Target="https://youtu.be/PBaVmcX26GU" TargetMode="External"/><Relationship Id="rId1" Type="http://schemas.openxmlformats.org/officeDocument/2006/relationships/hyperlink" Target="mailto:heeralaljatchandawal@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youtu.be/9OVRI3o4WG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114"/>
  <sheetViews>
    <sheetView showGridLines="0" tabSelected="1" workbookViewId="0">
      <selection activeCell="A16" sqref="A16"/>
    </sheetView>
  </sheetViews>
  <sheetFormatPr defaultColWidth="9.125" defaultRowHeight="15" zeroHeight="1"/>
  <cols>
    <col min="1" max="1" width="9.125" style="34" customWidth="1"/>
    <col min="2" max="2" width="29" style="35" customWidth="1"/>
    <col min="3" max="3" width="15.5" style="35" customWidth="1"/>
    <col min="4" max="4" width="13.625" style="35" customWidth="1"/>
    <col min="5" max="5" width="15.625" style="35" customWidth="1"/>
    <col min="6" max="6" width="12.5" style="35" customWidth="1"/>
    <col min="7" max="7" width="12.375" style="35" customWidth="1"/>
    <col min="8" max="8" width="14.5" style="35" customWidth="1"/>
    <col min="9" max="26" width="9.125" style="35" customWidth="1"/>
    <col min="27" max="27" width="11.75" style="35" hidden="1" customWidth="1"/>
    <col min="28" max="16384" width="9.125" style="35"/>
  </cols>
  <sheetData>
    <row r="1" spans="1:27" ht="25.5" customHeight="1">
      <c r="C1" s="106" t="s">
        <v>17</v>
      </c>
      <c r="D1" s="106"/>
      <c r="E1" s="106"/>
    </row>
    <row r="2" spans="1:27" ht="15.75">
      <c r="A2" s="36"/>
      <c r="B2" s="37"/>
      <c r="C2" s="37"/>
      <c r="D2" s="37"/>
      <c r="E2" s="37"/>
      <c r="F2" s="37"/>
      <c r="G2" s="37"/>
      <c r="H2" s="37"/>
      <c r="I2" s="37"/>
      <c r="J2" s="37"/>
    </row>
    <row r="3" spans="1:27" ht="27.75" customHeight="1">
      <c r="A3" s="105" t="s">
        <v>11</v>
      </c>
      <c r="B3" s="105"/>
      <c r="C3" s="107" t="s">
        <v>56</v>
      </c>
      <c r="D3" s="107"/>
      <c r="E3" s="107"/>
      <c r="F3" s="107"/>
      <c r="G3" s="107"/>
      <c r="H3" s="107"/>
      <c r="I3" s="38"/>
      <c r="J3" s="38"/>
      <c r="K3" s="39"/>
      <c r="L3" s="39"/>
      <c r="M3" s="39"/>
      <c r="N3" s="39"/>
      <c r="O3" s="39"/>
    </row>
    <row r="4" spans="1:27" ht="18.75">
      <c r="A4" s="105" t="s">
        <v>25</v>
      </c>
      <c r="B4" s="105"/>
      <c r="C4" s="46">
        <v>46</v>
      </c>
      <c r="D4" s="40"/>
      <c r="E4" s="105" t="s">
        <v>26</v>
      </c>
      <c r="F4" s="105"/>
      <c r="G4" s="105"/>
      <c r="H4" s="46">
        <v>9</v>
      </c>
      <c r="I4" s="38"/>
      <c r="J4" s="124" t="s">
        <v>73</v>
      </c>
      <c r="K4" s="124"/>
      <c r="L4" s="124"/>
      <c r="M4" s="124"/>
      <c r="N4" s="39"/>
      <c r="O4" s="39"/>
    </row>
    <row r="5" spans="1:27" ht="18.75">
      <c r="A5" s="105" t="s">
        <v>27</v>
      </c>
      <c r="B5" s="105"/>
      <c r="C5" s="46">
        <v>50</v>
      </c>
      <c r="D5" s="41"/>
      <c r="E5" s="105" t="s">
        <v>28</v>
      </c>
      <c r="F5" s="105"/>
      <c r="G5" s="105"/>
      <c r="H5" s="46">
        <v>9</v>
      </c>
      <c r="I5" s="38"/>
      <c r="J5" s="125" t="s">
        <v>74</v>
      </c>
      <c r="K5" s="126"/>
      <c r="L5" s="126"/>
      <c r="M5" s="126"/>
      <c r="N5" s="39"/>
      <c r="O5" s="39"/>
    </row>
    <row r="6" spans="1:27" ht="16.5" thickBot="1">
      <c r="A6" s="36"/>
      <c r="B6" s="37"/>
      <c r="C6" s="37"/>
      <c r="D6" s="37"/>
      <c r="E6" s="37"/>
      <c r="F6" s="37"/>
      <c r="G6" s="37"/>
      <c r="H6" s="37"/>
      <c r="I6" s="37"/>
      <c r="J6" s="113" t="s">
        <v>72</v>
      </c>
      <c r="K6" s="113"/>
      <c r="L6" s="113"/>
      <c r="M6" s="113"/>
    </row>
    <row r="7" spans="1:27" s="43" customFormat="1" ht="67.5" customHeight="1" thickTop="1" thickBot="1">
      <c r="A7" s="47" t="s">
        <v>12</v>
      </c>
      <c r="B7" s="47" t="s">
        <v>13</v>
      </c>
      <c r="C7" s="47" t="s">
        <v>14</v>
      </c>
      <c r="D7" s="47" t="s">
        <v>15</v>
      </c>
      <c r="E7" s="47" t="s">
        <v>16</v>
      </c>
      <c r="F7" s="48" t="s">
        <v>62</v>
      </c>
      <c r="G7" s="48" t="s">
        <v>30</v>
      </c>
      <c r="H7" s="47" t="s">
        <v>71</v>
      </c>
      <c r="I7" s="42"/>
      <c r="J7" s="109" t="s">
        <v>94</v>
      </c>
      <c r="K7" s="109"/>
      <c r="L7" s="109"/>
      <c r="M7" s="78"/>
    </row>
    <row r="8" spans="1:27" s="44" customFormat="1" ht="21" customHeight="1" thickTop="1">
      <c r="A8" s="12">
        <v>1</v>
      </c>
      <c r="B8" s="13" t="s">
        <v>75</v>
      </c>
      <c r="C8" s="13" t="s">
        <v>34</v>
      </c>
      <c r="D8" s="14">
        <v>2</v>
      </c>
      <c r="E8" s="12">
        <v>71400</v>
      </c>
      <c r="F8" s="15" t="s">
        <v>45</v>
      </c>
      <c r="G8" s="15"/>
      <c r="H8" s="76">
        <v>45292</v>
      </c>
      <c r="J8" s="163" t="s">
        <v>95</v>
      </c>
      <c r="K8" s="108"/>
      <c r="L8" s="108"/>
      <c r="M8" s="108"/>
      <c r="N8" s="112" t="s">
        <v>68</v>
      </c>
      <c r="O8" s="112"/>
      <c r="P8" s="112"/>
      <c r="AA8" s="77">
        <v>45292</v>
      </c>
    </row>
    <row r="9" spans="1:27" s="44" customFormat="1" ht="21" customHeight="1">
      <c r="A9" s="16">
        <v>2</v>
      </c>
      <c r="B9" s="17" t="s">
        <v>76</v>
      </c>
      <c r="C9" s="17" t="s">
        <v>35</v>
      </c>
      <c r="D9" s="18">
        <v>3</v>
      </c>
      <c r="E9" s="16">
        <v>47000</v>
      </c>
      <c r="F9" s="15" t="s">
        <v>45</v>
      </c>
      <c r="G9" s="15"/>
      <c r="H9" s="76">
        <v>45292</v>
      </c>
      <c r="J9" s="108"/>
      <c r="K9" s="108"/>
      <c r="L9" s="108"/>
      <c r="M9" s="108"/>
      <c r="N9" s="112"/>
      <c r="O9" s="112"/>
      <c r="P9" s="112"/>
      <c r="AA9" s="77">
        <v>45323</v>
      </c>
    </row>
    <row r="10" spans="1:27" s="44" customFormat="1" ht="21" customHeight="1">
      <c r="A10" s="12">
        <v>3</v>
      </c>
      <c r="B10" s="13" t="s">
        <v>77</v>
      </c>
      <c r="C10" s="13" t="s">
        <v>35</v>
      </c>
      <c r="D10" s="18">
        <v>2</v>
      </c>
      <c r="E10" s="12">
        <v>71300</v>
      </c>
      <c r="F10" s="15" t="s">
        <v>45</v>
      </c>
      <c r="G10" s="15"/>
      <c r="H10" s="76">
        <v>45292</v>
      </c>
      <c r="J10" s="79"/>
      <c r="N10" s="45"/>
      <c r="O10" s="45"/>
      <c r="P10" s="45"/>
      <c r="AA10" s="77">
        <v>45352</v>
      </c>
    </row>
    <row r="11" spans="1:27" s="44" customFormat="1" ht="21" customHeight="1">
      <c r="A11" s="16">
        <v>4</v>
      </c>
      <c r="B11" s="13" t="s">
        <v>78</v>
      </c>
      <c r="C11" s="13" t="s">
        <v>33</v>
      </c>
      <c r="D11" s="18">
        <v>2</v>
      </c>
      <c r="E11" s="16">
        <v>59500</v>
      </c>
      <c r="F11" s="15" t="s">
        <v>45</v>
      </c>
      <c r="G11" s="15"/>
      <c r="H11" s="76">
        <v>45292</v>
      </c>
      <c r="AA11" s="77">
        <v>45383</v>
      </c>
    </row>
    <row r="12" spans="1:27" s="44" customFormat="1" ht="21" customHeight="1">
      <c r="A12" s="12">
        <v>5</v>
      </c>
      <c r="B12" s="17" t="s">
        <v>32</v>
      </c>
      <c r="C12" s="17" t="s">
        <v>33</v>
      </c>
      <c r="D12" s="18">
        <v>2</v>
      </c>
      <c r="E12" s="16">
        <v>55500</v>
      </c>
      <c r="F12" s="15" t="s">
        <v>18</v>
      </c>
      <c r="G12" s="15"/>
      <c r="H12" s="76">
        <v>45292</v>
      </c>
      <c r="M12" s="114" t="s">
        <v>63</v>
      </c>
      <c r="N12" s="115"/>
      <c r="O12" s="115"/>
      <c r="P12" s="115"/>
      <c r="Q12" s="115"/>
      <c r="AA12" s="77">
        <v>45413</v>
      </c>
    </row>
    <row r="13" spans="1:27" s="44" customFormat="1" ht="21" customHeight="1">
      <c r="A13" s="16">
        <v>6</v>
      </c>
      <c r="B13" s="17" t="s">
        <v>79</v>
      </c>
      <c r="C13" s="17" t="s">
        <v>33</v>
      </c>
      <c r="D13" s="18">
        <v>2</v>
      </c>
      <c r="E13" s="16">
        <v>41300</v>
      </c>
      <c r="F13" s="15" t="s">
        <v>45</v>
      </c>
      <c r="G13" s="15"/>
      <c r="H13" s="76">
        <v>45292</v>
      </c>
      <c r="M13" s="114"/>
      <c r="N13" s="115"/>
      <c r="O13" s="115"/>
      <c r="P13" s="115"/>
      <c r="Q13" s="115"/>
      <c r="AA13" s="77">
        <v>45444</v>
      </c>
    </row>
    <row r="14" spans="1:27" s="44" customFormat="1" ht="21" customHeight="1">
      <c r="A14" s="12">
        <v>7</v>
      </c>
      <c r="B14" s="17" t="s">
        <v>80</v>
      </c>
      <c r="C14" s="17" t="s">
        <v>36</v>
      </c>
      <c r="D14" s="18">
        <v>2</v>
      </c>
      <c r="E14" s="16">
        <v>67000</v>
      </c>
      <c r="F14" s="15" t="s">
        <v>18</v>
      </c>
      <c r="G14" s="15"/>
      <c r="H14" s="76">
        <v>45323</v>
      </c>
      <c r="M14" s="116" t="s">
        <v>32</v>
      </c>
      <c r="N14" s="117"/>
      <c r="O14" s="117"/>
      <c r="P14" s="117"/>
      <c r="Q14" s="117"/>
      <c r="AA14" s="77"/>
    </row>
    <row r="15" spans="1:27" s="44" customFormat="1" ht="21" customHeight="1">
      <c r="A15" s="16">
        <v>8</v>
      </c>
      <c r="B15" s="17" t="s">
        <v>81</v>
      </c>
      <c r="C15" s="17" t="s">
        <v>36</v>
      </c>
      <c r="D15" s="18">
        <v>2</v>
      </c>
      <c r="E15" s="16">
        <v>46500</v>
      </c>
      <c r="F15" s="15" t="s">
        <v>18</v>
      </c>
      <c r="G15" s="15"/>
      <c r="H15" s="76">
        <v>45292</v>
      </c>
      <c r="M15" s="118" t="s">
        <v>64</v>
      </c>
      <c r="N15" s="119"/>
      <c r="O15" s="119"/>
      <c r="P15" s="119"/>
      <c r="Q15" s="119"/>
      <c r="AA15" s="77"/>
    </row>
    <row r="16" spans="1:27" s="44" customFormat="1" ht="21" customHeight="1">
      <c r="A16" s="12">
        <v>9</v>
      </c>
      <c r="B16" s="17" t="s">
        <v>82</v>
      </c>
      <c r="C16" s="17" t="s">
        <v>38</v>
      </c>
      <c r="D16" s="18">
        <v>2</v>
      </c>
      <c r="E16" s="16">
        <v>50800</v>
      </c>
      <c r="F16" s="15" t="s">
        <v>45</v>
      </c>
      <c r="G16" s="15"/>
      <c r="H16" s="76">
        <v>45292</v>
      </c>
      <c r="M16" s="120" t="s">
        <v>65</v>
      </c>
      <c r="N16" s="121"/>
      <c r="O16" s="121"/>
      <c r="P16" s="121"/>
      <c r="Q16" s="121"/>
      <c r="AA16" s="77"/>
    </row>
    <row r="17" spans="1:27" s="44" customFormat="1" ht="21" customHeight="1">
      <c r="A17" s="16">
        <v>10</v>
      </c>
      <c r="B17" s="17" t="s">
        <v>83</v>
      </c>
      <c r="C17" s="17" t="s">
        <v>36</v>
      </c>
      <c r="D17" s="18">
        <v>2</v>
      </c>
      <c r="E17" s="16">
        <v>50800</v>
      </c>
      <c r="F17" s="15" t="s">
        <v>45</v>
      </c>
      <c r="G17" s="15"/>
      <c r="H17" s="76">
        <v>45292</v>
      </c>
      <c r="M17" s="122" t="s">
        <v>66</v>
      </c>
      <c r="N17" s="123"/>
      <c r="O17" s="123"/>
      <c r="P17" s="123"/>
      <c r="Q17" s="123"/>
      <c r="AA17" s="77"/>
    </row>
    <row r="18" spans="1:27" s="44" customFormat="1" ht="21" customHeight="1">
      <c r="A18" s="12">
        <v>11</v>
      </c>
      <c r="B18" s="17" t="s">
        <v>39</v>
      </c>
      <c r="C18" s="17" t="s">
        <v>37</v>
      </c>
      <c r="D18" s="18">
        <v>2</v>
      </c>
      <c r="E18" s="16">
        <v>35800</v>
      </c>
      <c r="F18" s="15" t="s">
        <v>45</v>
      </c>
      <c r="G18" s="15"/>
      <c r="H18" s="76">
        <v>45292</v>
      </c>
      <c r="M18" s="110" t="s">
        <v>67</v>
      </c>
      <c r="N18" s="111"/>
      <c r="O18" s="111"/>
      <c r="P18" s="111"/>
      <c r="Q18" s="111"/>
      <c r="AA18" s="77"/>
    </row>
    <row r="19" spans="1:27" s="44" customFormat="1" ht="21" customHeight="1" thickBot="1">
      <c r="A19" s="16">
        <v>12</v>
      </c>
      <c r="B19" s="17" t="s">
        <v>44</v>
      </c>
      <c r="C19" s="17" t="s">
        <v>87</v>
      </c>
      <c r="D19" s="18">
        <v>2</v>
      </c>
      <c r="E19" s="16">
        <v>45100</v>
      </c>
      <c r="F19" s="15" t="s">
        <v>18</v>
      </c>
      <c r="G19" s="15"/>
      <c r="H19" s="76">
        <v>45292</v>
      </c>
      <c r="M19" s="71"/>
      <c r="N19" s="72"/>
      <c r="O19" s="72"/>
      <c r="P19" s="72"/>
      <c r="Q19" s="72"/>
      <c r="AA19" s="77"/>
    </row>
    <row r="20" spans="1:27" s="44" customFormat="1" ht="21" customHeight="1">
      <c r="A20" s="12">
        <v>13</v>
      </c>
      <c r="B20" s="17" t="s">
        <v>84</v>
      </c>
      <c r="C20" s="17" t="s">
        <v>33</v>
      </c>
      <c r="D20" s="18">
        <v>2</v>
      </c>
      <c r="E20" s="16">
        <v>67200</v>
      </c>
      <c r="F20" s="15" t="s">
        <v>18</v>
      </c>
      <c r="G20" s="15"/>
      <c r="H20" s="76">
        <v>45292</v>
      </c>
      <c r="AA20" s="77"/>
    </row>
    <row r="21" spans="1:27" s="44" customFormat="1" ht="21" customHeight="1">
      <c r="A21" s="16">
        <v>14</v>
      </c>
      <c r="B21" s="17" t="s">
        <v>85</v>
      </c>
      <c r="C21" s="17" t="s">
        <v>88</v>
      </c>
      <c r="D21" s="18">
        <v>2</v>
      </c>
      <c r="E21" s="16">
        <v>38000</v>
      </c>
      <c r="F21" s="15" t="s">
        <v>45</v>
      </c>
      <c r="G21" s="15"/>
      <c r="H21" s="76">
        <v>45292</v>
      </c>
      <c r="AA21" s="77"/>
    </row>
    <row r="22" spans="1:27" s="44" customFormat="1" ht="21" customHeight="1">
      <c r="A22" s="12">
        <v>15</v>
      </c>
      <c r="B22" s="17" t="s">
        <v>86</v>
      </c>
      <c r="C22" s="17" t="s">
        <v>89</v>
      </c>
      <c r="D22" s="18">
        <v>2</v>
      </c>
      <c r="E22" s="16">
        <v>36900</v>
      </c>
      <c r="F22" s="15" t="s">
        <v>45</v>
      </c>
      <c r="G22" s="15"/>
      <c r="H22" s="76">
        <v>45292</v>
      </c>
      <c r="AA22" s="77"/>
    </row>
    <row r="23" spans="1:27" s="44" customFormat="1" ht="21" customHeight="1">
      <c r="A23" s="16"/>
      <c r="B23" s="17"/>
      <c r="C23" s="17"/>
      <c r="D23" s="18"/>
      <c r="E23" s="16"/>
      <c r="F23" s="15"/>
      <c r="G23" s="15"/>
      <c r="H23" s="76"/>
      <c r="AA23" s="77"/>
    </row>
    <row r="24" spans="1:27" s="44" customFormat="1" ht="21" customHeight="1">
      <c r="A24" s="16"/>
      <c r="B24" s="17"/>
      <c r="C24" s="17"/>
      <c r="D24" s="14"/>
      <c r="E24" s="16"/>
      <c r="F24" s="15"/>
      <c r="G24" s="15"/>
      <c r="H24" s="76"/>
      <c r="AA24" s="77"/>
    </row>
    <row r="25" spans="1:27" s="44" customFormat="1" ht="21" customHeight="1">
      <c r="A25" s="16"/>
      <c r="B25" s="17"/>
      <c r="C25" s="17"/>
      <c r="D25" s="18"/>
      <c r="E25" s="16"/>
      <c r="F25" s="15"/>
      <c r="G25" s="15"/>
      <c r="H25" s="76"/>
      <c r="AA25" s="77"/>
    </row>
    <row r="26" spans="1:27" s="44" customFormat="1" ht="21" customHeight="1">
      <c r="A26" s="16"/>
      <c r="B26" s="17"/>
      <c r="C26" s="17"/>
      <c r="D26" s="18"/>
      <c r="E26" s="16"/>
      <c r="F26" s="15"/>
      <c r="G26" s="15"/>
      <c r="H26" s="76"/>
      <c r="AA26" s="77"/>
    </row>
    <row r="27" spans="1:27" s="44" customFormat="1" ht="21" customHeight="1">
      <c r="A27" s="16"/>
      <c r="B27" s="17"/>
      <c r="C27" s="17"/>
      <c r="D27" s="18"/>
      <c r="E27" s="16"/>
      <c r="F27" s="15"/>
      <c r="G27" s="15"/>
      <c r="H27" s="76"/>
      <c r="AA27" s="77"/>
    </row>
    <row r="28" spans="1:27" s="44" customFormat="1" ht="21" customHeight="1">
      <c r="A28" s="16"/>
      <c r="B28" s="17"/>
      <c r="C28" s="17"/>
      <c r="D28" s="18"/>
      <c r="E28" s="16"/>
      <c r="F28" s="15"/>
      <c r="G28" s="15"/>
      <c r="H28" s="76"/>
      <c r="AA28" s="77"/>
    </row>
    <row r="29" spans="1:27" s="44" customFormat="1" ht="21" customHeight="1">
      <c r="A29" s="16"/>
      <c r="B29" s="17"/>
      <c r="C29" s="17"/>
      <c r="D29" s="18"/>
      <c r="E29" s="16"/>
      <c r="F29" s="15"/>
      <c r="G29" s="15"/>
      <c r="H29" s="76"/>
      <c r="AA29" s="77"/>
    </row>
    <row r="30" spans="1:27" s="44" customFormat="1" ht="21" customHeight="1">
      <c r="A30" s="16"/>
      <c r="B30" s="17"/>
      <c r="C30" s="17"/>
      <c r="D30" s="18"/>
      <c r="E30" s="16"/>
      <c r="F30" s="15"/>
      <c r="G30" s="15"/>
      <c r="H30" s="76"/>
      <c r="AA30" s="77"/>
    </row>
    <row r="31" spans="1:27" s="44" customFormat="1" ht="21" customHeight="1">
      <c r="A31" s="16"/>
      <c r="B31" s="17"/>
      <c r="C31" s="17"/>
      <c r="D31" s="18"/>
      <c r="E31" s="16"/>
      <c r="F31" s="15"/>
      <c r="G31" s="15"/>
      <c r="H31" s="76"/>
      <c r="AA31" s="77"/>
    </row>
    <row r="32" spans="1:27" s="44" customFormat="1" ht="21" customHeight="1">
      <c r="A32" s="16"/>
      <c r="B32" s="17"/>
      <c r="C32" s="17"/>
      <c r="D32" s="18"/>
      <c r="E32" s="16"/>
      <c r="F32" s="15"/>
      <c r="G32" s="15"/>
      <c r="H32" s="76"/>
      <c r="AA32" s="77"/>
    </row>
    <row r="33" spans="1:27" s="44" customFormat="1" ht="21" customHeight="1">
      <c r="A33" s="16"/>
      <c r="B33" s="17"/>
      <c r="C33" s="17"/>
      <c r="D33" s="18"/>
      <c r="E33" s="16"/>
      <c r="F33" s="15"/>
      <c r="G33" s="15"/>
      <c r="H33" s="76"/>
      <c r="AA33" s="77"/>
    </row>
    <row r="34" spans="1:27" s="44" customFormat="1" ht="21" customHeight="1">
      <c r="A34" s="16"/>
      <c r="B34" s="17"/>
      <c r="C34" s="17"/>
      <c r="D34" s="18"/>
      <c r="E34" s="16"/>
      <c r="F34" s="15"/>
      <c r="G34" s="15"/>
      <c r="H34" s="76"/>
      <c r="AA34" s="77"/>
    </row>
    <row r="35" spans="1:27" s="44" customFormat="1" ht="21" customHeight="1">
      <c r="A35" s="16"/>
      <c r="B35" s="17"/>
      <c r="C35" s="17"/>
      <c r="D35" s="18"/>
      <c r="E35" s="16"/>
      <c r="F35" s="15"/>
      <c r="G35" s="15"/>
      <c r="H35" s="76"/>
      <c r="AA35" s="77"/>
    </row>
    <row r="36" spans="1:27" s="44" customFormat="1" ht="21" customHeight="1">
      <c r="A36" s="16"/>
      <c r="B36" s="17"/>
      <c r="C36" s="17"/>
      <c r="D36" s="18"/>
      <c r="E36" s="16"/>
      <c r="F36" s="15"/>
      <c r="G36" s="15"/>
      <c r="H36" s="76"/>
      <c r="AA36" s="77"/>
    </row>
    <row r="37" spans="1:27" s="44" customFormat="1" ht="21" customHeight="1">
      <c r="A37" s="16"/>
      <c r="B37" s="17"/>
      <c r="C37" s="17"/>
      <c r="D37" s="18"/>
      <c r="E37" s="16"/>
      <c r="F37" s="15"/>
      <c r="G37" s="15"/>
      <c r="H37" s="76"/>
      <c r="AA37" s="77"/>
    </row>
    <row r="38" spans="1:27" s="44" customFormat="1" ht="21" customHeight="1">
      <c r="A38" s="16"/>
      <c r="B38" s="17"/>
      <c r="C38" s="17"/>
      <c r="D38" s="18"/>
      <c r="E38" s="16"/>
      <c r="F38" s="15"/>
      <c r="G38" s="15"/>
      <c r="H38" s="76"/>
      <c r="AA38" s="77"/>
    </row>
    <row r="39" spans="1:27" s="44" customFormat="1" ht="21" customHeight="1">
      <c r="A39" s="16"/>
      <c r="B39" s="17"/>
      <c r="C39" s="17"/>
      <c r="D39" s="18"/>
      <c r="E39" s="16"/>
      <c r="F39" s="15"/>
      <c r="G39" s="15"/>
      <c r="H39" s="76"/>
      <c r="AA39" s="77"/>
    </row>
    <row r="40" spans="1:27" s="44" customFormat="1" ht="21" customHeight="1">
      <c r="A40" s="16"/>
      <c r="B40" s="17"/>
      <c r="C40" s="17"/>
      <c r="D40" s="18"/>
      <c r="E40" s="16"/>
      <c r="F40" s="15"/>
      <c r="G40" s="15"/>
      <c r="H40" s="76"/>
      <c r="AA40" s="77"/>
    </row>
    <row r="41" spans="1:27" s="44" customFormat="1" ht="21" customHeight="1">
      <c r="A41" s="16"/>
      <c r="B41" s="17"/>
      <c r="C41" s="17"/>
      <c r="D41" s="18"/>
      <c r="E41" s="16"/>
      <c r="F41" s="15"/>
      <c r="G41" s="15"/>
      <c r="H41" s="76"/>
      <c r="AA41" s="77"/>
    </row>
    <row r="42" spans="1:27" s="44" customFormat="1" ht="21" customHeight="1">
      <c r="A42" s="16"/>
      <c r="B42" s="17"/>
      <c r="C42" s="17"/>
      <c r="D42" s="18"/>
      <c r="E42" s="16"/>
      <c r="F42" s="15"/>
      <c r="G42" s="15"/>
      <c r="H42" s="76"/>
      <c r="AA42" s="77"/>
    </row>
    <row r="43" spans="1:27" s="44" customFormat="1" ht="21" customHeight="1">
      <c r="A43" s="16"/>
      <c r="B43" s="17"/>
      <c r="C43" s="17"/>
      <c r="D43" s="18"/>
      <c r="E43" s="16"/>
      <c r="F43" s="15"/>
      <c r="G43" s="15"/>
      <c r="H43" s="76"/>
      <c r="AA43" s="77"/>
    </row>
    <row r="44" spans="1:27" s="44" customFormat="1" ht="21" customHeight="1">
      <c r="A44" s="16"/>
      <c r="B44" s="17"/>
      <c r="C44" s="17"/>
      <c r="D44" s="18"/>
      <c r="E44" s="16"/>
      <c r="F44" s="15"/>
      <c r="G44" s="15"/>
      <c r="H44" s="76"/>
      <c r="AA44" s="77"/>
    </row>
    <row r="45" spans="1:27" s="44" customFormat="1" ht="21" customHeight="1">
      <c r="A45" s="16"/>
      <c r="B45" s="17"/>
      <c r="C45" s="17"/>
      <c r="D45" s="18"/>
      <c r="E45" s="16"/>
      <c r="F45" s="15"/>
      <c r="G45" s="15"/>
      <c r="H45" s="76"/>
      <c r="AA45" s="77"/>
    </row>
    <row r="46" spans="1:27" s="44" customFormat="1" ht="21" customHeight="1">
      <c r="A46" s="16"/>
      <c r="B46" s="17"/>
      <c r="C46" s="17"/>
      <c r="D46" s="18"/>
      <c r="E46" s="16"/>
      <c r="F46" s="15"/>
      <c r="G46" s="15"/>
      <c r="H46" s="76"/>
      <c r="AA46" s="77"/>
    </row>
    <row r="47" spans="1:27" s="44" customFormat="1" ht="21" customHeight="1">
      <c r="A47" s="16"/>
      <c r="B47" s="17"/>
      <c r="C47" s="17"/>
      <c r="D47" s="18"/>
      <c r="E47" s="16"/>
      <c r="F47" s="15"/>
      <c r="G47" s="15"/>
      <c r="H47" s="76"/>
      <c r="AA47" s="77"/>
    </row>
    <row r="48" spans="1:27" s="44" customFormat="1" ht="21" customHeight="1">
      <c r="A48" s="16"/>
      <c r="B48" s="17"/>
      <c r="C48" s="17"/>
      <c r="D48" s="18"/>
      <c r="E48" s="16"/>
      <c r="F48" s="15"/>
      <c r="G48" s="15"/>
      <c r="H48" s="76"/>
      <c r="AA48" s="77"/>
    </row>
    <row r="49" spans="1:27" s="44" customFormat="1" ht="21" customHeight="1">
      <c r="A49" s="16"/>
      <c r="B49" s="17"/>
      <c r="C49" s="17"/>
      <c r="D49" s="18"/>
      <c r="E49" s="16"/>
      <c r="F49" s="15"/>
      <c r="G49" s="15"/>
      <c r="H49" s="76"/>
      <c r="AA49" s="77"/>
    </row>
    <row r="50" spans="1:27" s="44" customFormat="1" ht="21" customHeight="1">
      <c r="A50" s="16"/>
      <c r="B50" s="17"/>
      <c r="C50" s="17"/>
      <c r="D50" s="18"/>
      <c r="E50" s="16"/>
      <c r="F50" s="15"/>
      <c r="G50" s="15"/>
      <c r="H50" s="76"/>
      <c r="AA50" s="77"/>
    </row>
    <row r="51" spans="1:27" s="44" customFormat="1" ht="21" customHeight="1">
      <c r="A51" s="16"/>
      <c r="B51" s="17"/>
      <c r="C51" s="17"/>
      <c r="D51" s="18"/>
      <c r="E51" s="16"/>
      <c r="F51" s="15"/>
      <c r="G51" s="15"/>
      <c r="H51" s="76"/>
      <c r="AA51" s="77"/>
    </row>
    <row r="52" spans="1:27" s="44" customFormat="1" ht="21" customHeight="1">
      <c r="A52" s="16"/>
      <c r="B52" s="17"/>
      <c r="C52" s="17"/>
      <c r="D52" s="18"/>
      <c r="E52" s="16"/>
      <c r="F52" s="15"/>
      <c r="G52" s="15"/>
      <c r="H52" s="76"/>
      <c r="AA52" s="77"/>
    </row>
    <row r="53" spans="1:27" s="44" customFormat="1" ht="21" customHeight="1">
      <c r="A53" s="16"/>
      <c r="B53" s="17"/>
      <c r="C53" s="17"/>
      <c r="D53" s="18"/>
      <c r="E53" s="16"/>
      <c r="F53" s="15"/>
      <c r="G53" s="15"/>
      <c r="H53" s="76"/>
      <c r="AA53" s="77"/>
    </row>
    <row r="54" spans="1:27" s="44" customFormat="1" ht="21" customHeight="1">
      <c r="A54" s="16"/>
      <c r="B54" s="17"/>
      <c r="C54" s="17"/>
      <c r="D54" s="18"/>
      <c r="E54" s="16"/>
      <c r="F54" s="15"/>
      <c r="G54" s="15"/>
      <c r="H54" s="76"/>
      <c r="AA54" s="77"/>
    </row>
    <row r="55" spans="1:27" s="44" customFormat="1" ht="21" customHeight="1">
      <c r="A55" s="16"/>
      <c r="B55" s="17"/>
      <c r="C55" s="17"/>
      <c r="D55" s="18"/>
      <c r="E55" s="16"/>
      <c r="F55" s="15"/>
      <c r="G55" s="15"/>
      <c r="H55" s="76"/>
    </row>
    <row r="56" spans="1:27" s="44" customFormat="1" ht="21" customHeight="1">
      <c r="A56" s="16"/>
      <c r="B56" s="17"/>
      <c r="C56" s="17"/>
      <c r="D56" s="18"/>
      <c r="E56" s="16"/>
      <c r="F56" s="15"/>
      <c r="G56" s="15"/>
      <c r="H56" s="76"/>
    </row>
    <row r="57" spans="1:27" s="44" customFormat="1" ht="21" customHeight="1">
      <c r="A57" s="16"/>
      <c r="B57" s="17"/>
      <c r="C57" s="17"/>
      <c r="D57" s="18"/>
      <c r="E57" s="16"/>
      <c r="F57" s="15"/>
      <c r="G57" s="15"/>
      <c r="H57" s="76"/>
    </row>
    <row r="58" spans="1:27" s="44" customFormat="1" ht="21" customHeight="1">
      <c r="A58" s="16"/>
      <c r="B58" s="17"/>
      <c r="C58" s="17"/>
      <c r="D58" s="18"/>
      <c r="E58" s="16"/>
      <c r="F58" s="15"/>
      <c r="G58" s="15"/>
      <c r="H58" s="76"/>
    </row>
    <row r="59" spans="1:27" s="44" customFormat="1" ht="21" customHeight="1">
      <c r="A59" s="16"/>
      <c r="B59" s="17"/>
      <c r="C59" s="17"/>
      <c r="D59" s="18"/>
      <c r="E59" s="16"/>
      <c r="F59" s="15"/>
      <c r="G59" s="15"/>
      <c r="H59" s="76"/>
    </row>
    <row r="60" spans="1:27" s="44" customFormat="1" ht="21" customHeight="1">
      <c r="A60" s="16"/>
      <c r="B60" s="17"/>
      <c r="C60" s="17"/>
      <c r="D60" s="18"/>
      <c r="E60" s="16"/>
      <c r="F60" s="15"/>
      <c r="G60" s="15"/>
      <c r="H60" s="76"/>
    </row>
    <row r="61" spans="1:27" s="44" customFormat="1" ht="21" customHeight="1">
      <c r="A61" s="16"/>
      <c r="B61" s="17"/>
      <c r="C61" s="17"/>
      <c r="D61" s="18"/>
      <c r="E61" s="16"/>
      <c r="F61" s="15"/>
      <c r="G61" s="15"/>
      <c r="H61" s="76"/>
    </row>
    <row r="62" spans="1:27" s="44" customFormat="1" ht="21" customHeight="1">
      <c r="A62" s="16"/>
      <c r="B62" s="17"/>
      <c r="C62" s="17"/>
      <c r="D62" s="18"/>
      <c r="E62" s="16"/>
      <c r="F62" s="15"/>
      <c r="G62" s="15"/>
      <c r="H62" s="76"/>
    </row>
    <row r="63" spans="1:27" s="44" customFormat="1" ht="21" customHeight="1">
      <c r="A63" s="16"/>
      <c r="B63" s="17"/>
      <c r="C63" s="17"/>
      <c r="D63" s="18"/>
      <c r="E63" s="16"/>
      <c r="F63" s="15"/>
      <c r="G63" s="15"/>
      <c r="H63" s="76"/>
    </row>
    <row r="64" spans="1:27" s="44" customFormat="1" ht="21" customHeight="1">
      <c r="A64" s="16"/>
      <c r="B64" s="17"/>
      <c r="C64" s="17"/>
      <c r="D64" s="18"/>
      <c r="E64" s="16"/>
      <c r="F64" s="15"/>
      <c r="G64" s="15"/>
      <c r="H64" s="76"/>
    </row>
    <row r="65" spans="1:8" s="44" customFormat="1" ht="21" customHeight="1">
      <c r="A65" s="16"/>
      <c r="B65" s="17"/>
      <c r="C65" s="17"/>
      <c r="D65" s="18"/>
      <c r="E65" s="16"/>
      <c r="F65" s="15"/>
      <c r="G65" s="15"/>
      <c r="H65" s="76"/>
    </row>
    <row r="66" spans="1:8" s="44" customFormat="1" ht="21" customHeight="1">
      <c r="A66" s="16"/>
      <c r="B66" s="17"/>
      <c r="C66" s="17"/>
      <c r="D66" s="18"/>
      <c r="E66" s="16"/>
      <c r="F66" s="15"/>
      <c r="G66" s="15"/>
      <c r="H66" s="76"/>
    </row>
    <row r="67" spans="1:8" s="44" customFormat="1" ht="21" customHeight="1">
      <c r="A67" s="16"/>
      <c r="B67" s="17"/>
      <c r="C67" s="17"/>
      <c r="D67" s="18"/>
      <c r="E67" s="16"/>
      <c r="F67" s="15"/>
      <c r="G67" s="15"/>
      <c r="H67" s="76"/>
    </row>
    <row r="68" spans="1:8" s="44" customFormat="1" ht="21" customHeight="1">
      <c r="A68" s="16"/>
      <c r="B68" s="17"/>
      <c r="C68" s="17"/>
      <c r="D68" s="18"/>
      <c r="E68" s="16"/>
      <c r="F68" s="15"/>
      <c r="G68" s="15"/>
      <c r="H68" s="76"/>
    </row>
    <row r="69" spans="1:8" s="44" customFormat="1" ht="21" customHeight="1">
      <c r="A69" s="16"/>
      <c r="B69" s="17"/>
      <c r="C69" s="17"/>
      <c r="D69" s="18"/>
      <c r="E69" s="16"/>
      <c r="F69" s="15"/>
      <c r="G69" s="15"/>
      <c r="H69" s="76"/>
    </row>
    <row r="70" spans="1:8" s="44" customFormat="1" ht="21" customHeight="1">
      <c r="A70" s="16"/>
      <c r="B70" s="17"/>
      <c r="C70" s="17"/>
      <c r="D70" s="18"/>
      <c r="E70" s="16"/>
      <c r="F70" s="15"/>
      <c r="G70" s="15"/>
      <c r="H70" s="76"/>
    </row>
    <row r="71" spans="1:8" s="44" customFormat="1" ht="21" customHeight="1">
      <c r="A71" s="16"/>
      <c r="B71" s="17"/>
      <c r="C71" s="17"/>
      <c r="D71" s="18"/>
      <c r="E71" s="16"/>
      <c r="F71" s="15"/>
      <c r="G71" s="15"/>
      <c r="H71" s="76"/>
    </row>
    <row r="72" spans="1:8" s="44" customFormat="1" ht="21" customHeight="1">
      <c r="A72" s="16"/>
      <c r="B72" s="17"/>
      <c r="C72" s="17"/>
      <c r="D72" s="18"/>
      <c r="E72" s="16"/>
      <c r="F72" s="15"/>
      <c r="G72" s="15"/>
      <c r="H72" s="76"/>
    </row>
    <row r="73" spans="1:8" s="44" customFormat="1" ht="21" customHeight="1">
      <c r="A73" s="16"/>
      <c r="B73" s="17"/>
      <c r="C73" s="17"/>
      <c r="D73" s="18"/>
      <c r="E73" s="16"/>
      <c r="F73" s="15"/>
      <c r="G73" s="15"/>
      <c r="H73" s="76"/>
    </row>
    <row r="74" spans="1:8" s="44" customFormat="1" ht="21" customHeight="1">
      <c r="A74" s="16"/>
      <c r="B74" s="17"/>
      <c r="C74" s="17"/>
      <c r="D74" s="18"/>
      <c r="E74" s="16"/>
      <c r="F74" s="15"/>
      <c r="G74" s="15"/>
      <c r="H74" s="76"/>
    </row>
    <row r="75" spans="1:8" s="44" customFormat="1" ht="21" customHeight="1">
      <c r="A75" s="16"/>
      <c r="B75" s="17"/>
      <c r="C75" s="17"/>
      <c r="D75" s="18"/>
      <c r="E75" s="16"/>
      <c r="F75" s="15"/>
      <c r="G75" s="15"/>
      <c r="H75" s="76"/>
    </row>
    <row r="76" spans="1:8" s="44" customFormat="1" ht="21" customHeight="1">
      <c r="A76" s="16"/>
      <c r="B76" s="17"/>
      <c r="C76" s="17"/>
      <c r="D76" s="18"/>
      <c r="E76" s="16"/>
      <c r="F76" s="15"/>
      <c r="G76" s="15"/>
      <c r="H76" s="76"/>
    </row>
    <row r="77" spans="1:8" s="44" customFormat="1" ht="21" customHeight="1">
      <c r="A77" s="16"/>
      <c r="B77" s="17"/>
      <c r="C77" s="17"/>
      <c r="D77" s="18"/>
      <c r="E77" s="16"/>
      <c r="F77" s="15"/>
      <c r="G77" s="15"/>
      <c r="H77" s="76"/>
    </row>
    <row r="78" spans="1:8" s="44" customFormat="1" ht="21" customHeight="1">
      <c r="A78" s="16"/>
      <c r="B78" s="17"/>
      <c r="C78" s="17"/>
      <c r="D78" s="18"/>
      <c r="E78" s="16"/>
      <c r="F78" s="15"/>
      <c r="G78" s="15"/>
      <c r="H78" s="76"/>
    </row>
    <row r="79" spans="1:8" s="44" customFormat="1" ht="21" customHeight="1">
      <c r="A79" s="16"/>
      <c r="B79" s="17"/>
      <c r="C79" s="17"/>
      <c r="D79" s="18"/>
      <c r="E79" s="16"/>
      <c r="F79" s="15"/>
      <c r="G79" s="15"/>
      <c r="H79" s="76"/>
    </row>
    <row r="80" spans="1:8" s="44" customFormat="1" ht="21" customHeight="1">
      <c r="A80" s="16"/>
      <c r="B80" s="17"/>
      <c r="C80" s="17"/>
      <c r="D80" s="18"/>
      <c r="E80" s="16"/>
      <c r="F80" s="15"/>
      <c r="G80" s="15"/>
      <c r="H80" s="76"/>
    </row>
    <row r="81" spans="1:8" s="44" customFormat="1" ht="21" customHeight="1">
      <c r="A81" s="16"/>
      <c r="B81" s="17"/>
      <c r="C81" s="17"/>
      <c r="D81" s="18"/>
      <c r="E81" s="16"/>
      <c r="F81" s="15"/>
      <c r="G81" s="15"/>
      <c r="H81" s="76"/>
    </row>
    <row r="82" spans="1:8" s="44" customFormat="1" ht="21" customHeight="1">
      <c r="A82" s="16"/>
      <c r="B82" s="17"/>
      <c r="C82" s="17"/>
      <c r="D82" s="18"/>
      <c r="E82" s="16"/>
      <c r="F82" s="15"/>
      <c r="G82" s="15"/>
      <c r="H82" s="76"/>
    </row>
    <row r="83" spans="1:8" s="44" customFormat="1" ht="21" customHeight="1">
      <c r="A83" s="16"/>
      <c r="B83" s="17"/>
      <c r="C83" s="17"/>
      <c r="D83" s="18"/>
      <c r="E83" s="16"/>
      <c r="F83" s="15"/>
      <c r="G83" s="15"/>
      <c r="H83" s="76"/>
    </row>
    <row r="84" spans="1:8" s="44" customFormat="1" ht="21" customHeight="1">
      <c r="A84" s="16"/>
      <c r="B84" s="17"/>
      <c r="C84" s="17"/>
      <c r="D84" s="18"/>
      <c r="E84" s="16"/>
      <c r="F84" s="15"/>
      <c r="G84" s="15"/>
      <c r="H84" s="76"/>
    </row>
    <row r="85" spans="1:8" s="44" customFormat="1" ht="21" customHeight="1">
      <c r="A85" s="16"/>
      <c r="B85" s="17"/>
      <c r="C85" s="17"/>
      <c r="D85" s="18"/>
      <c r="E85" s="16"/>
      <c r="F85" s="15"/>
      <c r="G85" s="15"/>
      <c r="H85" s="76"/>
    </row>
    <row r="86" spans="1:8" s="44" customFormat="1" ht="21" customHeight="1">
      <c r="A86" s="16"/>
      <c r="B86" s="17"/>
      <c r="C86" s="17"/>
      <c r="D86" s="18"/>
      <c r="E86" s="16"/>
      <c r="F86" s="15"/>
      <c r="G86" s="15"/>
      <c r="H86" s="76"/>
    </row>
    <row r="87" spans="1:8" s="44" customFormat="1" ht="21" customHeight="1">
      <c r="A87" s="16"/>
      <c r="B87" s="17"/>
      <c r="C87" s="17"/>
      <c r="D87" s="18"/>
      <c r="E87" s="16"/>
      <c r="F87" s="15"/>
      <c r="G87" s="15"/>
      <c r="H87" s="76"/>
    </row>
    <row r="88" spans="1:8" s="44" customFormat="1" ht="21" customHeight="1">
      <c r="A88" s="16"/>
      <c r="B88" s="17"/>
      <c r="C88" s="17"/>
      <c r="D88" s="18"/>
      <c r="E88" s="16"/>
      <c r="F88" s="15"/>
      <c r="G88" s="15"/>
      <c r="H88" s="76"/>
    </row>
    <row r="89" spans="1:8" s="44" customFormat="1" ht="21" customHeight="1">
      <c r="A89" s="16"/>
      <c r="B89" s="17"/>
      <c r="C89" s="17"/>
      <c r="D89" s="18"/>
      <c r="E89" s="16"/>
      <c r="F89" s="15"/>
      <c r="G89" s="15"/>
      <c r="H89" s="76"/>
    </row>
    <row r="90" spans="1:8" s="44" customFormat="1" ht="21" customHeight="1">
      <c r="A90" s="16"/>
      <c r="B90" s="17"/>
      <c r="C90" s="17"/>
      <c r="D90" s="18"/>
      <c r="E90" s="16"/>
      <c r="F90" s="15"/>
      <c r="G90" s="15"/>
      <c r="H90" s="76"/>
    </row>
    <row r="91" spans="1:8" s="44" customFormat="1" ht="21" customHeight="1">
      <c r="A91" s="16"/>
      <c r="B91" s="17"/>
      <c r="C91" s="17"/>
      <c r="D91" s="18"/>
      <c r="E91" s="16"/>
      <c r="F91" s="15"/>
      <c r="G91" s="15"/>
      <c r="H91" s="76"/>
    </row>
    <row r="92" spans="1:8" s="44" customFormat="1" ht="21" customHeight="1">
      <c r="A92" s="16"/>
      <c r="B92" s="17"/>
      <c r="C92" s="17"/>
      <c r="D92" s="18"/>
      <c r="E92" s="16"/>
      <c r="F92" s="15"/>
      <c r="G92" s="15"/>
      <c r="H92" s="76"/>
    </row>
    <row r="93" spans="1:8" s="44" customFormat="1" ht="21" customHeight="1">
      <c r="A93" s="16"/>
      <c r="B93" s="17"/>
      <c r="C93" s="17"/>
      <c r="D93" s="18"/>
      <c r="E93" s="16"/>
      <c r="F93" s="15"/>
      <c r="G93" s="15"/>
      <c r="H93" s="76"/>
    </row>
    <row r="94" spans="1:8" s="44" customFormat="1" ht="21" customHeight="1">
      <c r="A94" s="16"/>
      <c r="B94" s="17"/>
      <c r="C94" s="17"/>
      <c r="D94" s="18"/>
      <c r="E94" s="16"/>
      <c r="F94" s="15"/>
      <c r="G94" s="15"/>
      <c r="H94" s="76"/>
    </row>
    <row r="95" spans="1:8" s="44" customFormat="1" ht="21" customHeight="1">
      <c r="A95" s="16"/>
      <c r="B95" s="17"/>
      <c r="C95" s="17"/>
      <c r="D95" s="18"/>
      <c r="E95" s="16"/>
      <c r="F95" s="15"/>
      <c r="G95" s="15"/>
      <c r="H95" s="76"/>
    </row>
    <row r="96" spans="1:8" s="44" customFormat="1" ht="21" customHeight="1">
      <c r="A96" s="16"/>
      <c r="B96" s="17"/>
      <c r="C96" s="17"/>
      <c r="D96" s="18"/>
      <c r="E96" s="16"/>
      <c r="F96" s="15"/>
      <c r="G96" s="15"/>
      <c r="H96" s="76"/>
    </row>
    <row r="97" spans="1:8" s="44" customFormat="1" ht="21" customHeight="1">
      <c r="A97" s="16"/>
      <c r="B97" s="17"/>
      <c r="C97" s="17"/>
      <c r="D97" s="18"/>
      <c r="E97" s="16"/>
      <c r="F97" s="15"/>
      <c r="G97" s="15"/>
      <c r="H97" s="76"/>
    </row>
    <row r="98" spans="1:8" s="44" customFormat="1" ht="21" customHeight="1">
      <c r="A98" s="16"/>
      <c r="B98" s="17"/>
      <c r="C98" s="17"/>
      <c r="D98" s="18"/>
      <c r="E98" s="16"/>
      <c r="F98" s="15"/>
      <c r="G98" s="15"/>
      <c r="H98" s="76"/>
    </row>
    <row r="99" spans="1:8" s="44" customFormat="1" ht="21" customHeight="1">
      <c r="A99" s="16"/>
      <c r="B99" s="17"/>
      <c r="C99" s="17"/>
      <c r="D99" s="18"/>
      <c r="E99" s="16"/>
      <c r="F99" s="15"/>
      <c r="G99" s="15"/>
      <c r="H99" s="76"/>
    </row>
    <row r="100" spans="1:8" s="44" customFormat="1" ht="21" customHeight="1">
      <c r="A100" s="16"/>
      <c r="B100" s="17"/>
      <c r="C100" s="17"/>
      <c r="D100" s="18"/>
      <c r="E100" s="16"/>
      <c r="F100" s="15"/>
      <c r="G100" s="15"/>
      <c r="H100" s="76"/>
    </row>
    <row r="101" spans="1:8" s="44" customFormat="1" ht="21" customHeight="1">
      <c r="A101" s="16"/>
      <c r="B101" s="17"/>
      <c r="C101" s="17"/>
      <c r="D101" s="18"/>
      <c r="E101" s="16"/>
      <c r="F101" s="15"/>
      <c r="G101" s="15"/>
      <c r="H101" s="76"/>
    </row>
    <row r="102" spans="1:8" s="44" customFormat="1" ht="21" customHeight="1">
      <c r="A102" s="16"/>
      <c r="B102" s="17"/>
      <c r="C102" s="17"/>
      <c r="D102" s="18"/>
      <c r="E102" s="16"/>
      <c r="F102" s="15"/>
      <c r="G102" s="15"/>
      <c r="H102" s="76"/>
    </row>
    <row r="103" spans="1:8" s="44" customFormat="1" ht="21" customHeight="1">
      <c r="A103" s="16"/>
      <c r="B103" s="17"/>
      <c r="C103" s="17"/>
      <c r="D103" s="18"/>
      <c r="E103" s="16"/>
      <c r="F103" s="15"/>
      <c r="G103" s="15"/>
      <c r="H103" s="76"/>
    </row>
    <row r="104" spans="1:8" s="44" customFormat="1" ht="21" customHeight="1">
      <c r="A104" s="16"/>
      <c r="B104" s="17"/>
      <c r="C104" s="17"/>
      <c r="D104" s="18"/>
      <c r="E104" s="16"/>
      <c r="F104" s="15"/>
      <c r="G104" s="15"/>
      <c r="H104" s="76"/>
    </row>
    <row r="105" spans="1:8" s="44" customFormat="1" ht="21" customHeight="1">
      <c r="A105" s="16"/>
      <c r="B105" s="17"/>
      <c r="C105" s="17"/>
      <c r="D105" s="18"/>
      <c r="E105" s="16"/>
      <c r="F105" s="15"/>
      <c r="G105" s="15"/>
      <c r="H105" s="76"/>
    </row>
    <row r="106" spans="1:8" s="44" customFormat="1" ht="21" customHeight="1">
      <c r="A106" s="16"/>
      <c r="B106" s="17"/>
      <c r="C106" s="17"/>
      <c r="D106" s="18"/>
      <c r="E106" s="16"/>
      <c r="F106" s="15"/>
      <c r="G106" s="15"/>
      <c r="H106" s="76"/>
    </row>
    <row r="107" spans="1:8" s="44" customFormat="1" ht="21" customHeight="1">
      <c r="A107" s="16"/>
      <c r="B107" s="17"/>
      <c r="C107" s="17"/>
      <c r="D107" s="18"/>
      <c r="E107" s="16"/>
      <c r="F107" s="15"/>
      <c r="G107" s="15"/>
      <c r="H107" s="76"/>
    </row>
    <row r="108" spans="1:8" s="44" customFormat="1" ht="21" customHeight="1">
      <c r="A108" s="16"/>
      <c r="B108" s="17"/>
      <c r="C108" s="17"/>
      <c r="D108" s="18"/>
      <c r="E108" s="16"/>
      <c r="F108" s="15"/>
      <c r="G108" s="15"/>
      <c r="H108" s="76"/>
    </row>
    <row r="109" spans="1:8"/>
    <row r="110" spans="1:8"/>
    <row r="111" spans="1:8"/>
    <row r="112" spans="1:8"/>
    <row r="113"/>
    <row r="114"/>
  </sheetData>
  <sheetProtection password="C1FB" sheet="1" objects="1" scenarios="1" formatCells="0" formatColumns="0" formatRows="0" selectLockedCells="1"/>
  <mergeCells count="19">
    <mergeCell ref="J4:M4"/>
    <mergeCell ref="J5:M5"/>
    <mergeCell ref="J8:M9"/>
    <mergeCell ref="J7:L7"/>
    <mergeCell ref="M18:Q18"/>
    <mergeCell ref="N8:P9"/>
    <mergeCell ref="J6:M6"/>
    <mergeCell ref="M12:Q13"/>
    <mergeCell ref="M14:Q14"/>
    <mergeCell ref="M15:Q15"/>
    <mergeCell ref="M16:Q16"/>
    <mergeCell ref="M17:Q17"/>
    <mergeCell ref="A3:B3"/>
    <mergeCell ref="C1:E1"/>
    <mergeCell ref="A5:B5"/>
    <mergeCell ref="C3:H3"/>
    <mergeCell ref="A4:B4"/>
    <mergeCell ref="E4:G4"/>
    <mergeCell ref="E5:G5"/>
  </mergeCells>
  <dataValidations count="3">
    <dataValidation type="list" allowBlank="1" showInputMessage="1" showErrorMessage="1" sqref="F8:F108">
      <formula1>"GPF, GPF-2004"</formula1>
    </dataValidation>
    <dataValidation type="list" allowBlank="1" showInputMessage="1" showErrorMessage="1" sqref="H8:H108">
      <formula1>month</formula1>
    </dataValidation>
    <dataValidation type="whole" operator="lessThanOrEqual" allowBlank="1" showInputMessage="1" showErrorMessage="1" sqref="D8:D108">
      <formula1>9</formula1>
    </dataValidation>
  </dataValidations>
  <hyperlinks>
    <hyperlink ref="M18" r:id="rId1"/>
    <hyperlink ref="J6" r:id="rId2"/>
    <hyperlink ref="J8" r:id="rId3"/>
    <hyperlink ref="J5" r:id="rId4"/>
  </hyperlinks>
  <pageMargins left="0.7" right="0.7" top="0.75" bottom="0.75" header="0.3" footer="0.3"/>
  <pageSetup paperSize="9" orientation="portrait" horizontalDpi="300" verticalDpi="300" r:id="rId5"/>
  <drawing r:id="rId6"/>
</worksheet>
</file>

<file path=xl/worksheets/sheet2.xml><?xml version="1.0" encoding="utf-8"?>
<worksheet xmlns="http://schemas.openxmlformats.org/spreadsheetml/2006/main" xmlns:r="http://schemas.openxmlformats.org/officeDocument/2006/relationships">
  <dimension ref="A1:AA27"/>
  <sheetViews>
    <sheetView showGridLines="0" view="pageBreakPreview" zoomScaleSheetLayoutView="100" workbookViewId="0">
      <selection activeCell="U11" sqref="U11"/>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22" width="10.5" style="4" customWidth="1"/>
    <col min="23" max="27" width="9.125" style="4" hidden="1" customWidth="1"/>
    <col min="28" max="28" width="0" style="4" hidden="1" customWidth="1"/>
    <col min="29" max="16384" width="9.125" style="4"/>
  </cols>
  <sheetData>
    <row r="1" spans="1:27" ht="21.75" customHeight="1">
      <c r="A1" s="130" t="s">
        <v>92</v>
      </c>
      <c r="B1" s="130"/>
      <c r="C1" s="130"/>
      <c r="D1" s="130"/>
      <c r="E1" s="130"/>
      <c r="F1" s="130"/>
      <c r="G1" s="130"/>
      <c r="H1" s="130"/>
      <c r="I1" s="130"/>
      <c r="J1" s="130"/>
      <c r="K1" s="130"/>
      <c r="L1" s="130"/>
      <c r="M1" s="130"/>
      <c r="N1" s="130"/>
      <c r="O1" s="130"/>
      <c r="P1" s="130"/>
      <c r="Q1" s="130"/>
      <c r="R1" s="130"/>
      <c r="S1" s="130"/>
      <c r="T1" s="84"/>
      <c r="U1" s="84"/>
      <c r="V1" s="84"/>
      <c r="W1" s="4">
        <f>IF(ISNA(VLOOKUP($D$3,Master!A$8:N$127,4,FALSE)),"",VLOOKUP($D$3,Master!A$8:AH$127,4,FALSE))</f>
        <v>3</v>
      </c>
      <c r="X1" s="4" t="str">
        <f>IF(ISNA(VLOOKUP($D$3,Master!A$8:N$127,6,FALSE)),"",VLOOKUP($D$3,Master!A$8:AH$127,6,FALSE))</f>
        <v>GPF-2004</v>
      </c>
      <c r="Y1" s="4" t="s">
        <v>45</v>
      </c>
      <c r="Z1" s="4" t="s">
        <v>18</v>
      </c>
      <c r="AA1" s="4">
        <f>IF(ISNA(VLOOKUP($D$3,Master!A$8:N$127,7,FALSE)),"",VLOOKUP($D$3,Master!A$8:AH$127,7,FALSE))</f>
        <v>0</v>
      </c>
    </row>
    <row r="2" spans="1:27" ht="18">
      <c r="A2" s="131" t="str">
        <f>IF(AND(Master!C3=""),"",CONCATENATE("Office Of  ",Master!C3))</f>
        <v>Office Of  Mahatma Gandhi Government School (English Medium) BAR , Pali</v>
      </c>
      <c r="B2" s="131"/>
      <c r="C2" s="131"/>
      <c r="D2" s="131"/>
      <c r="E2" s="131"/>
      <c r="F2" s="131"/>
      <c r="G2" s="131"/>
      <c r="H2" s="131"/>
      <c r="I2" s="131"/>
      <c r="J2" s="131"/>
      <c r="K2" s="131"/>
      <c r="L2" s="131"/>
      <c r="M2" s="131"/>
      <c r="N2" s="131"/>
      <c r="O2" s="131"/>
      <c r="P2" s="131"/>
      <c r="Q2" s="131"/>
      <c r="R2" s="131"/>
      <c r="S2" s="131"/>
      <c r="T2" s="85"/>
      <c r="U2" s="85"/>
      <c r="V2" s="85"/>
      <c r="X2" s="4">
        <f>IF(ISNA(VLOOKUP($D$3,Master!A$8:N$127,8,FALSE)),"",VLOOKUP($D$3,Master!A$8:AH$127,8,FALSE))</f>
        <v>45292</v>
      </c>
      <c r="Y2" s="4" t="s">
        <v>43</v>
      </c>
    </row>
    <row r="3" spans="1:27" ht="18.75">
      <c r="C3" s="61" t="s">
        <v>49</v>
      </c>
      <c r="D3" s="64">
        <v>2</v>
      </c>
      <c r="E3" s="133" t="s">
        <v>10</v>
      </c>
      <c r="F3" s="133"/>
      <c r="G3" s="133"/>
      <c r="H3" s="133"/>
      <c r="I3" s="133"/>
      <c r="J3" s="132" t="str">
        <f>IF(ISNA(VLOOKUP($D$3,Master!A$8:N$127,2,FALSE)),"",VLOOKUP($D$3,Master!A$8:AH$127,2,FALSE))</f>
        <v>SEEMA CHHABA</v>
      </c>
      <c r="K3" s="132"/>
      <c r="L3" s="132"/>
      <c r="M3" s="132"/>
      <c r="N3" s="132"/>
      <c r="O3" s="60" t="s">
        <v>31</v>
      </c>
      <c r="P3" s="132" t="str">
        <f>IF(ISNA(VLOOKUP($D$3,Master!A$8:N$127,3,FALSE)),"",VLOOKUP($D$3,Master!A$8:AH$127,3,FALSE))</f>
        <v>LECTURER</v>
      </c>
      <c r="Q3" s="132"/>
      <c r="R3" s="132"/>
      <c r="S3" s="132"/>
      <c r="T3" s="83"/>
      <c r="U3" s="83"/>
      <c r="V3" s="83"/>
    </row>
    <row r="4" spans="1:27" ht="15.75" customHeight="1">
      <c r="E4" s="91"/>
      <c r="F4" s="52"/>
      <c r="G4" s="22"/>
      <c r="H4" s="22"/>
      <c r="I4" s="22"/>
      <c r="J4" s="5"/>
      <c r="K4" s="5"/>
      <c r="L4" s="5"/>
      <c r="M4" s="5"/>
      <c r="N4" s="5"/>
      <c r="O4" s="6"/>
      <c r="P4" s="6"/>
    </row>
    <row r="5" spans="1:27" ht="24.75" customHeight="1">
      <c r="A5" s="136" t="s">
        <v>0</v>
      </c>
      <c r="B5" s="137" t="s">
        <v>3</v>
      </c>
      <c r="C5" s="134" t="s">
        <v>5</v>
      </c>
      <c r="D5" s="134"/>
      <c r="E5" s="134"/>
      <c r="F5" s="134"/>
      <c r="G5" s="134" t="s">
        <v>6</v>
      </c>
      <c r="H5" s="134"/>
      <c r="I5" s="134"/>
      <c r="J5" s="134"/>
      <c r="K5" s="134" t="s">
        <v>7</v>
      </c>
      <c r="L5" s="134"/>
      <c r="M5" s="134"/>
      <c r="N5" s="134"/>
      <c r="O5" s="134" t="s">
        <v>8</v>
      </c>
      <c r="P5" s="134"/>
      <c r="Q5" s="134"/>
      <c r="R5" s="129" t="s">
        <v>54</v>
      </c>
      <c r="S5" s="129" t="s">
        <v>40</v>
      </c>
      <c r="T5" s="88"/>
      <c r="U5" s="88"/>
      <c r="V5" s="88"/>
    </row>
    <row r="6" spans="1:27" ht="69" customHeight="1">
      <c r="A6" s="136"/>
      <c r="B6" s="137"/>
      <c r="C6" s="92" t="s">
        <v>29</v>
      </c>
      <c r="D6" s="93" t="s">
        <v>1</v>
      </c>
      <c r="E6" s="94" t="s">
        <v>2</v>
      </c>
      <c r="F6" s="92" t="s">
        <v>46</v>
      </c>
      <c r="G6" s="92" t="s">
        <v>29</v>
      </c>
      <c r="H6" s="93" t="s">
        <v>1</v>
      </c>
      <c r="I6" s="94" t="s">
        <v>2</v>
      </c>
      <c r="J6" s="92" t="s">
        <v>47</v>
      </c>
      <c r="K6" s="92" t="s">
        <v>4</v>
      </c>
      <c r="L6" s="93" t="s">
        <v>1</v>
      </c>
      <c r="M6" s="94" t="s">
        <v>2</v>
      </c>
      <c r="N6" s="95" t="s">
        <v>48</v>
      </c>
      <c r="O6" s="96" t="str">
        <f>IF(X1="GPF","GPF ","GPF-2004 ")</f>
        <v xml:space="preserve">GPF-2004 </v>
      </c>
      <c r="P6" s="97" t="s">
        <v>41</v>
      </c>
      <c r="Q6" s="95" t="s">
        <v>53</v>
      </c>
      <c r="R6" s="129"/>
      <c r="S6" s="129"/>
      <c r="T6" s="88"/>
      <c r="U6" s="88"/>
      <c r="V6" s="88"/>
    </row>
    <row r="7" spans="1:27" ht="18" customHeight="1">
      <c r="A7" s="98">
        <v>1</v>
      </c>
      <c r="B7" s="98">
        <v>2</v>
      </c>
      <c r="C7" s="98">
        <v>3</v>
      </c>
      <c r="D7" s="98">
        <v>4</v>
      </c>
      <c r="E7" s="98">
        <v>5</v>
      </c>
      <c r="F7" s="98">
        <v>6</v>
      </c>
      <c r="G7" s="98">
        <v>7</v>
      </c>
      <c r="H7" s="98">
        <v>8</v>
      </c>
      <c r="I7" s="98">
        <v>9</v>
      </c>
      <c r="J7" s="98">
        <v>10</v>
      </c>
      <c r="K7" s="98">
        <v>11</v>
      </c>
      <c r="L7" s="98">
        <v>12</v>
      </c>
      <c r="M7" s="98">
        <v>13</v>
      </c>
      <c r="N7" s="98">
        <v>14</v>
      </c>
      <c r="O7" s="98">
        <v>15</v>
      </c>
      <c r="P7" s="98">
        <v>17</v>
      </c>
      <c r="Q7" s="98">
        <v>18</v>
      </c>
      <c r="R7" s="98">
        <v>19</v>
      </c>
      <c r="S7" s="98">
        <v>20</v>
      </c>
      <c r="T7" s="89"/>
      <c r="U7" s="89"/>
      <c r="V7" s="89"/>
    </row>
    <row r="8" spans="1:27" ht="21" customHeight="1">
      <c r="A8" s="99">
        <v>1</v>
      </c>
      <c r="B8" s="100">
        <f>IF(AND($D$3=""),"",X8)</f>
        <v>45292</v>
      </c>
      <c r="C8" s="101">
        <f>IF(ISNA(VLOOKUP(D3,Master!A$8:N$127,5,FALSE)),"",VLOOKUP($D$3,Master!A$8:AH$127,5,FALSE))</f>
        <v>47000</v>
      </c>
      <c r="D8" s="101">
        <f>IF(AND(C8=""),"",IF(AND($D$3=""),"",ROUND(C8*Master!C$5%,0)))</f>
        <v>23500</v>
      </c>
      <c r="E8" s="101">
        <f>IF(AND(C8=""),"",IF(AND($D$3=""),"",ROUND(C8*Master!H$5%,0)))</f>
        <v>4230</v>
      </c>
      <c r="F8" s="101">
        <f t="shared" ref="F8:F13" si="0">IF(AND(C8=""),"",SUM(C8:E8))</f>
        <v>74730</v>
      </c>
      <c r="G8" s="101">
        <f>IF(ISNA(VLOOKUP($D$3,Master!A$8:N$127,5,FALSE)),"",VLOOKUP($D$3,Master!A$8:AH$127,5,FALSE))</f>
        <v>47000</v>
      </c>
      <c r="H8" s="101">
        <f>IF(AND(G8=""),"",IF(AND($D$3=""),"",ROUND(G8*Master!C$4%,0)))</f>
        <v>21620</v>
      </c>
      <c r="I8" s="101">
        <f>IF(AND(G8=""),"",IF(AND($D$3=""),"",ROUND(G8*Master!H$4%,0)))</f>
        <v>4230</v>
      </c>
      <c r="J8" s="101">
        <f t="shared" ref="J8:J13" si="1">IF(AND(C8=""),"",SUM(G8:I8))</f>
        <v>72850</v>
      </c>
      <c r="K8" s="101">
        <f t="shared" ref="K8:N13" si="2">IF(AND(C8=""),"",IF(AND(G8=""),"",C8-G8))</f>
        <v>0</v>
      </c>
      <c r="L8" s="101">
        <f t="shared" si="2"/>
        <v>1880</v>
      </c>
      <c r="M8" s="101">
        <f t="shared" si="2"/>
        <v>0</v>
      </c>
      <c r="N8" s="101">
        <f t="shared" si="2"/>
        <v>1880</v>
      </c>
      <c r="O8" s="101">
        <f>IF(AND(C8=""),"",IF(OR(B8=$Y$8,B8=$Y$9),N8-P8,"0"))</f>
        <v>1880</v>
      </c>
      <c r="P8" s="101">
        <f t="shared" ref="P8:P13" si="3">IF(AND($D$3=""),"",IF(AND(N8=""),"",ROUND(N8*AA$1%,0)))</f>
        <v>0</v>
      </c>
      <c r="Q8" s="101">
        <f>IF(AND($D$3=""),"",IF(AND(C8=""),"",IF(AND(O8=""),"",SUM(O8,P8))))</f>
        <v>1880</v>
      </c>
      <c r="R8" s="101">
        <f>IF(AND(N8=""),"",IF(AND(Q8=""),"",N8-Q8))</f>
        <v>0</v>
      </c>
      <c r="S8" s="102"/>
      <c r="T8" s="90"/>
      <c r="U8" s="90"/>
      <c r="V8" s="90"/>
      <c r="X8" s="23">
        <f>IF(ISNA(VLOOKUP($D$3,Master!A$8:N$127,8,FALSE)),"",VLOOKUP($D$3,Master!A$8:AH$127,8,FALSE))</f>
        <v>45292</v>
      </c>
      <c r="Y8" s="23">
        <v>45292</v>
      </c>
    </row>
    <row r="9" spans="1:27" ht="21" customHeight="1">
      <c r="A9" s="99">
        <v>2</v>
      </c>
      <c r="B9" s="100">
        <f>IF(AND($D$3=""),"",IF(AND(Arrear!W$1&lt;2),"",X9))</f>
        <v>45323</v>
      </c>
      <c r="C9" s="101">
        <f>IF(AND($D$3=""),"",IF(AND(Arrear!W$1&lt;2),"",Arrear!C8))</f>
        <v>47000</v>
      </c>
      <c r="D9" s="101">
        <f>IF(AND(C9=""),"",IF(AND($D$3=""),"",ROUND(C9*Master!C$5%,0)))</f>
        <v>23500</v>
      </c>
      <c r="E9" s="101">
        <f>IF(AND(C9=""),"",IF(AND($D$3=""),"",ROUND(C9*Master!H$5%,0)))</f>
        <v>4230</v>
      </c>
      <c r="F9" s="101">
        <f t="shared" si="0"/>
        <v>74730</v>
      </c>
      <c r="G9" s="101">
        <f>IF(AND($D$3=""),"",IF(AND(Arrear!W$1&lt;2),"",G8))</f>
        <v>47000</v>
      </c>
      <c r="H9" s="101">
        <f>IF(AND(G9=""),"",IF(AND($D$3=""),"",ROUND(G9*Master!C$4%,0)))</f>
        <v>21620</v>
      </c>
      <c r="I9" s="101">
        <f>IF(AND(G9=""),"",IF(AND($D$3=""),"",ROUND(G9*Master!H$4%,0)))</f>
        <v>4230</v>
      </c>
      <c r="J9" s="101">
        <f t="shared" si="1"/>
        <v>72850</v>
      </c>
      <c r="K9" s="101">
        <f t="shared" si="2"/>
        <v>0</v>
      </c>
      <c r="L9" s="101">
        <f t="shared" si="2"/>
        <v>1880</v>
      </c>
      <c r="M9" s="101">
        <f t="shared" si="2"/>
        <v>0</v>
      </c>
      <c r="N9" s="101">
        <f t="shared" si="2"/>
        <v>1880</v>
      </c>
      <c r="O9" s="101">
        <f t="shared" ref="O9:O13" si="4">IF(AND(C9=""),"",IF(OR(B9=$Y$8,B9=$Y$9),N9-P9,"0"))</f>
        <v>1880</v>
      </c>
      <c r="P9" s="101">
        <f t="shared" si="3"/>
        <v>0</v>
      </c>
      <c r="Q9" s="101">
        <f t="shared" ref="Q9:Q13" si="5">IF(AND($D$3=""),"",IF(AND(C9=""),"",IF(AND(O9=""),"",SUM(O9,P9))))</f>
        <v>1880</v>
      </c>
      <c r="R9" s="101">
        <f t="shared" ref="R9:R13" si="6">IF(AND(N9=""),"",IF(AND(Q9=""),"",N9-Q9))</f>
        <v>0</v>
      </c>
      <c r="S9" s="102"/>
      <c r="T9" s="90"/>
      <c r="U9" s="90"/>
      <c r="V9" s="90"/>
      <c r="X9" s="23">
        <f>DATE(YEAR(X8),MONTH(X8)+1,DAY(X8))</f>
        <v>45323</v>
      </c>
      <c r="Y9" s="23">
        <v>45323</v>
      </c>
    </row>
    <row r="10" spans="1:27" ht="21" customHeight="1">
      <c r="A10" s="99">
        <v>3</v>
      </c>
      <c r="B10" s="100">
        <f>IF(AND($D$3=""),"",IF(AND(Arrear!W$1&lt;3),"",X10))</f>
        <v>45352</v>
      </c>
      <c r="C10" s="101">
        <f>IF(AND($D$3=""),"",IF(AND(Arrear!W$1&lt;3),"",Arrear!C9))</f>
        <v>47000</v>
      </c>
      <c r="D10" s="101">
        <f>IF(AND(C10=""),"",IF(AND($D$3=""),"",ROUND(C10*Master!C$5%,0)))</f>
        <v>23500</v>
      </c>
      <c r="E10" s="101">
        <f>IF(AND(C10=""),"",IF(AND($D$3=""),"",ROUND(C10*Master!H$5%,0)))</f>
        <v>4230</v>
      </c>
      <c r="F10" s="101">
        <f t="shared" si="0"/>
        <v>74730</v>
      </c>
      <c r="G10" s="101">
        <f>IF(AND($D$3=""),"",IF(AND(Arrear!W$1&lt;3),"",G9))</f>
        <v>47000</v>
      </c>
      <c r="H10" s="101">
        <f>IF(AND(G10=""),"",IF(AND($D$3=""),"",ROUND(G10*Master!C$4%,0)))</f>
        <v>21620</v>
      </c>
      <c r="I10" s="101">
        <f>IF(AND(G10=""),"",IF(AND($D$3=""),"",ROUND(G10*Master!H$4%,0)))</f>
        <v>4230</v>
      </c>
      <c r="J10" s="101">
        <f t="shared" si="1"/>
        <v>72850</v>
      </c>
      <c r="K10" s="101">
        <f t="shared" si="2"/>
        <v>0</v>
      </c>
      <c r="L10" s="101">
        <f t="shared" si="2"/>
        <v>1880</v>
      </c>
      <c r="M10" s="101">
        <f t="shared" si="2"/>
        <v>0</v>
      </c>
      <c r="N10" s="101">
        <f t="shared" si="2"/>
        <v>1880</v>
      </c>
      <c r="O10" s="101" t="str">
        <f t="shared" si="4"/>
        <v>0</v>
      </c>
      <c r="P10" s="101">
        <f t="shared" si="3"/>
        <v>0</v>
      </c>
      <c r="Q10" s="101">
        <f t="shared" si="5"/>
        <v>0</v>
      </c>
      <c r="R10" s="101">
        <f t="shared" si="6"/>
        <v>1880</v>
      </c>
      <c r="S10" s="102"/>
      <c r="T10" s="90"/>
      <c r="U10" s="90"/>
      <c r="V10" s="90"/>
      <c r="X10" s="23">
        <f t="shared" ref="X10:X14" si="7">DATE(YEAR(X9),MONTH(X9)+1,DAY(X9))</f>
        <v>45352</v>
      </c>
    </row>
    <row r="11" spans="1:27" ht="21" customHeight="1">
      <c r="A11" s="99">
        <v>4</v>
      </c>
      <c r="B11" s="100" t="str">
        <f>IF(AND($D$3=""),"",IF(AND(Arrear!W$1&lt;4),"",X11))</f>
        <v/>
      </c>
      <c r="C11" s="101" t="str">
        <f>IF(AND($D$3=""),"",IF(AND(Arrear!W$1&lt;4),"",Arrear!C10))</f>
        <v/>
      </c>
      <c r="D11" s="101" t="str">
        <f>IF(AND(C11=""),"",IF(AND($D$3=""),"",ROUND(C11*Master!C$5%,0)))</f>
        <v/>
      </c>
      <c r="E11" s="101" t="str">
        <f>IF(AND(C11=""),"",IF(AND($D$3=""),"",ROUND(C11*Master!H$5%,0)))</f>
        <v/>
      </c>
      <c r="F11" s="101" t="str">
        <f t="shared" si="0"/>
        <v/>
      </c>
      <c r="G11" s="101" t="str">
        <f>IF(AND($D$3=""),"",IF(AND(Arrear!W$1&lt;4),"",G10))</f>
        <v/>
      </c>
      <c r="H11" s="101" t="str">
        <f>IF(AND(G11=""),"",IF(AND($D$3=""),"",ROUND(G11*Master!C$4%,0)))</f>
        <v/>
      </c>
      <c r="I11" s="101" t="str">
        <f>IF(AND(G11=""),"",IF(AND($D$3=""),"",ROUND(G11*Master!H$4%,0)))</f>
        <v/>
      </c>
      <c r="J11" s="101" t="str">
        <f t="shared" si="1"/>
        <v/>
      </c>
      <c r="K11" s="101" t="str">
        <f t="shared" si="2"/>
        <v/>
      </c>
      <c r="L11" s="101" t="str">
        <f t="shared" si="2"/>
        <v/>
      </c>
      <c r="M11" s="101" t="str">
        <f t="shared" si="2"/>
        <v/>
      </c>
      <c r="N11" s="101" t="str">
        <f t="shared" si="2"/>
        <v/>
      </c>
      <c r="O11" s="101" t="str">
        <f t="shared" si="4"/>
        <v/>
      </c>
      <c r="P11" s="101" t="str">
        <f t="shared" si="3"/>
        <v/>
      </c>
      <c r="Q11" s="101" t="str">
        <f t="shared" si="5"/>
        <v/>
      </c>
      <c r="R11" s="101" t="str">
        <f t="shared" si="6"/>
        <v/>
      </c>
      <c r="S11" s="102"/>
      <c r="T11" s="90"/>
      <c r="U11" s="90"/>
      <c r="V11" s="90"/>
      <c r="X11" s="23">
        <f t="shared" si="7"/>
        <v>45383</v>
      </c>
    </row>
    <row r="12" spans="1:27" ht="21" customHeight="1">
      <c r="A12" s="99">
        <v>5</v>
      </c>
      <c r="B12" s="100" t="str">
        <f>IF(AND($D$3=""),"",IF(AND(Arrear!W$1&lt;5),"",X12))</f>
        <v/>
      </c>
      <c r="C12" s="101" t="str">
        <f>IF(AND($D$3=""),"",IF(AND(Arrear!W$1&lt;5),"",Arrear!C11))</f>
        <v/>
      </c>
      <c r="D12" s="101" t="str">
        <f>IF(AND(C12=""),"",IF(AND($D$3=""),"",ROUND(C12*Master!C$5%,0)))</f>
        <v/>
      </c>
      <c r="E12" s="101" t="str">
        <f>IF(AND(C12=""),"",IF(AND($D$3=""),"",ROUND(C12*Master!H$5%,0)))</f>
        <v/>
      </c>
      <c r="F12" s="101" t="str">
        <f t="shared" si="0"/>
        <v/>
      </c>
      <c r="G12" s="101" t="str">
        <f>IF(AND($D$3=""),"",IF(AND(Arrear!W$1&lt;5),"",G11))</f>
        <v/>
      </c>
      <c r="H12" s="101" t="str">
        <f>IF(AND(G12=""),"",IF(AND($D$3=""),"",ROUND(G12*Master!C$4%,0)))</f>
        <v/>
      </c>
      <c r="I12" s="101" t="str">
        <f>IF(AND(G12=""),"",IF(AND($D$3=""),"",ROUND(G12*Master!H$4%,0)))</f>
        <v/>
      </c>
      <c r="J12" s="101" t="str">
        <f t="shared" si="1"/>
        <v/>
      </c>
      <c r="K12" s="101" t="str">
        <f t="shared" si="2"/>
        <v/>
      </c>
      <c r="L12" s="101" t="str">
        <f t="shared" si="2"/>
        <v/>
      </c>
      <c r="M12" s="101" t="str">
        <f t="shared" si="2"/>
        <v/>
      </c>
      <c r="N12" s="101" t="str">
        <f t="shared" si="2"/>
        <v/>
      </c>
      <c r="O12" s="101" t="str">
        <f t="shared" si="4"/>
        <v/>
      </c>
      <c r="P12" s="101" t="str">
        <f t="shared" si="3"/>
        <v/>
      </c>
      <c r="Q12" s="101" t="str">
        <f t="shared" si="5"/>
        <v/>
      </c>
      <c r="R12" s="101" t="str">
        <f t="shared" si="6"/>
        <v/>
      </c>
      <c r="S12" s="102"/>
      <c r="T12" s="90"/>
      <c r="U12" s="90"/>
      <c r="V12" s="90"/>
      <c r="X12" s="23">
        <f t="shared" si="7"/>
        <v>45413</v>
      </c>
    </row>
    <row r="13" spans="1:27" ht="21" customHeight="1">
      <c r="A13" s="99">
        <v>6</v>
      </c>
      <c r="B13" s="100" t="str">
        <f>IF(AND($D$3=""),"",IF(AND(Arrear!W$1&lt;6),"",X13))</f>
        <v/>
      </c>
      <c r="C13" s="101" t="str">
        <f>IF(AND($D$3=""),"",IF(AND(Arrear!W$1&lt;6),"",Arrear!C12))</f>
        <v/>
      </c>
      <c r="D13" s="101" t="str">
        <f>IF(AND(C13=""),"",IF(AND($D$3=""),"",ROUND(C13*Master!C$5%,0)))</f>
        <v/>
      </c>
      <c r="E13" s="101" t="str">
        <f>IF(AND(C13=""),"",IF(AND($D$3=""),"",ROUND(C13*Master!H$5%,0)))</f>
        <v/>
      </c>
      <c r="F13" s="101" t="str">
        <f t="shared" si="0"/>
        <v/>
      </c>
      <c r="G13" s="101" t="str">
        <f>IF(AND($D$3=""),"",IF(AND(Arrear!W$1&lt;6),"",G12))</f>
        <v/>
      </c>
      <c r="H13" s="101" t="str">
        <f>IF(AND(G13=""),"",IF(AND($D$3=""),"",ROUND(G13*Master!C$4%,0)))</f>
        <v/>
      </c>
      <c r="I13" s="101" t="str">
        <f>IF(AND(G13=""),"",IF(AND($D$3=""),"",ROUND(G13*Master!H$4%,0)))</f>
        <v/>
      </c>
      <c r="J13" s="101" t="str">
        <f t="shared" si="1"/>
        <v/>
      </c>
      <c r="K13" s="101" t="str">
        <f t="shared" si="2"/>
        <v/>
      </c>
      <c r="L13" s="101" t="str">
        <f t="shared" si="2"/>
        <v/>
      </c>
      <c r="M13" s="101" t="str">
        <f t="shared" si="2"/>
        <v/>
      </c>
      <c r="N13" s="101" t="str">
        <f t="shared" si="2"/>
        <v/>
      </c>
      <c r="O13" s="101" t="str">
        <f t="shared" si="4"/>
        <v/>
      </c>
      <c r="P13" s="101" t="str">
        <f t="shared" si="3"/>
        <v/>
      </c>
      <c r="Q13" s="101" t="str">
        <f t="shared" si="5"/>
        <v/>
      </c>
      <c r="R13" s="101" t="str">
        <f t="shared" si="6"/>
        <v/>
      </c>
      <c r="S13" s="102"/>
      <c r="T13" s="90"/>
      <c r="U13" s="90"/>
      <c r="V13" s="90"/>
      <c r="X13" s="23">
        <f t="shared" si="7"/>
        <v>45444</v>
      </c>
    </row>
    <row r="14" spans="1:27" ht="30.75" customHeight="1">
      <c r="A14" s="135" t="s">
        <v>9</v>
      </c>
      <c r="B14" s="135"/>
      <c r="C14" s="103">
        <f>IF(AND($D$3=""),"",SUM(C8:C13))</f>
        <v>141000</v>
      </c>
      <c r="D14" s="103">
        <f t="shared" ref="D14:R14" si="8">IF(AND($D$3=""),"",SUM(D8:D13))</f>
        <v>70500</v>
      </c>
      <c r="E14" s="103">
        <f t="shared" si="8"/>
        <v>12690</v>
      </c>
      <c r="F14" s="103">
        <f t="shared" si="8"/>
        <v>224190</v>
      </c>
      <c r="G14" s="103">
        <f t="shared" si="8"/>
        <v>141000</v>
      </c>
      <c r="H14" s="103">
        <f t="shared" si="8"/>
        <v>64860</v>
      </c>
      <c r="I14" s="103">
        <f t="shared" si="8"/>
        <v>12690</v>
      </c>
      <c r="J14" s="103">
        <f t="shared" si="8"/>
        <v>218550</v>
      </c>
      <c r="K14" s="103">
        <f t="shared" si="8"/>
        <v>0</v>
      </c>
      <c r="L14" s="103">
        <f t="shared" si="8"/>
        <v>5640</v>
      </c>
      <c r="M14" s="103">
        <f t="shared" si="8"/>
        <v>0</v>
      </c>
      <c r="N14" s="103">
        <f t="shared" si="8"/>
        <v>5640</v>
      </c>
      <c r="O14" s="103">
        <f t="shared" si="8"/>
        <v>3760</v>
      </c>
      <c r="P14" s="103">
        <f t="shared" si="8"/>
        <v>0</v>
      </c>
      <c r="Q14" s="103">
        <f t="shared" si="8"/>
        <v>3760</v>
      </c>
      <c r="R14" s="103">
        <f t="shared" si="8"/>
        <v>1880</v>
      </c>
      <c r="S14" s="104"/>
      <c r="T14" s="75"/>
      <c r="U14" s="75"/>
      <c r="V14" s="75"/>
      <c r="X14" s="23">
        <f t="shared" si="7"/>
        <v>45474</v>
      </c>
    </row>
    <row r="15" spans="1:27" ht="25.5" customHeight="1">
      <c r="A15" s="21"/>
      <c r="B15" s="10"/>
      <c r="C15" s="128" t="str">
        <f>IF(X1="GPF","Amount in Words Deposite in GPF  :-","Amount in Words Deposite in GPF-2004  :-")</f>
        <v>Amount in Words Deposite in GPF-2004  :-</v>
      </c>
      <c r="D15" s="128"/>
      <c r="E15" s="128"/>
      <c r="F15" s="128"/>
      <c r="G15" s="128"/>
      <c r="H15" s="128"/>
      <c r="I15" s="128"/>
      <c r="J15" s="127" t="str">
        <f>IF(AND(D3=""),"",IF(AND(O14=0),"ZERO ONLY","( Rs. "&amp;LOOKUP(IF(INT(RIGHT(O14,7)/100000)&gt;19,INT(RIGHT(O14,7)/1000000),IF(INT(RIGHT(O14,7)/100000)&gt;=10,INT(RIGHT(O14,7)/100000),0)),{0,1,2,3,4,5,6,7,8,9,10,11,12,13,14,15,16,17,18,19},{""," TEN "," TWENTY "," THIRTY "," FOURTY "," FIFTY "," SIXTY "," SEVENTY "," EIGHTY "," NINETY "," TEN "," ELEVEN "," TWELVE "," THIRTEEN "," FOURTEEN "," FIFTEEN "," SIXTEEN"," SEVENTEEN"," EIGHTEEN "," NINETEEN "})&amp;IF((IF(INT(RIGHT(O14,7)/100000)&gt;19,INT(RIGHT(O14,7)/1000000),IF(INT(RIGHT(O14,7)/100000)&gt;=10,INT(RIGHT(O14,7)/100000),0))+IF(INT(RIGHT(O14,7)/100000)&gt;19,INT(RIGHT(O14,6)/100000),IF(INT(RIGHT(O14,7)/100000)&gt;10,0,INT(RIGHT(O14,6)/100000))))&gt;0,LOOKUP(IF(INT(RIGHT(O14,7)/100000)&gt;19,INT(RIGHT(O14,6)/100000),IF(INT(RIGHT(O14,7)/100000)&gt;10,0,INT(RIGHT(O14,6)/100000))),{0,1,2,3,4,5,6,7,8,9,10,11,12,13,14,15,16,17,18,19},{""," ONE "," TWO "," THREE "," FOUR "," FIVE "," SIX "," SEVEN "," EIGHT "," NINE "," TEN "," ELEVEN "," TWELVE "," THIRTEEN "," FOURTEEN "," FIFTEEN "," SIXTEEN"," SEVENTEEN"," EIGHTEEN "," NINETEEN "})&amp;" Lac. "," ")&amp;LOOKUP(IF(INT(RIGHT(O14,5)/1000)&gt;19,INT(RIGHT(O14,5)/10000),IF(INT(RIGHT(O14,5)/1000)&gt;=10,INT(RIGHT(O14,5)/1000),0)),{0,1,2,3,4,5,6,7,8,9,10,11,12,13,14,15,16,17,18,19},{""," TEN "," TWENTY "," THIRTY "," FOURTY "," FIFTY "," SIXTY "," SEVENTY "," EIGHTY "," NINETY "," TEN "," ELEVEN "," TWELVE "," THIRTEEN "," FOURTEEN "," FIFTEEN "," SIXTEEN"," SEVENTEEN"," EIGHTEEN "," NINETEEN "})&amp;IF((IF(INT(RIGHT(O14,5)/1000)&gt;19,INT(RIGHT(O14,4)/1000),IF(INT(RIGHT(O14,5)/1000)&gt;10,0,INT(RIGHT(O14,4)/1000)))+IF(INT(RIGHT(O14,5)/1000)&gt;19,INT(RIGHT(O14,5)/10000),IF(INT(RIGHT(O14,5)/1000)&gt;=10,INT(RIGHT(O14,5)/1000),0)))&gt;0,LOOKUP(IF(INT(RIGHT(O14,5)/1000)&gt;19,INT(RIGHT(O14,4)/1000),IF(INT(RIGHT(O14,5)/1000)&gt;10,0,INT(RIGHT(O14,4)/1000))),{0,1,2,3,4,5,6,7,8,9,10,11,12,13,14,15,16,17,18,19},{""," ONE "," TWO "," THREE "," FOUR "," FIVE "," SIX "," SEVEN "," EIGHT "," NINE "," TEN "," ELEVEN "," TWELVE "," THIRTEEN "," FOURTEEN "," FIFTEEN "," SIXTEEN"," SEVENTEEN"," EIGHTEEN "," NINETEEN "})&amp;" THOUSAND "," ")&amp;IF((INT((RIGHT(O14,3))/100))&gt;0,LOOKUP(INT((RIGHT(O14,3))/100),{0,1,2,3,4,5,6,7,8,9,10,11,12,13,14,15,16,17,18,19},{""," ONE "," TWO "," THREE "," FOUR "," FIVE "," SIX "," SEVEN "," EIGHT "," NINE "," TEN "," ELEVEN "," TWELVE "," THIRTEEN "," FOURTEEN "," FIFTEEN "," SIXTEEN"," SEVENTEEN"," EIGHTEEN "," NINETEEN "})&amp;" HUNDRED "," ")&amp;LOOKUP(IF(INT(RIGHT(O14,2))&gt;19,INT(RIGHT(O14,2)/10),IF(INT(RIGHT(O14,2))&gt;=10,INT(RIGHT(O14,2)),0)),{0,1,2,3,4,5,6,7,8,9,10,11,12,13,14,15,16,17,18,19},{""," TEN "," TWENTY "," THIRTY "," FOURTY "," FIFTY "," SIXTY "," SEVENTY "," EIGHTY "," NINETY "," TEN "," ELEVEN "," TWELVE "," THIRTEEN "," FOURTEEN "," FIFTEEN "," SIXTEEN"," SEVENTEEN"," EIGHTEEN "," NINETEEN "})&amp;LOOKUP(IF(INT(RIGHT(O14,2))&lt;10,INT(RIGHT(O14,1)),IF(INT(RIGHT(O14,2))&lt;20,0,INT(RIGHT(O14,1)))),{0,1,2,3,4,5,6,7,8,9,10,11,12,13,14,15,16,17,18,19},{""," ONE "," TWO "," THREE "," FOUR "," FIVE "," SIX "," SEVEN "," EIGHT "," NINE "," TEN "," ELEVEN "," TWELVE "," THIRTEEN "," FOURTEEN "," FIFTEEN "," SIXTEEN"," SEVENTEEN"," EIGHTEEN "," NINETEEN "})&amp;" Only)"))</f>
        <v>( Rs.   THREE  THOUSAND  SEVEN  HUNDRED  SIXTY  Only)</v>
      </c>
      <c r="K15" s="127"/>
      <c r="L15" s="127"/>
      <c r="M15" s="127"/>
      <c r="N15" s="127"/>
      <c r="O15" s="127"/>
      <c r="P15" s="127"/>
      <c r="Q15" s="127"/>
      <c r="R15" s="127"/>
      <c r="S15" s="127"/>
      <c r="T15" s="87"/>
      <c r="U15" s="87"/>
      <c r="V15" s="87"/>
    </row>
    <row r="16" spans="1:27" ht="25.5" customHeight="1">
      <c r="A16" s="21"/>
      <c r="B16" s="10"/>
      <c r="C16" s="128" t="s">
        <v>57</v>
      </c>
      <c r="D16" s="128"/>
      <c r="E16" s="128"/>
      <c r="F16" s="128"/>
      <c r="G16" s="128"/>
      <c r="H16" s="128"/>
      <c r="I16" s="128"/>
      <c r="J16" s="127" t="str">
        <f>IF(AND(D3=""),"",IF(AND(R14=0),"ZERO ONLY","( Rs. "&amp;LOOKUP(IF(INT(RIGHT(R14,7)/100000)&gt;19,INT(RIGHT(R14,7)/1000000),IF(INT(RIGHT(R14,7)/100000)&gt;=10,INT(RIGHT(R14,7)/100000),0)),{0,1,2,3,4,5,6,7,8,9,10,11,12,13,14,15,16,17,18,19},{""," TEN "," TWENTY "," THIRTY "," FOURTY "," FIFTY "," SIXTY "," SEVENTY "," EIGHTY "," NINETY "," TEN "," ELEVEN "," TWELVE "," THIRTEEN "," FOURTEEN "," FIFTEEN "," SIXTEEN"," SEVENTEEN"," EIGHTEEN "," NINETEEN "})&amp;IF((IF(INT(RIGHT(R14,7)/100000)&gt;19,INT(RIGHT(R14,7)/1000000),IF(INT(RIGHT(R14,7)/100000)&gt;=10,INT(RIGHT(R14,7)/100000),0))+IF(INT(RIGHT(R14,7)/100000)&gt;19,INT(RIGHT(R14,6)/100000),IF(INT(RIGHT(R14,7)/100000)&gt;10,0,INT(RIGHT(R14,6)/100000))))&gt;0,LOOKUP(IF(INT(RIGHT(R14,7)/100000)&gt;19,INT(RIGHT(R14,6)/100000),IF(INT(RIGHT(R14,7)/100000)&gt;10,0,INT(RIGHT(R14,6)/100000))),{0,1,2,3,4,5,6,7,8,9,10,11,12,13,14,15,16,17,18,19},{""," ONE "," TWO "," THREE "," FOUR "," FIVE "," SIX "," SEVEN "," EIGHT "," NINE "," TEN "," ELEVEN "," TWELVE "," THIRTEEN "," FOURTEEN "," FIFTEEN "," SIXTEEN"," SEVENTEEN"," EIGHTEEN "," NINETEEN "})&amp;" Lac. "," ")&amp;LOOKUP(IF(INT(RIGHT(R14,5)/1000)&gt;19,INT(RIGHT(R14,5)/10000),IF(INT(RIGHT(R14,5)/1000)&gt;=10,INT(RIGHT(R14,5)/1000),0)),{0,1,2,3,4,5,6,7,8,9,10,11,12,13,14,15,16,17,18,19},{""," TEN "," TWENTY "," THIRTY "," FOURTY "," FIFTY "," SIXTY "," SEVENTY "," EIGHTY "," NINETY "," TEN "," ELEVEN "," TWELVE "," THIRTEEN "," FOURTEEN "," FIFTEEN "," SIXTEEN"," SEVENTEEN"," EIGHTEEN "," NINETEEN "})&amp;IF((IF(INT(RIGHT(R14,5)/1000)&gt;19,INT(RIGHT(R14,4)/1000),IF(INT(RIGHT(R14,5)/1000)&gt;10,0,INT(RIGHT(R14,4)/1000)))+IF(INT(RIGHT(R14,5)/1000)&gt;19,INT(RIGHT(R14,5)/10000),IF(INT(RIGHT(R14,5)/1000)&gt;=10,INT(RIGHT(R14,5)/1000),0)))&gt;0,LOOKUP(IF(INT(RIGHT(R14,5)/1000)&gt;19,INT(RIGHT(R14,4)/1000),IF(INT(RIGHT(R14,5)/1000)&gt;10,0,INT(RIGHT(R14,4)/1000))),{0,1,2,3,4,5,6,7,8,9,10,11,12,13,14,15,16,17,18,19},{""," ONE "," TWO "," THREE "," FOUR "," FIVE "," SIX "," SEVEN "," EIGHT "," NINE "," TEN "," ELEVEN "," TWELVE "," THIRTEEN "," FOURTEEN "," FIFTEEN "," SIXTEEN"," SEVENTEEN"," EIGHTEEN "," NINETEEN "})&amp;" THOUSAND "," ")&amp;IF((INT((RIGHT(R14,3))/100))&gt;0,LOOKUP(INT((RIGHT(R14,3))/100),{0,1,2,3,4,5,6,7,8,9,10,11,12,13,14,15,16,17,18,19},{""," ONE "," TWO "," THREE "," FOUR "," FIVE "," SIX "," SEVEN "," EIGHT "," NINE "," TEN "," ELEVEN "," TWELVE "," THIRTEEN "," FOURTEEN "," FIFTEEN "," SIXTEEN"," SEVENTEEN"," EIGHTEEN "," NINETEEN "})&amp;" HUNDRED "," ")&amp;LOOKUP(IF(INT(RIGHT(R14,2))&gt;19,INT(RIGHT(R14,2)/10),IF(INT(RIGHT(R14,2))&gt;=10,INT(RIGHT(R14,2)),0)),{0,1,2,3,4,5,6,7,8,9,10,11,12,13,14,15,16,17,18,19},{""," TEN "," TWENTY "," THIRTY "," FOURTY "," FIFTY "," SIXTY "," SEVENTY "," EIGHTY "," NINETY "," TEN "," ELEVEN "," TWELVE "," THIRTEEN "," FOURTEEN "," FIFTEEN "," SIXTEEN"," SEVENTEEN"," EIGHTEEN "," NINETEEN "})&amp;LOOKUP(IF(INT(RIGHT(R14,2))&lt;10,INT(RIGHT(R14,1)),IF(INT(RIGHT(R14,2))&lt;20,0,INT(RIGHT(R14,1)))),{0,1,2,3,4,5,6,7,8,9,10,11,12,13,14,15,16,17,18,19},{""," ONE "," TWO "," THREE "," FOUR "," FIVE "," SIX "," SEVEN "," EIGHT "," NINE "," TEN "," ELEVEN "," TWELVE "," THIRTEEN "," FOURTEEN "," FIFTEEN "," SIXTEEN"," SEVENTEEN"," EIGHTEEN "," NINETEEN "})&amp;" Only)"))</f>
        <v>( Rs.   ONE  THOUSAND  EIGHT  HUNDRED  EIGHTY  Only)</v>
      </c>
      <c r="K16" s="127"/>
      <c r="L16" s="127"/>
      <c r="M16" s="127"/>
      <c r="N16" s="127"/>
      <c r="O16" s="127"/>
      <c r="P16" s="127"/>
      <c r="Q16" s="127"/>
      <c r="R16" s="127"/>
      <c r="S16" s="127"/>
      <c r="T16" s="87"/>
      <c r="U16" s="87"/>
      <c r="V16" s="87"/>
    </row>
    <row r="17" spans="1:22" ht="10.5" customHeight="1">
      <c r="A17" s="21"/>
      <c r="B17" s="10"/>
      <c r="C17" s="11"/>
      <c r="D17" s="11"/>
      <c r="E17" s="50"/>
      <c r="F17" s="50"/>
      <c r="G17" s="50"/>
      <c r="H17" s="50"/>
      <c r="I17" s="50"/>
      <c r="J17" s="51"/>
      <c r="K17" s="51"/>
      <c r="L17" s="51"/>
      <c r="M17" s="51"/>
      <c r="N17" s="51"/>
      <c r="O17" s="51"/>
      <c r="P17" s="51"/>
      <c r="Q17" s="51"/>
      <c r="R17" s="51"/>
      <c r="S17" s="51"/>
      <c r="T17" s="51"/>
      <c r="U17" s="51"/>
      <c r="V17" s="51"/>
    </row>
    <row r="18" spans="1:22" ht="20.25" customHeight="1">
      <c r="A18" s="21"/>
      <c r="B18" s="147" t="s">
        <v>5</v>
      </c>
      <c r="C18" s="147"/>
      <c r="D18" s="147"/>
      <c r="E18" s="147" t="s">
        <v>6</v>
      </c>
      <c r="F18" s="147"/>
      <c r="G18" s="147"/>
      <c r="H18" s="147" t="s">
        <v>7</v>
      </c>
      <c r="I18" s="147"/>
      <c r="J18" s="147"/>
      <c r="K18" s="145" t="s">
        <v>70</v>
      </c>
      <c r="L18" s="145"/>
      <c r="M18" s="146" t="s">
        <v>55</v>
      </c>
      <c r="N18" s="146"/>
      <c r="O18" s="32"/>
      <c r="P18" s="32"/>
      <c r="Q18" s="32"/>
      <c r="R18" s="32"/>
      <c r="S18" s="11"/>
      <c r="T18" s="11"/>
      <c r="U18" s="11"/>
      <c r="V18" s="11"/>
    </row>
    <row r="19" spans="1:22" ht="18.75">
      <c r="A19" s="21"/>
      <c r="B19" s="69" t="s">
        <v>52</v>
      </c>
      <c r="C19" s="70" t="s">
        <v>50</v>
      </c>
      <c r="D19" s="69" t="s">
        <v>51</v>
      </c>
      <c r="E19" s="69" t="s">
        <v>52</v>
      </c>
      <c r="F19" s="70" t="s">
        <v>50</v>
      </c>
      <c r="G19" s="69" t="s">
        <v>51</v>
      </c>
      <c r="H19" s="69" t="s">
        <v>52</v>
      </c>
      <c r="I19" s="70" t="s">
        <v>50</v>
      </c>
      <c r="J19" s="69" t="s">
        <v>51</v>
      </c>
      <c r="K19" s="145"/>
      <c r="L19" s="145"/>
      <c r="M19" s="146"/>
      <c r="N19" s="146"/>
      <c r="O19" s="32"/>
      <c r="P19" s="32"/>
      <c r="Q19" s="32"/>
      <c r="R19" s="32"/>
      <c r="S19" s="11"/>
      <c r="T19" s="11"/>
      <c r="U19" s="11"/>
      <c r="V19" s="11"/>
    </row>
    <row r="20" spans="1:22" ht="18.75">
      <c r="A20" s="21"/>
      <c r="B20" s="62">
        <f>C14</f>
        <v>141000</v>
      </c>
      <c r="C20" s="62">
        <f t="shared" ref="C20:D20" si="9">D14</f>
        <v>70500</v>
      </c>
      <c r="D20" s="62">
        <f t="shared" si="9"/>
        <v>12690</v>
      </c>
      <c r="E20" s="62">
        <f>G14</f>
        <v>141000</v>
      </c>
      <c r="F20" s="62">
        <f t="shared" ref="F20:G20" si="10">H14</f>
        <v>64860</v>
      </c>
      <c r="G20" s="62">
        <f t="shared" si="10"/>
        <v>12690</v>
      </c>
      <c r="H20" s="81">
        <f>B20-E20</f>
        <v>0</v>
      </c>
      <c r="I20" s="81">
        <f t="shared" ref="I20:J20" si="11">C20-F20</f>
        <v>5640</v>
      </c>
      <c r="J20" s="81">
        <f t="shared" si="11"/>
        <v>0</v>
      </c>
      <c r="K20" s="144">
        <f>O14</f>
        <v>3760</v>
      </c>
      <c r="L20" s="144"/>
      <c r="M20" s="144">
        <f>R14</f>
        <v>1880</v>
      </c>
      <c r="N20" s="144"/>
      <c r="O20" s="32"/>
      <c r="P20" s="32"/>
      <c r="Q20" s="32"/>
      <c r="R20" s="32"/>
      <c r="S20" s="11"/>
      <c r="T20" s="11"/>
      <c r="U20" s="11"/>
      <c r="V20" s="11"/>
    </row>
    <row r="21" spans="1:22" ht="18.75">
      <c r="A21" s="21"/>
      <c r="B21" s="58"/>
      <c r="C21" s="58"/>
      <c r="D21" s="58"/>
      <c r="E21" s="58"/>
      <c r="F21" s="58"/>
      <c r="G21" s="58"/>
      <c r="H21" s="59"/>
      <c r="I21" s="59"/>
      <c r="J21" s="59"/>
      <c r="K21" s="33"/>
      <c r="L21" s="33"/>
      <c r="M21" s="33"/>
      <c r="N21" s="33"/>
      <c r="O21" s="138" t="s">
        <v>42</v>
      </c>
      <c r="P21" s="138"/>
      <c r="Q21" s="138"/>
      <c r="R21" s="138"/>
      <c r="S21" s="138"/>
      <c r="T21" s="82"/>
      <c r="U21" s="82"/>
      <c r="V21" s="82"/>
    </row>
    <row r="22" spans="1:22" ht="18.75">
      <c r="A22" s="1"/>
      <c r="B22" s="24" t="s">
        <v>19</v>
      </c>
      <c r="C22" s="139"/>
      <c r="D22" s="139"/>
      <c r="E22" s="139"/>
      <c r="F22" s="139"/>
      <c r="G22" s="139"/>
      <c r="H22" s="25"/>
      <c r="I22" s="143" t="s">
        <v>20</v>
      </c>
      <c r="J22" s="143"/>
      <c r="K22" s="141"/>
      <c r="L22" s="141"/>
      <c r="M22" s="141"/>
      <c r="O22" s="138"/>
      <c r="P22" s="138"/>
      <c r="Q22" s="138"/>
      <c r="R22" s="138"/>
      <c r="S22" s="138"/>
      <c r="T22" s="82"/>
      <c r="U22" s="82"/>
      <c r="V22" s="82"/>
    </row>
    <row r="23" spans="1:22" ht="18.75">
      <c r="A23" s="1"/>
      <c r="B23" s="140" t="s">
        <v>21</v>
      </c>
      <c r="C23" s="140"/>
      <c r="D23" s="140"/>
      <c r="E23" s="140"/>
      <c r="F23" s="140"/>
      <c r="G23" s="140"/>
      <c r="H23" s="140"/>
      <c r="I23" s="27"/>
      <c r="J23" s="26"/>
      <c r="K23" s="26"/>
      <c r="L23" s="26"/>
      <c r="M23" s="26"/>
    </row>
    <row r="24" spans="1:22" ht="18.75">
      <c r="A24" s="22">
        <v>1</v>
      </c>
      <c r="B24" s="142" t="s">
        <v>22</v>
      </c>
      <c r="C24" s="142"/>
      <c r="D24" s="142"/>
      <c r="E24" s="142"/>
      <c r="F24" s="142"/>
      <c r="G24" s="142"/>
      <c r="H24" s="142"/>
      <c r="I24" s="28"/>
      <c r="J24" s="26"/>
      <c r="K24" s="26"/>
      <c r="L24" s="26"/>
      <c r="M24" s="26"/>
    </row>
    <row r="25" spans="1:22" ht="18.75">
      <c r="A25" s="2">
        <v>2</v>
      </c>
      <c r="B25" s="142" t="s">
        <v>23</v>
      </c>
      <c r="C25" s="142"/>
      <c r="D25" s="142"/>
      <c r="E25" s="142"/>
      <c r="F25" s="142"/>
      <c r="G25" s="132" t="str">
        <f>IF(AND(D3=""),"",CONCATENATE(J3,",","  ",P3))</f>
        <v>SEEMA CHHABA,  LECTURER</v>
      </c>
      <c r="H25" s="132"/>
      <c r="I25" s="132"/>
      <c r="J25" s="132"/>
      <c r="K25" s="132"/>
      <c r="L25" s="132"/>
      <c r="M25" s="132"/>
    </row>
    <row r="26" spans="1:22" ht="18.75">
      <c r="A26" s="3">
        <v>3</v>
      </c>
      <c r="B26" s="142" t="s">
        <v>24</v>
      </c>
      <c r="C26" s="142"/>
      <c r="D26" s="142"/>
      <c r="E26" s="29"/>
      <c r="F26" s="28"/>
      <c r="G26" s="28"/>
      <c r="H26" s="30"/>
      <c r="I26" s="31"/>
      <c r="J26" s="26"/>
      <c r="K26" s="26"/>
      <c r="L26" s="26"/>
      <c r="M26" s="26"/>
    </row>
    <row r="27" spans="1:22" ht="15.75">
      <c r="O27" s="138" t="s">
        <v>42</v>
      </c>
      <c r="P27" s="138"/>
      <c r="Q27" s="138"/>
      <c r="R27" s="138"/>
      <c r="S27" s="138"/>
      <c r="T27" s="82"/>
      <c r="U27" s="82"/>
      <c r="V27" s="82"/>
    </row>
  </sheetData>
  <sheetProtection password="C1FB" sheet="1" objects="1" scenarios="1" formatColumns="0" formatRows="0"/>
  <mergeCells count="36">
    <mergeCell ref="K20:L20"/>
    <mergeCell ref="M20:N20"/>
    <mergeCell ref="O21:S21"/>
    <mergeCell ref="K18:L19"/>
    <mergeCell ref="B26:D26"/>
    <mergeCell ref="O22:S22"/>
    <mergeCell ref="M18:N19"/>
    <mergeCell ref="B18:D18"/>
    <mergeCell ref="E18:G18"/>
    <mergeCell ref="H18:J18"/>
    <mergeCell ref="O27:S27"/>
    <mergeCell ref="C22:G22"/>
    <mergeCell ref="B23:H23"/>
    <mergeCell ref="K22:M22"/>
    <mergeCell ref="B25:F25"/>
    <mergeCell ref="I22:J22"/>
    <mergeCell ref="G25:M25"/>
    <mergeCell ref="B24:H24"/>
    <mergeCell ref="A14:B14"/>
    <mergeCell ref="A5:A6"/>
    <mergeCell ref="B5:B6"/>
    <mergeCell ref="K5:N5"/>
    <mergeCell ref="C5:F5"/>
    <mergeCell ref="G5:J5"/>
    <mergeCell ref="A1:S1"/>
    <mergeCell ref="A2:S2"/>
    <mergeCell ref="J3:N3"/>
    <mergeCell ref="P3:S3"/>
    <mergeCell ref="E3:I3"/>
    <mergeCell ref="J15:S15"/>
    <mergeCell ref="C15:I15"/>
    <mergeCell ref="C16:I16"/>
    <mergeCell ref="J16:S16"/>
    <mergeCell ref="R5:R6"/>
    <mergeCell ref="S5:S6"/>
    <mergeCell ref="O5:Q5"/>
  </mergeCells>
  <pageMargins left="0.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dimension ref="A1:AA27"/>
  <sheetViews>
    <sheetView showGridLines="0" view="pageBreakPreview" zoomScaleSheetLayoutView="100" workbookViewId="0">
      <selection activeCell="U15" sqref="U14:U15"/>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22" width="10.5" style="4" customWidth="1"/>
    <col min="23" max="27" width="9.125" style="4" hidden="1" customWidth="1"/>
    <col min="28" max="28" width="0" style="4" hidden="1" customWidth="1"/>
    <col min="29" max="16384" width="9.125" style="4"/>
  </cols>
  <sheetData>
    <row r="1" spans="1:27" ht="18" customHeight="1">
      <c r="A1" s="148" t="s">
        <v>92</v>
      </c>
      <c r="B1" s="148"/>
      <c r="C1" s="148"/>
      <c r="D1" s="148"/>
      <c r="E1" s="148"/>
      <c r="F1" s="148"/>
      <c r="G1" s="148"/>
      <c r="H1" s="148"/>
      <c r="I1" s="148"/>
      <c r="J1" s="148"/>
      <c r="K1" s="148"/>
      <c r="L1" s="148"/>
      <c r="M1" s="148"/>
      <c r="N1" s="148"/>
      <c r="O1" s="148"/>
      <c r="P1" s="148"/>
      <c r="Q1" s="148"/>
      <c r="R1" s="148"/>
      <c r="S1" s="148"/>
      <c r="T1" s="86"/>
      <c r="U1" s="86"/>
      <c r="V1" s="86"/>
      <c r="W1" s="4">
        <f>IF(ISNA(VLOOKUP($D$3,Master!A$8:N$127,4,FALSE)),"",VLOOKUP($D$3,Master!A$8:AH$127,4,FALSE))</f>
        <v>2</v>
      </c>
      <c r="X1" s="4" t="str">
        <f>IF(ISNA(VLOOKUP($D$3,Master!A$8:N$127,6,FALSE)),"",VLOOKUP($D$3,Master!A$8:AH$127,6,FALSE))</f>
        <v>GPF</v>
      </c>
      <c r="Y1" s="4" t="s">
        <v>45</v>
      </c>
      <c r="Z1" s="4" t="s">
        <v>18</v>
      </c>
      <c r="AA1" s="4">
        <f>IF(ISNA(VLOOKUP($D$3,Master!A$8:N$127,7,FALSE)),"",VLOOKUP($D$3,Master!A$8:AH$127,7,FALSE))</f>
        <v>0</v>
      </c>
    </row>
    <row r="2" spans="1:27" ht="18">
      <c r="A2" s="131" t="str">
        <f>IF(AND(Master!C3=""),"",CONCATENATE("Office Of  ",Master!C3))</f>
        <v>Office Of  Mahatma Gandhi Government School (English Medium) BAR , Pali</v>
      </c>
      <c r="B2" s="131"/>
      <c r="C2" s="131"/>
      <c r="D2" s="131"/>
      <c r="E2" s="131"/>
      <c r="F2" s="131"/>
      <c r="G2" s="131"/>
      <c r="H2" s="131"/>
      <c r="I2" s="131"/>
      <c r="J2" s="131"/>
      <c r="K2" s="131"/>
      <c r="L2" s="131"/>
      <c r="M2" s="131"/>
      <c r="N2" s="131"/>
      <c r="O2" s="131"/>
      <c r="P2" s="131"/>
      <c r="Q2" s="131"/>
      <c r="R2" s="131"/>
      <c r="S2" s="131"/>
      <c r="T2" s="85"/>
      <c r="U2" s="85"/>
      <c r="V2" s="85"/>
      <c r="X2" s="4">
        <f>IF(ISNA(VLOOKUP($D$3,Master!A$8:N$127,8,FALSE)),"",VLOOKUP($D$3,Master!A$8:AH$127,8,FALSE))</f>
        <v>45292</v>
      </c>
      <c r="Y2" s="4" t="s">
        <v>43</v>
      </c>
    </row>
    <row r="3" spans="1:27" ht="18.75">
      <c r="C3" s="61" t="s">
        <v>49</v>
      </c>
      <c r="D3" s="64">
        <v>5</v>
      </c>
      <c r="E3" s="133" t="s">
        <v>10</v>
      </c>
      <c r="F3" s="133"/>
      <c r="G3" s="133"/>
      <c r="H3" s="133"/>
      <c r="I3" s="133"/>
      <c r="J3" s="132" t="str">
        <f>IF(ISNA(VLOOKUP($D$3,Master!A$8:N$127,2,FALSE)),"",VLOOKUP($D$3,Master!A$8:AH$127,2,FALSE))</f>
        <v>HEERA LAL JAT</v>
      </c>
      <c r="K3" s="132"/>
      <c r="L3" s="132"/>
      <c r="M3" s="132"/>
      <c r="N3" s="132"/>
      <c r="O3" s="60" t="s">
        <v>31</v>
      </c>
      <c r="P3" s="132" t="str">
        <f>IF(ISNA(VLOOKUP($D$3,Master!A$8:N$127,3,FALSE)),"",VLOOKUP($D$3,Master!A$8:AH$127,3,FALSE))</f>
        <v>Sr. Teacher</v>
      </c>
      <c r="Q3" s="132"/>
      <c r="R3" s="132"/>
      <c r="S3" s="132"/>
      <c r="T3" s="83"/>
      <c r="U3" s="83"/>
      <c r="V3" s="83"/>
    </row>
    <row r="4" spans="1:27" ht="15.75" customHeight="1">
      <c r="E4" s="91"/>
      <c r="F4" s="52"/>
      <c r="G4" s="22"/>
      <c r="H4" s="22"/>
      <c r="I4" s="22"/>
      <c r="J4" s="5"/>
      <c r="K4" s="5"/>
      <c r="L4" s="5"/>
      <c r="M4" s="5"/>
      <c r="N4" s="5"/>
      <c r="O4" s="6"/>
      <c r="P4" s="6"/>
    </row>
    <row r="5" spans="1:27" ht="24.75" customHeight="1">
      <c r="A5" s="136" t="s">
        <v>0</v>
      </c>
      <c r="B5" s="137" t="s">
        <v>3</v>
      </c>
      <c r="C5" s="134" t="s">
        <v>5</v>
      </c>
      <c r="D5" s="134"/>
      <c r="E5" s="134"/>
      <c r="F5" s="134"/>
      <c r="G5" s="134" t="s">
        <v>6</v>
      </c>
      <c r="H5" s="134"/>
      <c r="I5" s="134"/>
      <c r="J5" s="134"/>
      <c r="K5" s="134" t="s">
        <v>7</v>
      </c>
      <c r="L5" s="134"/>
      <c r="M5" s="134"/>
      <c r="N5" s="134"/>
      <c r="O5" s="134" t="s">
        <v>8</v>
      </c>
      <c r="P5" s="134"/>
      <c r="Q5" s="134"/>
      <c r="R5" s="129" t="s">
        <v>54</v>
      </c>
      <c r="S5" s="129" t="s">
        <v>40</v>
      </c>
      <c r="T5" s="88"/>
      <c r="U5" s="88"/>
      <c r="V5" s="88"/>
    </row>
    <row r="6" spans="1:27" ht="69" customHeight="1">
      <c r="A6" s="136"/>
      <c r="B6" s="137"/>
      <c r="C6" s="92" t="s">
        <v>29</v>
      </c>
      <c r="D6" s="93" t="s">
        <v>1</v>
      </c>
      <c r="E6" s="94" t="s">
        <v>2</v>
      </c>
      <c r="F6" s="92" t="s">
        <v>46</v>
      </c>
      <c r="G6" s="92" t="s">
        <v>29</v>
      </c>
      <c r="H6" s="93" t="s">
        <v>1</v>
      </c>
      <c r="I6" s="94" t="s">
        <v>2</v>
      </c>
      <c r="J6" s="92" t="s">
        <v>47</v>
      </c>
      <c r="K6" s="92" t="s">
        <v>4</v>
      </c>
      <c r="L6" s="93" t="s">
        <v>1</v>
      </c>
      <c r="M6" s="94" t="s">
        <v>2</v>
      </c>
      <c r="N6" s="95" t="s">
        <v>48</v>
      </c>
      <c r="O6" s="96" t="str">
        <f>IF(X1="GPF","GPF ","GPF-2004 ")</f>
        <v xml:space="preserve">GPF </v>
      </c>
      <c r="P6" s="97" t="s">
        <v>41</v>
      </c>
      <c r="Q6" s="95" t="s">
        <v>53</v>
      </c>
      <c r="R6" s="129"/>
      <c r="S6" s="129"/>
      <c r="T6" s="88"/>
      <c r="U6" s="88"/>
      <c r="V6" s="88"/>
    </row>
    <row r="7" spans="1:27" ht="18" customHeight="1">
      <c r="A7" s="98">
        <v>1</v>
      </c>
      <c r="B7" s="98">
        <v>2</v>
      </c>
      <c r="C7" s="98">
        <v>3</v>
      </c>
      <c r="D7" s="98">
        <v>4</v>
      </c>
      <c r="E7" s="98">
        <v>5</v>
      </c>
      <c r="F7" s="98">
        <v>6</v>
      </c>
      <c r="G7" s="98">
        <v>7</v>
      </c>
      <c r="H7" s="98">
        <v>8</v>
      </c>
      <c r="I7" s="98">
        <v>9</v>
      </c>
      <c r="J7" s="98">
        <v>10</v>
      </c>
      <c r="K7" s="98">
        <v>11</v>
      </c>
      <c r="L7" s="98">
        <v>12</v>
      </c>
      <c r="M7" s="98">
        <v>13</v>
      </c>
      <c r="N7" s="98">
        <v>14</v>
      </c>
      <c r="O7" s="98">
        <v>15</v>
      </c>
      <c r="P7" s="98">
        <v>17</v>
      </c>
      <c r="Q7" s="98">
        <v>18</v>
      </c>
      <c r="R7" s="98">
        <v>19</v>
      </c>
      <c r="S7" s="98">
        <v>20</v>
      </c>
      <c r="T7" s="89"/>
      <c r="U7" s="89"/>
      <c r="V7" s="89"/>
    </row>
    <row r="8" spans="1:27" ht="21" customHeight="1">
      <c r="A8" s="99">
        <v>1</v>
      </c>
      <c r="B8" s="100">
        <f>IF(AND($D$3=""),"",X8)</f>
        <v>45292</v>
      </c>
      <c r="C8" s="101">
        <f>IF(ISNA(VLOOKUP(D3,Master!A$8:N$127,5,FALSE)),"",VLOOKUP($D$3,Master!A$8:AH$127,5,FALSE))</f>
        <v>55500</v>
      </c>
      <c r="D8" s="101">
        <f>IF(AND(C8=""),"",IF(AND($D$3=""),"",ROUND(C8*Master!C$5%,0)))</f>
        <v>27750</v>
      </c>
      <c r="E8" s="101">
        <f>IF(AND(C8=""),"",IF(AND($D$3=""),"",ROUND(C8*Master!H$5%,0)))</f>
        <v>4995</v>
      </c>
      <c r="F8" s="101">
        <f t="shared" ref="F8:F13" si="0">IF(AND(C8=""),"",SUM(C8:E8))</f>
        <v>88245</v>
      </c>
      <c r="G8" s="101">
        <f>IF(ISNA(VLOOKUP($D$3,Master!A$8:N$127,5,FALSE)),"",VLOOKUP($D$3,Master!A$8:AH$127,5,FALSE))</f>
        <v>55500</v>
      </c>
      <c r="H8" s="101">
        <f>IF(AND(G8=""),"",IF(AND($D$3=""),"",ROUND(G8*Master!C$4%,0)))</f>
        <v>25530</v>
      </c>
      <c r="I8" s="101">
        <f>IF(AND(G8=""),"",IF(AND($D$3=""),"",ROUND(G8*Master!H$4%,0)))</f>
        <v>4995</v>
      </c>
      <c r="J8" s="101">
        <f t="shared" ref="J8:J13" si="1">IF(AND(C8=""),"",SUM(G8:I8))</f>
        <v>86025</v>
      </c>
      <c r="K8" s="101">
        <f t="shared" ref="K8:N13" si="2">IF(AND(C8=""),"",IF(AND(G8=""),"",C8-G8))</f>
        <v>0</v>
      </c>
      <c r="L8" s="101">
        <f t="shared" si="2"/>
        <v>2220</v>
      </c>
      <c r="M8" s="101">
        <f t="shared" si="2"/>
        <v>0</v>
      </c>
      <c r="N8" s="101">
        <f t="shared" si="2"/>
        <v>2220</v>
      </c>
      <c r="O8" s="101">
        <f>IF(AND(C8=""),"",IF(OR(B8=$Y$8,B8=$Y$9),N8-P8,"0"))</f>
        <v>2220</v>
      </c>
      <c r="P8" s="101">
        <f t="shared" ref="P8:P13" si="3">IF(AND($D$3=""),"",IF(AND(N8=""),"",ROUND(N8*AA$1%,0)))</f>
        <v>0</v>
      </c>
      <c r="Q8" s="101">
        <f>IF(AND($D$3=""),"",IF(AND(C8=""),"",IF(AND(O8=""),"",SUM(O8,P8))))</f>
        <v>2220</v>
      </c>
      <c r="R8" s="101">
        <f>IF(AND(N8=""),"",IF(AND(Q8=""),"",N8-Q8))</f>
        <v>0</v>
      </c>
      <c r="S8" s="102"/>
      <c r="T8" s="90"/>
      <c r="U8" s="90"/>
      <c r="V8" s="90"/>
      <c r="X8" s="23">
        <f>IF(ISNA(VLOOKUP($D$3,Master!A$8:N$127,8,FALSE)),"",VLOOKUP($D$3,Master!A$8:AH$127,8,FALSE))</f>
        <v>45292</v>
      </c>
      <c r="Y8" s="23">
        <v>45292</v>
      </c>
    </row>
    <row r="9" spans="1:27" ht="21" customHeight="1">
      <c r="A9" s="99">
        <v>2</v>
      </c>
      <c r="B9" s="100">
        <f>IF(AND($D$3=""),"",IF(AND($W$1&lt;2),"",X9))</f>
        <v>45323</v>
      </c>
      <c r="C9" s="101">
        <f>IF(AND($D$3=""),"",IF(AND($W$1&lt;2),"",C8))</f>
        <v>55500</v>
      </c>
      <c r="D9" s="101">
        <f>IF(AND(C9=""),"",IF(AND($D$3=""),"",ROUND(C9*Master!C$5%,0)))</f>
        <v>27750</v>
      </c>
      <c r="E9" s="101">
        <f>IF(AND(C9=""),"",IF(AND($D$3=""),"",ROUND(C9*Master!H$5%,0)))</f>
        <v>4995</v>
      </c>
      <c r="F9" s="101">
        <f t="shared" si="0"/>
        <v>88245</v>
      </c>
      <c r="G9" s="101">
        <f>IF(AND($D$3=""),"",IF(AND(W1&lt;2),"",G8))</f>
        <v>55500</v>
      </c>
      <c r="H9" s="101">
        <f>IF(AND(G9=""),"",IF(AND($D$3=""),"",ROUND(G9*Master!C$4%,0)))</f>
        <v>25530</v>
      </c>
      <c r="I9" s="101">
        <f>IF(AND(G9=""),"",IF(AND($D$3=""),"",ROUND(G9*Master!H$4%,0)))</f>
        <v>4995</v>
      </c>
      <c r="J9" s="101">
        <f t="shared" si="1"/>
        <v>86025</v>
      </c>
      <c r="K9" s="101">
        <f t="shared" si="2"/>
        <v>0</v>
      </c>
      <c r="L9" s="101">
        <f t="shared" si="2"/>
        <v>2220</v>
      </c>
      <c r="M9" s="101">
        <f t="shared" si="2"/>
        <v>0</v>
      </c>
      <c r="N9" s="101">
        <f t="shared" si="2"/>
        <v>2220</v>
      </c>
      <c r="O9" s="101">
        <f t="shared" ref="O9:O13" si="4">IF(AND(C9=""),"",IF(OR(B9=$Y$8,B9=$Y$9),N9-P9,"0"))</f>
        <v>2220</v>
      </c>
      <c r="P9" s="101">
        <f t="shared" si="3"/>
        <v>0</v>
      </c>
      <c r="Q9" s="101">
        <f t="shared" ref="Q9:Q13" si="5">IF(AND($D$3=""),"",IF(AND(C9=""),"",IF(AND(O9=""),"",SUM(O9,P9))))</f>
        <v>2220</v>
      </c>
      <c r="R9" s="101">
        <f t="shared" ref="R9:R13" si="6">IF(AND(N9=""),"",IF(AND(Q9=""),"",N9-Q9))</f>
        <v>0</v>
      </c>
      <c r="S9" s="102"/>
      <c r="T9" s="90"/>
      <c r="U9" s="90"/>
      <c r="V9" s="90"/>
      <c r="X9" s="23">
        <f>DATE(YEAR(X8),MONTH(X8)+1,DAY(X8))</f>
        <v>45323</v>
      </c>
      <c r="Y9" s="23">
        <v>45323</v>
      </c>
    </row>
    <row r="10" spans="1:27" ht="21" customHeight="1">
      <c r="A10" s="99">
        <v>3</v>
      </c>
      <c r="B10" s="100" t="str">
        <f>IF(AND($D$3=""),"",IF(AND($W$1&lt;3),"",X10))</f>
        <v/>
      </c>
      <c r="C10" s="101" t="str">
        <f>IF(AND($D$3=""),"",IF(AND($W$1&lt;3),"",C9))</f>
        <v/>
      </c>
      <c r="D10" s="101" t="str">
        <f>IF(AND(C10=""),"",IF(AND($D$3=""),"",ROUND(C10*Master!C$5%,0)))</f>
        <v/>
      </c>
      <c r="E10" s="101" t="str">
        <f>IF(AND(C10=""),"",IF(AND($D$3=""),"",ROUND(C10*Master!H$5%,0)))</f>
        <v/>
      </c>
      <c r="F10" s="101" t="str">
        <f t="shared" si="0"/>
        <v/>
      </c>
      <c r="G10" s="101" t="str">
        <f>IF(AND($D$3=""),"",IF(AND(W1&lt;3),"",G9))</f>
        <v/>
      </c>
      <c r="H10" s="101" t="str">
        <f>IF(AND(G10=""),"",IF(AND($D$3=""),"",ROUND(G10*Master!C$4%,0)))</f>
        <v/>
      </c>
      <c r="I10" s="101" t="str">
        <f>IF(AND(G10=""),"",IF(AND($D$3=""),"",ROUND(G10*Master!H$4%,0)))</f>
        <v/>
      </c>
      <c r="J10" s="101" t="str">
        <f t="shared" si="1"/>
        <v/>
      </c>
      <c r="K10" s="101" t="str">
        <f>IF(AND(C10=""),"",IF(AND(G10=""),"",C10-G10))</f>
        <v/>
      </c>
      <c r="L10" s="101" t="str">
        <f t="shared" si="2"/>
        <v/>
      </c>
      <c r="M10" s="101" t="str">
        <f t="shared" si="2"/>
        <v/>
      </c>
      <c r="N10" s="101" t="str">
        <f t="shared" si="2"/>
        <v/>
      </c>
      <c r="O10" s="101" t="str">
        <f t="shared" si="4"/>
        <v/>
      </c>
      <c r="P10" s="101" t="str">
        <f t="shared" si="3"/>
        <v/>
      </c>
      <c r="Q10" s="101" t="str">
        <f t="shared" si="5"/>
        <v/>
      </c>
      <c r="R10" s="101" t="str">
        <f t="shared" si="6"/>
        <v/>
      </c>
      <c r="S10" s="102"/>
      <c r="T10" s="90"/>
      <c r="U10" s="90"/>
      <c r="V10" s="90"/>
      <c r="X10" s="23">
        <f t="shared" ref="X10:X14" si="7">DATE(YEAR(X9),MONTH(X9)+1,DAY(X9))</f>
        <v>45352</v>
      </c>
    </row>
    <row r="11" spans="1:27" ht="21" customHeight="1">
      <c r="A11" s="99">
        <v>4</v>
      </c>
      <c r="B11" s="100" t="str">
        <f>IF(AND($D$3=""),"",IF(AND($W$1&lt;4),"",X11))</f>
        <v/>
      </c>
      <c r="C11" s="101" t="str">
        <f>IF(AND($D$3=""),"",IF(AND($W$1&lt;4),"",C10))</f>
        <v/>
      </c>
      <c r="D11" s="101" t="str">
        <f>IF(AND(C11=""),"",IF(AND($D$3=""),"",ROUND(C11*Master!C$5%,0)))</f>
        <v/>
      </c>
      <c r="E11" s="101" t="str">
        <f>IF(AND(C11=""),"",IF(AND($D$3=""),"",ROUND(C11*Master!H$5%,0)))</f>
        <v/>
      </c>
      <c r="F11" s="101" t="str">
        <f t="shared" si="0"/>
        <v/>
      </c>
      <c r="G11" s="101" t="str">
        <f>IF(AND($D$3=""),"",IF(AND(W1&lt;4),"",G10))</f>
        <v/>
      </c>
      <c r="H11" s="101" t="str">
        <f>IF(AND(G11=""),"",IF(AND($D$3=""),"",ROUND(G11*Master!C$4%,0)))</f>
        <v/>
      </c>
      <c r="I11" s="101" t="str">
        <f>IF(AND(G11=""),"",IF(AND($D$3=""),"",ROUND(G11*Master!H$4%,0)))</f>
        <v/>
      </c>
      <c r="J11" s="101" t="str">
        <f t="shared" si="1"/>
        <v/>
      </c>
      <c r="K11" s="101" t="str">
        <f t="shared" si="2"/>
        <v/>
      </c>
      <c r="L11" s="101" t="str">
        <f t="shared" si="2"/>
        <v/>
      </c>
      <c r="M11" s="101" t="str">
        <f t="shared" si="2"/>
        <v/>
      </c>
      <c r="N11" s="101" t="str">
        <f t="shared" si="2"/>
        <v/>
      </c>
      <c r="O11" s="101" t="str">
        <f t="shared" si="4"/>
        <v/>
      </c>
      <c r="P11" s="101" t="str">
        <f t="shared" si="3"/>
        <v/>
      </c>
      <c r="Q11" s="101" t="str">
        <f t="shared" si="5"/>
        <v/>
      </c>
      <c r="R11" s="101" t="str">
        <f t="shared" si="6"/>
        <v/>
      </c>
      <c r="S11" s="102"/>
      <c r="T11" s="90"/>
      <c r="U11" s="90"/>
      <c r="V11" s="90"/>
      <c r="X11" s="23">
        <f t="shared" si="7"/>
        <v>45383</v>
      </c>
    </row>
    <row r="12" spans="1:27" ht="21" customHeight="1">
      <c r="A12" s="99">
        <v>5</v>
      </c>
      <c r="B12" s="100" t="str">
        <f>IF(AND($D$3=""),"",IF(AND($W$1&lt;5),"",X12))</f>
        <v/>
      </c>
      <c r="C12" s="101" t="str">
        <f>IF(AND($D$3=""),"",IF(AND($W$1&lt;5),"",C11))</f>
        <v/>
      </c>
      <c r="D12" s="101" t="str">
        <f>IF(AND(C12=""),"",IF(AND($D$3=""),"",ROUND(C12*Master!C$5%,0)))</f>
        <v/>
      </c>
      <c r="E12" s="101" t="str">
        <f>IF(AND(C12=""),"",IF(AND($D$3=""),"",ROUND(C12*Master!H$5%,0)))</f>
        <v/>
      </c>
      <c r="F12" s="101" t="str">
        <f t="shared" si="0"/>
        <v/>
      </c>
      <c r="G12" s="101" t="str">
        <f>IF(AND($D$3=""),"",IF(AND(W1&lt;5),"",G11))</f>
        <v/>
      </c>
      <c r="H12" s="101" t="str">
        <f>IF(AND(G12=""),"",IF(AND($D$3=""),"",ROUND(G12*Master!C$4%,0)))</f>
        <v/>
      </c>
      <c r="I12" s="101" t="str">
        <f>IF(AND(G12=""),"",IF(AND($D$3=""),"",ROUND(G12*Master!H$4%,0)))</f>
        <v/>
      </c>
      <c r="J12" s="101" t="str">
        <f t="shared" si="1"/>
        <v/>
      </c>
      <c r="K12" s="101" t="str">
        <f t="shared" si="2"/>
        <v/>
      </c>
      <c r="L12" s="101" t="str">
        <f t="shared" si="2"/>
        <v/>
      </c>
      <c r="M12" s="101" t="str">
        <f t="shared" si="2"/>
        <v/>
      </c>
      <c r="N12" s="101" t="str">
        <f t="shared" si="2"/>
        <v/>
      </c>
      <c r="O12" s="101" t="str">
        <f t="shared" si="4"/>
        <v/>
      </c>
      <c r="P12" s="101" t="str">
        <f t="shared" si="3"/>
        <v/>
      </c>
      <c r="Q12" s="101" t="str">
        <f t="shared" si="5"/>
        <v/>
      </c>
      <c r="R12" s="101" t="str">
        <f t="shared" si="6"/>
        <v/>
      </c>
      <c r="S12" s="102"/>
      <c r="T12" s="90"/>
      <c r="U12" s="90"/>
      <c r="V12" s="90"/>
      <c r="X12" s="23">
        <f t="shared" si="7"/>
        <v>45413</v>
      </c>
    </row>
    <row r="13" spans="1:27" ht="21" customHeight="1">
      <c r="A13" s="99">
        <v>6</v>
      </c>
      <c r="B13" s="100" t="str">
        <f>IF(AND($D$3=""),"",IF(AND($W$1&lt;6),"",X13))</f>
        <v/>
      </c>
      <c r="C13" s="101" t="str">
        <f>IF(AND($D$3=""),"",IF(AND($W$1&lt;6),"",C12))</f>
        <v/>
      </c>
      <c r="D13" s="101" t="str">
        <f>IF(AND(C13=""),"",IF(AND($D$3=""),"",ROUND(C13*Master!C$5%,0)))</f>
        <v/>
      </c>
      <c r="E13" s="101" t="str">
        <f>IF(AND(C13=""),"",IF(AND($D$3=""),"",ROUND(C13*Master!H$5%,0)))</f>
        <v/>
      </c>
      <c r="F13" s="101" t="str">
        <f t="shared" si="0"/>
        <v/>
      </c>
      <c r="G13" s="101" t="str">
        <f>IF(AND($D$3=""),"",IF(AND(W1&lt;6),"",G12))</f>
        <v/>
      </c>
      <c r="H13" s="101" t="str">
        <f>IF(AND(G13=""),"",IF(AND($D$3=""),"",ROUND(G13*Master!C$4%,0)))</f>
        <v/>
      </c>
      <c r="I13" s="101" t="str">
        <f>IF(AND(G13=""),"",IF(AND($D$3=""),"",ROUND(G13*Master!H$4%,0)))</f>
        <v/>
      </c>
      <c r="J13" s="101" t="str">
        <f t="shared" si="1"/>
        <v/>
      </c>
      <c r="K13" s="101" t="str">
        <f t="shared" si="2"/>
        <v/>
      </c>
      <c r="L13" s="101" t="str">
        <f t="shared" si="2"/>
        <v/>
      </c>
      <c r="M13" s="101" t="str">
        <f t="shared" si="2"/>
        <v/>
      </c>
      <c r="N13" s="101" t="str">
        <f t="shared" si="2"/>
        <v/>
      </c>
      <c r="O13" s="101" t="str">
        <f t="shared" si="4"/>
        <v/>
      </c>
      <c r="P13" s="101" t="str">
        <f t="shared" si="3"/>
        <v/>
      </c>
      <c r="Q13" s="101" t="str">
        <f t="shared" si="5"/>
        <v/>
      </c>
      <c r="R13" s="101" t="str">
        <f t="shared" si="6"/>
        <v/>
      </c>
      <c r="S13" s="102"/>
      <c r="T13" s="90"/>
      <c r="U13" s="90"/>
      <c r="V13" s="90"/>
      <c r="X13" s="23">
        <f t="shared" si="7"/>
        <v>45444</v>
      </c>
    </row>
    <row r="14" spans="1:27" ht="30.75" customHeight="1">
      <c r="A14" s="135" t="s">
        <v>9</v>
      </c>
      <c r="B14" s="135"/>
      <c r="C14" s="103">
        <f>IF(AND($D$3=""),"",SUM(C8:C13))</f>
        <v>111000</v>
      </c>
      <c r="D14" s="103">
        <f t="shared" ref="D14:R14" si="8">IF(AND($D$3=""),"",SUM(D8:D13))</f>
        <v>55500</v>
      </c>
      <c r="E14" s="103">
        <f t="shared" si="8"/>
        <v>9990</v>
      </c>
      <c r="F14" s="103">
        <f t="shared" si="8"/>
        <v>176490</v>
      </c>
      <c r="G14" s="103">
        <f t="shared" si="8"/>
        <v>111000</v>
      </c>
      <c r="H14" s="103">
        <f t="shared" si="8"/>
        <v>51060</v>
      </c>
      <c r="I14" s="103">
        <f t="shared" si="8"/>
        <v>9990</v>
      </c>
      <c r="J14" s="103">
        <f t="shared" si="8"/>
        <v>172050</v>
      </c>
      <c r="K14" s="103">
        <f t="shared" si="8"/>
        <v>0</v>
      </c>
      <c r="L14" s="103">
        <f t="shared" si="8"/>
        <v>4440</v>
      </c>
      <c r="M14" s="103">
        <f t="shared" si="8"/>
        <v>0</v>
      </c>
      <c r="N14" s="103">
        <f t="shared" si="8"/>
        <v>4440</v>
      </c>
      <c r="O14" s="103">
        <f t="shared" si="8"/>
        <v>4440</v>
      </c>
      <c r="P14" s="103">
        <f t="shared" si="8"/>
        <v>0</v>
      </c>
      <c r="Q14" s="103">
        <f t="shared" si="8"/>
        <v>4440</v>
      </c>
      <c r="R14" s="103">
        <f t="shared" si="8"/>
        <v>0</v>
      </c>
      <c r="S14" s="104"/>
      <c r="T14" s="75"/>
      <c r="U14" s="75"/>
      <c r="V14" s="75"/>
      <c r="X14" s="23">
        <f t="shared" si="7"/>
        <v>45474</v>
      </c>
    </row>
    <row r="15" spans="1:27" ht="25.5" customHeight="1">
      <c r="A15" s="21"/>
      <c r="B15" s="10"/>
      <c r="C15" s="128" t="str">
        <f>IF(X1="GPF","Amount in Words Deposite in GPF  :-","Amount in Words Deposite in GPF-2004  :-")</f>
        <v>Amount in Words Deposite in GPF  :-</v>
      </c>
      <c r="D15" s="128"/>
      <c r="E15" s="128"/>
      <c r="F15" s="128"/>
      <c r="G15" s="128"/>
      <c r="H15" s="128"/>
      <c r="I15" s="128"/>
      <c r="J15" s="127"/>
      <c r="K15" s="127"/>
      <c r="L15" s="127"/>
      <c r="M15" s="127"/>
      <c r="N15" s="127"/>
      <c r="O15" s="127"/>
      <c r="P15" s="127"/>
      <c r="Q15" s="127"/>
      <c r="R15" s="127"/>
      <c r="S15" s="127"/>
      <c r="T15" s="87"/>
      <c r="U15" s="87"/>
      <c r="V15" s="87"/>
    </row>
    <row r="16" spans="1:27" ht="23.25" customHeight="1">
      <c r="A16" s="21"/>
      <c r="B16" s="10"/>
      <c r="C16" s="128" t="s">
        <v>57</v>
      </c>
      <c r="D16" s="128"/>
      <c r="E16" s="128"/>
      <c r="F16" s="128"/>
      <c r="G16" s="128"/>
      <c r="H16" s="128"/>
      <c r="I16" s="128"/>
      <c r="J16" s="127"/>
      <c r="K16" s="127"/>
      <c r="L16" s="127"/>
      <c r="M16" s="127"/>
      <c r="N16" s="127"/>
      <c r="O16" s="127"/>
      <c r="P16" s="127"/>
      <c r="Q16" s="127"/>
      <c r="R16" s="127"/>
      <c r="S16" s="127"/>
      <c r="T16" s="87"/>
      <c r="U16" s="87"/>
      <c r="V16" s="87"/>
    </row>
    <row r="17" spans="1:22" ht="10.5" customHeight="1">
      <c r="A17" s="21"/>
      <c r="B17" s="10"/>
      <c r="C17" s="11"/>
      <c r="D17" s="11"/>
      <c r="E17" s="50"/>
      <c r="F17" s="50"/>
      <c r="G17" s="50"/>
      <c r="H17" s="50"/>
      <c r="I17" s="50"/>
      <c r="J17" s="51"/>
      <c r="K17" s="51"/>
      <c r="L17" s="51"/>
      <c r="M17" s="51"/>
      <c r="N17" s="51"/>
      <c r="O17" s="51"/>
      <c r="P17" s="51"/>
      <c r="Q17" s="51"/>
      <c r="R17" s="51"/>
      <c r="S17" s="51"/>
      <c r="T17" s="51"/>
      <c r="U17" s="51"/>
      <c r="V17" s="51"/>
    </row>
    <row r="18" spans="1:22" ht="20.25" customHeight="1">
      <c r="A18" s="21"/>
      <c r="B18" s="147" t="s">
        <v>5</v>
      </c>
      <c r="C18" s="147"/>
      <c r="D18" s="147"/>
      <c r="E18" s="147" t="s">
        <v>6</v>
      </c>
      <c r="F18" s="147"/>
      <c r="G18" s="147"/>
      <c r="H18" s="147" t="s">
        <v>7</v>
      </c>
      <c r="I18" s="147"/>
      <c r="J18" s="147"/>
      <c r="K18" s="145" t="s">
        <v>70</v>
      </c>
      <c r="L18" s="145"/>
      <c r="M18" s="146" t="s">
        <v>55</v>
      </c>
      <c r="N18" s="146"/>
      <c r="O18" s="66"/>
      <c r="P18" s="66"/>
      <c r="Q18" s="66"/>
      <c r="R18" s="66"/>
      <c r="S18" s="11"/>
      <c r="T18" s="11"/>
      <c r="U18" s="11"/>
      <c r="V18" s="11"/>
    </row>
    <row r="19" spans="1:22" ht="18.75">
      <c r="A19" s="21"/>
      <c r="B19" s="69" t="s">
        <v>52</v>
      </c>
      <c r="C19" s="70" t="s">
        <v>50</v>
      </c>
      <c r="D19" s="69" t="s">
        <v>51</v>
      </c>
      <c r="E19" s="69" t="s">
        <v>52</v>
      </c>
      <c r="F19" s="70" t="s">
        <v>50</v>
      </c>
      <c r="G19" s="69" t="s">
        <v>51</v>
      </c>
      <c r="H19" s="69" t="s">
        <v>52</v>
      </c>
      <c r="I19" s="70" t="s">
        <v>50</v>
      </c>
      <c r="J19" s="69" t="s">
        <v>51</v>
      </c>
      <c r="K19" s="145"/>
      <c r="L19" s="145"/>
      <c r="M19" s="146"/>
      <c r="N19" s="146"/>
      <c r="O19" s="66"/>
      <c r="P19" s="66"/>
      <c r="Q19" s="66"/>
      <c r="R19" s="66"/>
      <c r="S19" s="11"/>
      <c r="T19" s="11"/>
      <c r="U19" s="11"/>
      <c r="V19" s="11"/>
    </row>
    <row r="20" spans="1:22" ht="18.75">
      <c r="A20" s="21"/>
      <c r="B20" s="80">
        <f>C14</f>
        <v>111000</v>
      </c>
      <c r="C20" s="80">
        <f t="shared" ref="C20:D20" si="9">D14</f>
        <v>55500</v>
      </c>
      <c r="D20" s="80">
        <f t="shared" si="9"/>
        <v>9990</v>
      </c>
      <c r="E20" s="80">
        <f>G14</f>
        <v>111000</v>
      </c>
      <c r="F20" s="80">
        <f t="shared" ref="F20:G20" si="10">H14</f>
        <v>51060</v>
      </c>
      <c r="G20" s="80">
        <f t="shared" si="10"/>
        <v>9990</v>
      </c>
      <c r="H20" s="81">
        <f>B20-E20</f>
        <v>0</v>
      </c>
      <c r="I20" s="81">
        <f t="shared" ref="I20:J20" si="11">C20-F20</f>
        <v>4440</v>
      </c>
      <c r="J20" s="81">
        <f t="shared" si="11"/>
        <v>0</v>
      </c>
      <c r="K20" s="144">
        <f>O14</f>
        <v>4440</v>
      </c>
      <c r="L20" s="144"/>
      <c r="M20" s="144">
        <f>R14</f>
        <v>0</v>
      </c>
      <c r="N20" s="144"/>
      <c r="O20" s="66"/>
      <c r="P20" s="66"/>
      <c r="Q20" s="66"/>
      <c r="R20" s="66"/>
      <c r="S20" s="11"/>
      <c r="T20" s="11"/>
      <c r="U20" s="11"/>
      <c r="V20" s="11"/>
    </row>
    <row r="21" spans="1:22" ht="18.75">
      <c r="A21" s="21"/>
      <c r="B21" s="58"/>
      <c r="C21" s="58"/>
      <c r="D21" s="58"/>
      <c r="E21" s="58"/>
      <c r="F21" s="58"/>
      <c r="G21" s="58"/>
      <c r="H21" s="59"/>
      <c r="I21" s="59"/>
      <c r="J21" s="59"/>
      <c r="K21" s="66"/>
      <c r="L21" s="66"/>
      <c r="M21" s="66"/>
      <c r="N21" s="66"/>
      <c r="O21" s="138" t="s">
        <v>42</v>
      </c>
      <c r="P21" s="138"/>
      <c r="Q21" s="138"/>
      <c r="R21" s="138"/>
      <c r="S21" s="138"/>
      <c r="T21" s="82"/>
      <c r="U21" s="82"/>
      <c r="V21" s="82"/>
    </row>
    <row r="22" spans="1:22" ht="18.75">
      <c r="A22" s="1"/>
      <c r="B22" s="24" t="s">
        <v>19</v>
      </c>
      <c r="C22" s="139"/>
      <c r="D22" s="139"/>
      <c r="E22" s="139"/>
      <c r="F22" s="139"/>
      <c r="G22" s="139"/>
      <c r="H22" s="25"/>
      <c r="I22" s="143" t="s">
        <v>20</v>
      </c>
      <c r="J22" s="143"/>
      <c r="K22" s="141"/>
      <c r="L22" s="141"/>
      <c r="M22" s="141"/>
      <c r="O22" s="138"/>
      <c r="P22" s="138"/>
      <c r="Q22" s="138"/>
      <c r="R22" s="138"/>
      <c r="S22" s="138"/>
      <c r="T22" s="82"/>
      <c r="U22" s="82"/>
      <c r="V22" s="82"/>
    </row>
    <row r="23" spans="1:22" ht="18.75">
      <c r="A23" s="1"/>
      <c r="B23" s="140" t="s">
        <v>21</v>
      </c>
      <c r="C23" s="140"/>
      <c r="D23" s="140"/>
      <c r="E23" s="140"/>
      <c r="F23" s="140"/>
      <c r="G23" s="140"/>
      <c r="H23" s="140"/>
      <c r="I23" s="27"/>
      <c r="J23" s="26"/>
      <c r="K23" s="26"/>
      <c r="L23" s="26"/>
      <c r="M23" s="26"/>
    </row>
    <row r="24" spans="1:22" ht="18.75">
      <c r="A24" s="22">
        <v>1</v>
      </c>
      <c r="B24" s="142" t="s">
        <v>22</v>
      </c>
      <c r="C24" s="142"/>
      <c r="D24" s="142"/>
      <c r="E24" s="142"/>
      <c r="F24" s="142"/>
      <c r="G24" s="142"/>
      <c r="H24" s="142"/>
      <c r="I24" s="28"/>
      <c r="J24" s="26"/>
      <c r="K24" s="26"/>
      <c r="L24" s="26"/>
      <c r="M24" s="26"/>
    </row>
    <row r="25" spans="1:22" ht="18.75">
      <c r="A25" s="2">
        <v>2</v>
      </c>
      <c r="B25" s="142" t="s">
        <v>23</v>
      </c>
      <c r="C25" s="142"/>
      <c r="D25" s="142"/>
      <c r="E25" s="142"/>
      <c r="F25" s="142"/>
      <c r="G25" s="132" t="str">
        <f>IF(AND(D3=""),"",CONCATENATE(J3,",","  ",P3))</f>
        <v>HEERA LAL JAT,  Sr. Teacher</v>
      </c>
      <c r="H25" s="132"/>
      <c r="I25" s="132"/>
      <c r="J25" s="132"/>
      <c r="K25" s="132"/>
      <c r="L25" s="132"/>
      <c r="M25" s="132"/>
    </row>
    <row r="26" spans="1:22" ht="18.75">
      <c r="A26" s="3">
        <v>3</v>
      </c>
      <c r="B26" s="142" t="s">
        <v>24</v>
      </c>
      <c r="C26" s="142"/>
      <c r="D26" s="142"/>
      <c r="E26" s="29"/>
      <c r="F26" s="28"/>
      <c r="G26" s="28"/>
      <c r="H26" s="30"/>
      <c r="I26" s="31"/>
      <c r="J26" s="26"/>
      <c r="K26" s="26"/>
      <c r="L26" s="26"/>
      <c r="M26" s="26"/>
    </row>
    <row r="27" spans="1:22" ht="15.75">
      <c r="O27" s="138" t="s">
        <v>42</v>
      </c>
      <c r="P27" s="138"/>
      <c r="Q27" s="138"/>
      <c r="R27" s="138"/>
      <c r="S27" s="138"/>
      <c r="T27" s="82"/>
      <c r="U27" s="82"/>
      <c r="V27" s="82"/>
    </row>
  </sheetData>
  <sheetProtection formatCells="0" formatColumns="0" formatRows="0" insertColumns="0" insertRows="0" insertHyperlinks="0" deleteColumns="0" deleteRows="0" autoFilter="0"/>
  <mergeCells count="36">
    <mergeCell ref="E3:I3"/>
    <mergeCell ref="J3:N3"/>
    <mergeCell ref="A1:S1"/>
    <mergeCell ref="A2:S2"/>
    <mergeCell ref="P3:S3"/>
    <mergeCell ref="O27:S27"/>
    <mergeCell ref="C5:F5"/>
    <mergeCell ref="G5:J5"/>
    <mergeCell ref="K5:N5"/>
    <mergeCell ref="O5:Q5"/>
    <mergeCell ref="C15:I15"/>
    <mergeCell ref="J15:S15"/>
    <mergeCell ref="B18:D18"/>
    <mergeCell ref="E18:G18"/>
    <mergeCell ref="H18:J18"/>
    <mergeCell ref="K18:L19"/>
    <mergeCell ref="M18:N19"/>
    <mergeCell ref="K20:L20"/>
    <mergeCell ref="M20:N20"/>
    <mergeCell ref="O21:S21"/>
    <mergeCell ref="C22:G22"/>
    <mergeCell ref="O22:S22"/>
    <mergeCell ref="B23:H23"/>
    <mergeCell ref="B24:H24"/>
    <mergeCell ref="A5:A6"/>
    <mergeCell ref="B5:B6"/>
    <mergeCell ref="R5:R6"/>
    <mergeCell ref="S5:S6"/>
    <mergeCell ref="A14:B14"/>
    <mergeCell ref="C16:I16"/>
    <mergeCell ref="J16:S16"/>
    <mergeCell ref="B25:F25"/>
    <mergeCell ref="G25:M25"/>
    <mergeCell ref="B26:D26"/>
    <mergeCell ref="I22:J22"/>
    <mergeCell ref="K22:M22"/>
  </mergeCells>
  <pageMargins left="0.7" right="0.25" top="0.25" bottom="0.25" header="0.3" footer="0.3"/>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AB18"/>
  <sheetViews>
    <sheetView showGridLines="0" view="pageBreakPreview" topLeftCell="C1" zoomScale="110" zoomScaleSheetLayoutView="110" workbookViewId="0">
      <selection activeCell="V10" sqref="V10"/>
    </sheetView>
  </sheetViews>
  <sheetFormatPr defaultColWidth="9.125" defaultRowHeight="15"/>
  <cols>
    <col min="1" max="1" width="4.125" style="4" customWidth="1"/>
    <col min="2" max="2" width="14.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18" customHeight="1">
      <c r="A1" s="148" t="s">
        <v>90</v>
      </c>
      <c r="B1" s="148"/>
      <c r="C1" s="148"/>
      <c r="D1" s="148"/>
      <c r="E1" s="148"/>
      <c r="F1" s="148"/>
      <c r="G1" s="148"/>
      <c r="H1" s="148"/>
      <c r="I1" s="148"/>
      <c r="J1" s="148"/>
      <c r="K1" s="148"/>
      <c r="L1" s="148"/>
      <c r="M1" s="148"/>
      <c r="N1" s="148"/>
      <c r="O1" s="148"/>
      <c r="P1" s="148"/>
      <c r="Q1" s="148"/>
      <c r="R1" s="148"/>
      <c r="S1" s="148"/>
      <c r="W1" s="4">
        <f>IF(ISNA(VLOOKUP($D$3,Master!A$8:N$127,4,FALSE)),"",VLOOKUP($D$3,Master!A$8:AH$127,4,FALSE))</f>
        <v>2</v>
      </c>
      <c r="X1" s="4" t="str">
        <f>IF(ISNA(VLOOKUP($D$3,Master!A$8:N$127,6,FALSE)),"",VLOOKUP($D$3,Master!A$8:AH$127,6,FALSE))</f>
        <v>GPF</v>
      </c>
      <c r="Y1" s="4" t="s">
        <v>45</v>
      </c>
      <c r="Z1" s="4" t="s">
        <v>18</v>
      </c>
      <c r="AA1" s="4">
        <f>IF(ISNA(VLOOKUP($D$3,Master!A$8:N$127,7,FALSE)),"",VLOOKUP($D$3,Master!A$8:AH$127,7,FALSE))</f>
        <v>0</v>
      </c>
    </row>
    <row r="2" spans="1:27" ht="18">
      <c r="A2" s="131" t="str">
        <f>IF(AND(Master!C3=""),"",CONCATENATE("Office Of  ",Master!C3))</f>
        <v>Office Of  Mahatma Gandhi Government School (English Medium) BAR , Pali</v>
      </c>
      <c r="B2" s="131"/>
      <c r="C2" s="131"/>
      <c r="D2" s="131"/>
      <c r="E2" s="131"/>
      <c r="F2" s="131"/>
      <c r="G2" s="131"/>
      <c r="H2" s="131"/>
      <c r="I2" s="131"/>
      <c r="J2" s="131"/>
      <c r="K2" s="131"/>
      <c r="L2" s="131"/>
      <c r="M2" s="131"/>
      <c r="N2" s="131"/>
      <c r="O2" s="131"/>
      <c r="P2" s="131"/>
      <c r="Q2" s="131"/>
      <c r="R2" s="131"/>
      <c r="S2" s="131"/>
      <c r="X2" s="4">
        <f>IF(ISNA(VLOOKUP($D$3,Master!A$8:N$127,8,FALSE)),"",VLOOKUP($D$3,Master!A$8:AH$127,8,FALSE))</f>
        <v>45292</v>
      </c>
      <c r="Y2" s="4" t="s">
        <v>43</v>
      </c>
    </row>
    <row r="3" spans="1:27" ht="18.75">
      <c r="C3" s="61" t="s">
        <v>49</v>
      </c>
      <c r="D3" s="64">
        <v>5</v>
      </c>
      <c r="E3" s="133" t="s">
        <v>10</v>
      </c>
      <c r="F3" s="133"/>
      <c r="G3" s="133"/>
      <c r="H3" s="133"/>
      <c r="I3" s="133"/>
      <c r="J3" s="132" t="str">
        <f>IF(ISNA(VLOOKUP($D$3,Master!A$8:N$127,2,FALSE)),"",VLOOKUP($D$3,Master!A$8:AH$127,2,FALSE))</f>
        <v>HEERA LAL JAT</v>
      </c>
      <c r="K3" s="132"/>
      <c r="L3" s="132"/>
      <c r="M3" s="132"/>
      <c r="N3" s="132"/>
      <c r="O3" s="60" t="s">
        <v>31</v>
      </c>
      <c r="P3" s="132" t="str">
        <f>IF(ISNA(VLOOKUP($D$3,Master!A$8:N$127,3,FALSE)),"",VLOOKUP($D$3,Master!A$8:AH$127,3,FALSE))</f>
        <v>Sr. Teacher</v>
      </c>
      <c r="Q3" s="132"/>
      <c r="R3" s="132"/>
      <c r="S3" s="132"/>
    </row>
    <row r="4" spans="1:27" ht="15.75" customHeight="1">
      <c r="E4" s="19"/>
      <c r="F4" s="52"/>
      <c r="G4" s="22"/>
      <c r="H4" s="22"/>
      <c r="I4" s="22"/>
      <c r="J4" s="5"/>
      <c r="K4" s="5"/>
      <c r="L4" s="5"/>
      <c r="M4" s="5"/>
      <c r="N4" s="5"/>
      <c r="O4" s="6"/>
      <c r="P4" s="6"/>
    </row>
    <row r="5" spans="1:27" ht="24.75" customHeight="1">
      <c r="A5" s="157" t="s">
        <v>59</v>
      </c>
      <c r="B5" s="158" t="s">
        <v>3</v>
      </c>
      <c r="C5" s="159" t="s">
        <v>5</v>
      </c>
      <c r="D5" s="159"/>
      <c r="E5" s="159"/>
      <c r="F5" s="159"/>
      <c r="G5" s="159" t="s">
        <v>6</v>
      </c>
      <c r="H5" s="159"/>
      <c r="I5" s="159"/>
      <c r="J5" s="159"/>
      <c r="K5" s="159" t="s">
        <v>7</v>
      </c>
      <c r="L5" s="159"/>
      <c r="M5" s="159"/>
      <c r="N5" s="159"/>
      <c r="O5" s="149" t="s">
        <v>8</v>
      </c>
      <c r="P5" s="150"/>
      <c r="Q5" s="151"/>
      <c r="R5" s="152" t="s">
        <v>61</v>
      </c>
      <c r="S5" s="152" t="s">
        <v>40</v>
      </c>
    </row>
    <row r="6" spans="1:27" ht="69" customHeight="1">
      <c r="A6" s="157"/>
      <c r="B6" s="158"/>
      <c r="C6" s="57" t="s">
        <v>29</v>
      </c>
      <c r="D6" s="67" t="s">
        <v>1</v>
      </c>
      <c r="E6" s="68" t="s">
        <v>2</v>
      </c>
      <c r="F6" s="65" t="s">
        <v>46</v>
      </c>
      <c r="G6" s="57" t="s">
        <v>29</v>
      </c>
      <c r="H6" s="67" t="s">
        <v>1</v>
      </c>
      <c r="I6" s="68" t="s">
        <v>2</v>
      </c>
      <c r="J6" s="65" t="s">
        <v>47</v>
      </c>
      <c r="K6" s="57" t="s">
        <v>4</v>
      </c>
      <c r="L6" s="67" t="s">
        <v>1</v>
      </c>
      <c r="M6" s="68" t="s">
        <v>2</v>
      </c>
      <c r="N6" s="65" t="s">
        <v>60</v>
      </c>
      <c r="O6" s="53" t="str">
        <f>IF(X1="GPF","GPF ","GPF-2004 ")</f>
        <v xml:space="preserve">GPF </v>
      </c>
      <c r="P6" s="65" t="s">
        <v>41</v>
      </c>
      <c r="Q6" s="65" t="s">
        <v>53</v>
      </c>
      <c r="R6" s="152"/>
      <c r="S6" s="152"/>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t="s">
        <v>58</v>
      </c>
      <c r="C8" s="9">
        <f>IF(ISNA(VLOOKUP(D3,Master!A$8:N$127,5,FALSE)),"",VLOOKUP($D$3,Master!A$8:AH$127,5,FALSE))/2</f>
        <v>27750</v>
      </c>
      <c r="D8" s="9">
        <f>IF(AND(C8=""),"",IF(AND($D$3=""),"",ROUND(C8*Master!C$5%,0)))</f>
        <v>13875</v>
      </c>
      <c r="E8" s="9"/>
      <c r="F8" s="9">
        <f t="shared" ref="F8" si="0">IF(AND(C8=""),"",SUM(C8:E8))</f>
        <v>41625</v>
      </c>
      <c r="G8" s="9">
        <f>IF(ISNA(VLOOKUP($D$3,Master!A$8:N$127,5,FALSE)),"",VLOOKUP($D$3,Master!A$8:AH$127,5,FALSE))/2</f>
        <v>27750</v>
      </c>
      <c r="H8" s="9">
        <f>IF(AND(G8=""),"",IF(AND($D$3=""),"",ROUND(G8*Master!C$4%,0)))</f>
        <v>12765</v>
      </c>
      <c r="I8" s="9"/>
      <c r="J8" s="9">
        <f t="shared" ref="J8" si="1">IF(AND(C8=""),"",SUM(G8:I8))</f>
        <v>40515</v>
      </c>
      <c r="K8" s="9">
        <f t="shared" ref="K8:N8" si="2">IF(AND(C8=""),"",IF(AND(G8=""),"",C8-G8))</f>
        <v>0</v>
      </c>
      <c r="L8" s="9">
        <f t="shared" si="2"/>
        <v>1110</v>
      </c>
      <c r="M8" s="9" t="str">
        <f t="shared" si="2"/>
        <v/>
      </c>
      <c r="N8" s="9">
        <f t="shared" si="2"/>
        <v>1110</v>
      </c>
      <c r="O8" s="9">
        <f>IF(AND(C8=""),"",IF(AND(C8="",D8=""),"0",N8-P8))</f>
        <v>1110</v>
      </c>
      <c r="P8" s="9">
        <f t="shared" ref="P8" si="3">IF(AND($D$3=""),"",IF(AND(N8=""),"",ROUND(N8*AA$1%,0)))</f>
        <v>0</v>
      </c>
      <c r="Q8" s="9">
        <f>IF(AND($D$3=""),"",IF(AND(C8=""),"",IF(AND(O8=""),"",SUM(O8,P8))))</f>
        <v>1110</v>
      </c>
      <c r="R8" s="9">
        <f>IF(AND(N8=""),"",IF(AND(Q8=""),"",N8-Q8))</f>
        <v>0</v>
      </c>
      <c r="S8" s="20"/>
      <c r="X8" s="23">
        <v>44562</v>
      </c>
    </row>
    <row r="9" spans="1:27" ht="30.75" customHeight="1">
      <c r="A9" s="153" t="s">
        <v>9</v>
      </c>
      <c r="B9" s="154"/>
      <c r="C9" s="63">
        <f t="shared" ref="C9:R9" si="4">IF(AND($D$3=""),"",SUM(C8:C8))</f>
        <v>27750</v>
      </c>
      <c r="D9" s="63">
        <f t="shared" si="4"/>
        <v>13875</v>
      </c>
      <c r="E9" s="63">
        <f t="shared" si="4"/>
        <v>0</v>
      </c>
      <c r="F9" s="63">
        <f t="shared" si="4"/>
        <v>41625</v>
      </c>
      <c r="G9" s="63">
        <f t="shared" si="4"/>
        <v>27750</v>
      </c>
      <c r="H9" s="63">
        <f t="shared" si="4"/>
        <v>12765</v>
      </c>
      <c r="I9" s="63">
        <f t="shared" si="4"/>
        <v>0</v>
      </c>
      <c r="J9" s="63">
        <f t="shared" si="4"/>
        <v>40515</v>
      </c>
      <c r="K9" s="63">
        <f t="shared" si="4"/>
        <v>0</v>
      </c>
      <c r="L9" s="63">
        <f t="shared" si="4"/>
        <v>1110</v>
      </c>
      <c r="M9" s="63">
        <f t="shared" si="4"/>
        <v>0</v>
      </c>
      <c r="N9" s="63">
        <f t="shared" si="4"/>
        <v>1110</v>
      </c>
      <c r="O9" s="63">
        <f t="shared" si="4"/>
        <v>1110</v>
      </c>
      <c r="P9" s="63">
        <f t="shared" si="4"/>
        <v>0</v>
      </c>
      <c r="Q9" s="63">
        <f t="shared" si="4"/>
        <v>1110</v>
      </c>
      <c r="R9" s="63">
        <f t="shared" si="4"/>
        <v>0</v>
      </c>
      <c r="S9" s="49"/>
      <c r="X9" s="23">
        <v>44743</v>
      </c>
    </row>
    <row r="10" spans="1:27" ht="18.75">
      <c r="A10" s="21"/>
      <c r="B10" s="10"/>
      <c r="C10" s="155" t="str">
        <f>IF(X1="GPF","Amount in Words Deposite in GPF  :-","Amount in Words Deposite in GPF-2004  :-")</f>
        <v>Amount in Words Deposite in GPF  :-</v>
      </c>
      <c r="D10" s="155"/>
      <c r="E10" s="155"/>
      <c r="F10" s="155"/>
      <c r="G10" s="155"/>
      <c r="H10" s="155"/>
      <c r="I10" s="155"/>
      <c r="J10" s="156"/>
      <c r="K10" s="156"/>
      <c r="L10" s="156"/>
      <c r="M10" s="156"/>
      <c r="N10" s="156"/>
      <c r="O10" s="156"/>
      <c r="P10" s="156"/>
      <c r="Q10" s="156"/>
      <c r="R10" s="156"/>
      <c r="S10" s="156"/>
    </row>
    <row r="11" spans="1:27" ht="18.75">
      <c r="A11" s="21"/>
      <c r="B11" s="10"/>
      <c r="C11" s="128" t="s">
        <v>57</v>
      </c>
      <c r="D11" s="128"/>
      <c r="E11" s="128"/>
      <c r="F11" s="128"/>
      <c r="G11" s="128"/>
      <c r="H11" s="128"/>
      <c r="I11" s="128"/>
      <c r="J11" s="127"/>
      <c r="K11" s="127"/>
      <c r="L11" s="127"/>
      <c r="M11" s="127"/>
      <c r="N11" s="127"/>
      <c r="O11" s="127"/>
      <c r="P11" s="127"/>
      <c r="Q11" s="127"/>
      <c r="R11" s="127"/>
      <c r="S11" s="127"/>
    </row>
    <row r="12" spans="1:27" ht="18.75">
      <c r="A12" s="21"/>
      <c r="B12" s="58"/>
      <c r="C12" s="58"/>
      <c r="D12" s="58"/>
      <c r="E12" s="58"/>
      <c r="F12" s="58"/>
      <c r="G12" s="58"/>
      <c r="H12" s="59"/>
      <c r="I12" s="59"/>
      <c r="J12" s="59"/>
      <c r="K12" s="66"/>
      <c r="L12" s="66"/>
      <c r="M12" s="66"/>
      <c r="N12" s="66"/>
      <c r="O12" s="138"/>
      <c r="P12" s="138"/>
      <c r="Q12" s="138"/>
      <c r="R12" s="138"/>
      <c r="S12" s="138"/>
    </row>
    <row r="13" spans="1:27" ht="18.75">
      <c r="A13" s="1"/>
      <c r="B13" s="24" t="s">
        <v>19</v>
      </c>
      <c r="C13" s="139"/>
      <c r="D13" s="139"/>
      <c r="E13" s="139"/>
      <c r="F13" s="139"/>
      <c r="G13" s="139"/>
      <c r="H13" s="25"/>
      <c r="I13" s="143" t="s">
        <v>20</v>
      </c>
      <c r="J13" s="143"/>
      <c r="K13" s="141"/>
      <c r="L13" s="141"/>
      <c r="M13" s="141"/>
      <c r="O13" s="138" t="s">
        <v>42</v>
      </c>
      <c r="P13" s="138"/>
      <c r="Q13" s="138"/>
      <c r="R13" s="138"/>
      <c r="S13" s="138"/>
    </row>
    <row r="14" spans="1:27" ht="18.75">
      <c r="A14" s="1"/>
      <c r="B14" s="140" t="s">
        <v>21</v>
      </c>
      <c r="C14" s="140"/>
      <c r="D14" s="140"/>
      <c r="E14" s="140"/>
      <c r="F14" s="140"/>
      <c r="G14" s="140"/>
      <c r="H14" s="140"/>
      <c r="I14" s="27"/>
      <c r="J14" s="26"/>
      <c r="K14" s="26"/>
      <c r="L14" s="26"/>
      <c r="M14" s="26"/>
    </row>
    <row r="15" spans="1:27" ht="18.75">
      <c r="A15" s="22">
        <v>1</v>
      </c>
      <c r="B15" s="142" t="s">
        <v>22</v>
      </c>
      <c r="C15" s="142"/>
      <c r="D15" s="142"/>
      <c r="E15" s="142"/>
      <c r="F15" s="142"/>
      <c r="G15" s="142"/>
      <c r="H15" s="142"/>
      <c r="I15" s="28"/>
      <c r="J15" s="26"/>
      <c r="K15" s="26"/>
      <c r="L15" s="26"/>
      <c r="M15" s="26"/>
    </row>
    <row r="16" spans="1:27" ht="18.75">
      <c r="A16" s="2">
        <v>2</v>
      </c>
      <c r="B16" s="142" t="s">
        <v>23</v>
      </c>
      <c r="C16" s="142"/>
      <c r="D16" s="142"/>
      <c r="E16" s="142"/>
      <c r="F16" s="142"/>
      <c r="G16" s="132" t="str">
        <f>IF(AND(D3=""),"",CONCATENATE(J3,",","  ",P3))</f>
        <v>HEERA LAL JAT,  Sr. Teacher</v>
      </c>
      <c r="H16" s="132"/>
      <c r="I16" s="132"/>
      <c r="J16" s="132"/>
      <c r="K16" s="132"/>
      <c r="L16" s="132"/>
      <c r="M16" s="132"/>
    </row>
    <row r="17" spans="1:19" ht="18.75">
      <c r="A17" s="3">
        <v>3</v>
      </c>
      <c r="B17" s="142" t="s">
        <v>24</v>
      </c>
      <c r="C17" s="142"/>
      <c r="D17" s="142"/>
      <c r="E17" s="29"/>
      <c r="F17" s="28"/>
      <c r="G17" s="28"/>
      <c r="H17" s="30"/>
      <c r="I17" s="31"/>
      <c r="J17" s="26"/>
      <c r="K17" s="26"/>
      <c r="L17" s="26"/>
      <c r="M17" s="26"/>
    </row>
    <row r="18" spans="1:19" ht="15.75">
      <c r="O18" s="138" t="s">
        <v>42</v>
      </c>
      <c r="P18" s="138"/>
      <c r="Q18" s="138"/>
      <c r="R18" s="138"/>
      <c r="S18" s="138"/>
    </row>
  </sheetData>
  <mergeCells count="29">
    <mergeCell ref="E3:I3"/>
    <mergeCell ref="J3:N3"/>
    <mergeCell ref="A1:S1"/>
    <mergeCell ref="A2:S2"/>
    <mergeCell ref="P3:S3"/>
    <mergeCell ref="A9:B9"/>
    <mergeCell ref="C10:I10"/>
    <mergeCell ref="J10:S10"/>
    <mergeCell ref="A5:A6"/>
    <mergeCell ref="B5:B6"/>
    <mergeCell ref="C5:F5"/>
    <mergeCell ref="G5:J5"/>
    <mergeCell ref="K5:N5"/>
    <mergeCell ref="C11:I11"/>
    <mergeCell ref="J11:S11"/>
    <mergeCell ref="O5:Q5"/>
    <mergeCell ref="R5:R6"/>
    <mergeCell ref="S5:S6"/>
    <mergeCell ref="O12:S12"/>
    <mergeCell ref="C13:G13"/>
    <mergeCell ref="I13:J13"/>
    <mergeCell ref="K13:M13"/>
    <mergeCell ref="O13:S13"/>
    <mergeCell ref="O18:S18"/>
    <mergeCell ref="B14:H14"/>
    <mergeCell ref="B15:H15"/>
    <mergeCell ref="B16:F16"/>
    <mergeCell ref="G16:M16"/>
    <mergeCell ref="B17:D17"/>
  </mergeCells>
  <pageMargins left="0.7" right="0.45" top="0.75" bottom="0.75" header="0.3" footer="0.3"/>
  <pageSetup paperSize="9" scale="90"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AB1230"/>
  <sheetViews>
    <sheetView showGridLines="0" view="pageBreakPreview" zoomScale="110" zoomScaleNormal="96" zoomScaleSheetLayoutView="110" workbookViewId="0">
      <selection activeCell="V12" sqref="V12"/>
    </sheetView>
  </sheetViews>
  <sheetFormatPr defaultColWidth="9.125" defaultRowHeight="15"/>
  <cols>
    <col min="1" max="1" width="5.375" style="4" customWidth="1"/>
    <col min="2" max="2" width="9.25" style="4" customWidth="1"/>
    <col min="3" max="3" width="8.75" style="4" customWidth="1"/>
    <col min="4" max="16" width="7.875" style="4" customWidth="1"/>
    <col min="17" max="17" width="9" style="4" customWidth="1"/>
    <col min="18" max="18" width="10.375" style="4" customWidth="1"/>
    <col min="19" max="19" width="11.25" style="4" customWidth="1"/>
    <col min="20" max="22" width="9.125" style="4"/>
    <col min="23" max="28" width="9.125" style="4" hidden="1" customWidth="1"/>
    <col min="29" max="29" width="9.125" style="4" customWidth="1"/>
    <col min="30" max="16384" width="9.125" style="4"/>
  </cols>
  <sheetData>
    <row r="1" spans="1:27" ht="18" customHeight="1">
      <c r="A1" s="148" t="str">
        <f>Arrear!A1</f>
        <v xml:space="preserve">DA (46% to 50%) Drawn Statement  </v>
      </c>
      <c r="B1" s="148"/>
      <c r="C1" s="148"/>
      <c r="D1" s="148"/>
      <c r="E1" s="148"/>
      <c r="F1" s="148"/>
      <c r="G1" s="148"/>
      <c r="H1" s="148"/>
      <c r="I1" s="148"/>
      <c r="J1" s="148"/>
      <c r="K1" s="148"/>
      <c r="L1" s="148"/>
      <c r="M1" s="148"/>
      <c r="N1" s="148"/>
      <c r="O1" s="148"/>
      <c r="P1" s="148"/>
      <c r="Q1" s="148"/>
      <c r="R1" s="148"/>
      <c r="S1" s="148"/>
      <c r="W1" s="4">
        <f>IF(ISNA(VLOOKUP($Y$3,Master!A$8:N$127,4,FALSE)),"",VLOOKUP($Y$3,Master!A$8:AH$127,4,FALSE))</f>
        <v>2</v>
      </c>
      <c r="X1" s="4" t="str">
        <f>IF(ISNA(VLOOKUP($Y$3,Master!A$8:N$127,6,FALSE)),"",VLOOKUP($Y$3,Master!A$8:AH$127,6,FALSE))</f>
        <v>GPF-2004</v>
      </c>
      <c r="Y1" s="4" t="s">
        <v>45</v>
      </c>
      <c r="Z1" s="4" t="s">
        <v>18</v>
      </c>
      <c r="AA1" s="4">
        <f>IF(ISNA(VLOOKUP($Y$3,Master!A$8:N$127,7,FALSE)),"",VLOOKUP($Y$3,Master!A$8:AH$127,7,FALSE))</f>
        <v>0</v>
      </c>
    </row>
    <row r="2" spans="1:27" ht="18">
      <c r="A2" s="131" t="str">
        <f>IF(AND(Master!C3=""),"",CONCATENATE("Office Of  ",Master!C3))</f>
        <v>Office Of  Mahatma Gandhi Government School (English Medium) BAR , Pali</v>
      </c>
      <c r="B2" s="131"/>
      <c r="C2" s="131"/>
      <c r="D2" s="131"/>
      <c r="E2" s="131"/>
      <c r="F2" s="131"/>
      <c r="G2" s="131"/>
      <c r="H2" s="131"/>
      <c r="I2" s="131"/>
      <c r="J2" s="131"/>
      <c r="K2" s="131"/>
      <c r="L2" s="131"/>
      <c r="M2" s="131"/>
      <c r="N2" s="131"/>
      <c r="O2" s="131"/>
      <c r="P2" s="131"/>
      <c r="Q2" s="131"/>
      <c r="R2" s="131"/>
      <c r="S2" s="131"/>
      <c r="X2" s="4">
        <f>IF(ISNA(VLOOKUP($Y$3,Master!A$8:N$127,8,FALSE)),"",VLOOKUP($Y$3,Master!A$8:AH$127,8,FALSE))</f>
        <v>45292</v>
      </c>
      <c r="Y2" s="4" t="s">
        <v>43</v>
      </c>
      <c r="Z2" s="6"/>
    </row>
    <row r="3" spans="1:27" ht="18.75">
      <c r="E3" s="133" t="s">
        <v>10</v>
      </c>
      <c r="F3" s="133"/>
      <c r="G3" s="133"/>
      <c r="H3" s="133"/>
      <c r="I3" s="133"/>
      <c r="J3" s="132" t="str">
        <f>IF(ISNA(VLOOKUP($Y$3,Master!A$8:N$127,2,FALSE)),"",VLOOKUP($Y$3,Master!A$8:AH$127,2,FALSE))</f>
        <v>USHA PALIYA</v>
      </c>
      <c r="K3" s="132"/>
      <c r="L3" s="132"/>
      <c r="M3" s="132"/>
      <c r="N3" s="132"/>
      <c r="O3" s="60" t="s">
        <v>31</v>
      </c>
      <c r="P3" s="132" t="str">
        <f>IF(ISNA(VLOOKUP($Y$3,Master!A$8:N$127,3,FALSE)),"",VLOOKUP($Y$3,Master!A$8:AH$127,3,FALSE))</f>
        <v>PRINCIPAL</v>
      </c>
      <c r="Q3" s="132"/>
      <c r="R3" s="132"/>
      <c r="S3" s="132"/>
      <c r="X3" s="61" t="s">
        <v>49</v>
      </c>
      <c r="Y3" s="64">
        <f>IF(AND(Master!B8="",Master!E8=""),"",1)</f>
        <v>1</v>
      </c>
    </row>
    <row r="4" spans="1:27" ht="8.25" customHeight="1">
      <c r="E4" s="19"/>
      <c r="F4" s="52"/>
      <c r="G4" s="22"/>
      <c r="H4" s="22"/>
      <c r="I4" s="22"/>
      <c r="J4" s="5"/>
      <c r="K4" s="5"/>
      <c r="L4" s="5"/>
      <c r="M4" s="5"/>
      <c r="N4" s="5"/>
      <c r="O4" s="6"/>
      <c r="P4" s="6"/>
    </row>
    <row r="5" spans="1:27" ht="24.75" customHeight="1">
      <c r="A5" s="157" t="s">
        <v>0</v>
      </c>
      <c r="B5" s="158" t="s">
        <v>3</v>
      </c>
      <c r="C5" s="159" t="s">
        <v>5</v>
      </c>
      <c r="D5" s="159"/>
      <c r="E5" s="159"/>
      <c r="F5" s="159"/>
      <c r="G5" s="159" t="s">
        <v>6</v>
      </c>
      <c r="H5" s="159"/>
      <c r="I5" s="159"/>
      <c r="J5" s="159"/>
      <c r="K5" s="159" t="s">
        <v>7</v>
      </c>
      <c r="L5" s="159"/>
      <c r="M5" s="159"/>
      <c r="N5" s="159"/>
      <c r="O5" s="149" t="s">
        <v>8</v>
      </c>
      <c r="P5" s="150"/>
      <c r="Q5" s="151"/>
      <c r="R5" s="162" t="s">
        <v>54</v>
      </c>
      <c r="S5" s="162" t="s">
        <v>40</v>
      </c>
      <c r="U5" s="160" t="s">
        <v>91</v>
      </c>
      <c r="V5" s="160"/>
    </row>
    <row r="6" spans="1:27" ht="69" customHeight="1">
      <c r="A6" s="157"/>
      <c r="B6" s="158"/>
      <c r="C6" s="54" t="s">
        <v>29</v>
      </c>
      <c r="D6" s="55" t="s">
        <v>1</v>
      </c>
      <c r="E6" s="56" t="s">
        <v>2</v>
      </c>
      <c r="F6" s="54" t="s">
        <v>46</v>
      </c>
      <c r="G6" s="54" t="s">
        <v>29</v>
      </c>
      <c r="H6" s="55" t="s">
        <v>1</v>
      </c>
      <c r="I6" s="56" t="s">
        <v>2</v>
      </c>
      <c r="J6" s="54" t="s">
        <v>47</v>
      </c>
      <c r="K6" s="54" t="s">
        <v>4</v>
      </c>
      <c r="L6" s="55" t="s">
        <v>1</v>
      </c>
      <c r="M6" s="56" t="s">
        <v>2</v>
      </c>
      <c r="N6" s="57" t="s">
        <v>48</v>
      </c>
      <c r="O6" s="53" t="s">
        <v>69</v>
      </c>
      <c r="P6" s="65" t="s">
        <v>41</v>
      </c>
      <c r="Q6" s="57" t="s">
        <v>53</v>
      </c>
      <c r="R6" s="162"/>
      <c r="S6" s="162"/>
      <c r="U6" s="161" t="s">
        <v>93</v>
      </c>
      <c r="V6" s="161"/>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IFERROR(IF(ISNA(VLOOKUP(Y3,Master!A$8:N$127,8,FALSE)),"",VLOOKUP($Y$3,Master!A$8:AH$127,8,FALSE)),"")</f>
        <v>45292</v>
      </c>
      <c r="C8" s="9">
        <f>IFERROR(IF(ISNA(VLOOKUP(Y3,Master!A$8:N$127,5,FALSE)),"",VLOOKUP($Y$3,Master!A$8:AH$127,5,FALSE)),"")</f>
        <v>71400</v>
      </c>
      <c r="D8" s="9">
        <f>IF(AND(C8=""),"",IF(AND($Y$3=""),"",ROUND(C8*Master!C$5%,0)))</f>
        <v>35700</v>
      </c>
      <c r="E8" s="9">
        <f>IF(AND(C8=""),"",IF(AND($Y$3=""),"",ROUND(C8*Master!H$5%,0)))</f>
        <v>6426</v>
      </c>
      <c r="F8" s="9">
        <f t="shared" ref="F8:F10" si="0">IF(AND(C8=""),"",SUM(C8:E8))</f>
        <v>113526</v>
      </c>
      <c r="G8" s="9">
        <f>IFERROR(IF(ISNA(VLOOKUP($Y$3,Master!A$8:N$127,5,FALSE)),"",VLOOKUP($Y$3,Master!A$8:AH$127,5,FALSE)),"")</f>
        <v>71400</v>
      </c>
      <c r="H8" s="9">
        <f>IF(AND(G8=""),"",IF(AND($Y$3=""),"",ROUND(G8*Master!C$4%,0)))</f>
        <v>32844</v>
      </c>
      <c r="I8" s="9">
        <f>IF(AND(G8=""),"",IF(AND($Y$3=""),"",ROUND(G8*Master!H$4%,0)))</f>
        <v>6426</v>
      </c>
      <c r="J8" s="9">
        <f t="shared" ref="J8:J9" si="1">IF(AND(C8=""),"",SUM(G8:I8))</f>
        <v>110670</v>
      </c>
      <c r="K8" s="9">
        <f t="shared" ref="K8:N10" si="2">IF(AND(C8=""),"",IF(AND(G8=""),"",C8-G8))</f>
        <v>0</v>
      </c>
      <c r="L8" s="9">
        <f t="shared" si="2"/>
        <v>2856</v>
      </c>
      <c r="M8" s="9">
        <f t="shared" si="2"/>
        <v>0</v>
      </c>
      <c r="N8" s="9">
        <f t="shared" si="2"/>
        <v>2856</v>
      </c>
      <c r="O8" s="9">
        <f>IF(AND(C8=""),"",N8-P8)</f>
        <v>2856</v>
      </c>
      <c r="P8" s="9">
        <f>IF(AND($Y$3=""),"",IF(AND(N8=""),"",ROUND(N8*AA$1%,0)))</f>
        <v>0</v>
      </c>
      <c r="Q8" s="9">
        <f>IF(AND($Y$3=""),"",IF(AND(C8=""),"",IF(AND(O8=""),"",SUM(O8,P8))))</f>
        <v>2856</v>
      </c>
      <c r="R8" s="9">
        <f>IF(AND(N8=""),"",IF(AND(Q8=""),"",N8-Q8))</f>
        <v>0</v>
      </c>
      <c r="S8" s="20"/>
    </row>
    <row r="9" spans="1:27" ht="21" customHeight="1">
      <c r="A9" s="8">
        <v>2</v>
      </c>
      <c r="B9" s="23">
        <f>IFERROR(DATE(YEAR(B8),MONTH(B8)+1,DAY(B8)),"")</f>
        <v>45323</v>
      </c>
      <c r="C9" s="9">
        <f>IF(AND($Y$3=""),"",C8)</f>
        <v>71400</v>
      </c>
      <c r="D9" s="9">
        <f>IF(AND(C9=""),"",IF(AND($Y$3=""),"",ROUND(C9*Master!C$5%,0)))</f>
        <v>35700</v>
      </c>
      <c r="E9" s="9">
        <f>IF(AND(C9=""),"",IF(AND($Y$3=""),"",ROUND(C9*Master!H$5%,0)))</f>
        <v>6426</v>
      </c>
      <c r="F9" s="9">
        <f>IF(AND(C9=""),"",SUM(C9:E9))</f>
        <v>113526</v>
      </c>
      <c r="G9" s="9">
        <f>IF(C9="","",IF(AND($Y$3=""),"",G8))</f>
        <v>71400</v>
      </c>
      <c r="H9" s="9">
        <f>IF(AND(G9=""),"",IF(AND($Y$3=""),"",ROUND(G9*Master!C$4%,0)))</f>
        <v>32844</v>
      </c>
      <c r="I9" s="9">
        <f>IF(AND(G9=""),"",IF(AND($Y$3=""),"",ROUND(G9*Master!H$4%,0)))</f>
        <v>6426</v>
      </c>
      <c r="J9" s="9">
        <f t="shared" si="1"/>
        <v>110670</v>
      </c>
      <c r="K9" s="9">
        <f t="shared" si="2"/>
        <v>0</v>
      </c>
      <c r="L9" s="9">
        <f t="shared" si="2"/>
        <v>2856</v>
      </c>
      <c r="M9" s="9">
        <f t="shared" si="2"/>
        <v>0</v>
      </c>
      <c r="N9" s="9">
        <f t="shared" si="2"/>
        <v>2856</v>
      </c>
      <c r="O9" s="9">
        <f t="shared" ref="O9" si="3">IF(AND(C9=""),"",N9-P9)</f>
        <v>2856</v>
      </c>
      <c r="P9" s="9">
        <f>IF(AND($Y$3=""),"",IF(AND(N9=""),"",ROUND(N9*AA$1%,0)))</f>
        <v>0</v>
      </c>
      <c r="Q9" s="9">
        <f>IF(AND($Y$3=""),"",IF(AND(C9=""),"",IF(AND(O9=""),"",SUM(O9,P9))))</f>
        <v>2856</v>
      </c>
      <c r="R9" s="9">
        <f t="shared" ref="R9:R10" si="4">IF(AND(N9=""),"",IF(AND(Q9=""),"",N9-Q9))</f>
        <v>0</v>
      </c>
      <c r="S9" s="20"/>
    </row>
    <row r="10" spans="1:27" ht="21" customHeight="1">
      <c r="A10" s="8">
        <v>3</v>
      </c>
      <c r="B10" s="23">
        <f>IFERROR(DATE(YEAR(B9),MONTH(B9)+1,DAY(B9)),"")</f>
        <v>45352</v>
      </c>
      <c r="C10" s="9"/>
      <c r="D10" s="9" t="str">
        <f>IF(AND(C10=""),"",IF(AND($Y$3=""),"",ROUND(C10*Master!C$5%,0)))</f>
        <v/>
      </c>
      <c r="E10" s="9" t="str">
        <f>IF(AND(C10=""),"",IF(AND($Y$3=""),"",ROUND(C10*Master!H$5%,0)))</f>
        <v/>
      </c>
      <c r="F10" s="9" t="str">
        <f t="shared" si="0"/>
        <v/>
      </c>
      <c r="G10" s="9" t="str">
        <f t="shared" ref="G10:G11" si="5">IF(C10="","",IF(AND($Y$3=""),"",G9))</f>
        <v/>
      </c>
      <c r="H10" s="9" t="str">
        <f>IF(AND(G10=""),"",IF(AND($Y$3=""),"",ROUND(G10*Master!C$4%,0)))</f>
        <v/>
      </c>
      <c r="I10" s="9" t="str">
        <f>IF(AND(G10=""),"",IF(AND($Y$3=""),"",ROUND(G10*Master!H$4%,0)))</f>
        <v/>
      </c>
      <c r="J10" s="9" t="str">
        <f>IF(AND(C10=""),"",SUM(G10:I10))</f>
        <v/>
      </c>
      <c r="K10" s="9" t="str">
        <f t="shared" si="2"/>
        <v/>
      </c>
      <c r="L10" s="9" t="str">
        <f t="shared" si="2"/>
        <v/>
      </c>
      <c r="M10" s="9" t="str">
        <f>IF(AND(E10=""),"",IF(AND(I10=""),"",E10-I10))</f>
        <v/>
      </c>
      <c r="N10" s="9" t="str">
        <f>IF(AND(F10=""),"",IF(AND(J10=""),"",F10-J10))</f>
        <v/>
      </c>
      <c r="O10" s="9">
        <v>0</v>
      </c>
      <c r="P10" s="9" t="str">
        <f>IF(AND($Y$3=""),"",IF(AND(N10=""),"",ROUND(N10*AA$1%,0)))</f>
        <v/>
      </c>
      <c r="Q10" s="9" t="str">
        <f>IF(AND($Y$3=""),"",IF(AND(C10=""),"",IF(AND(O10=""),"",SUM(O10,P10))))</f>
        <v/>
      </c>
      <c r="R10" s="9" t="str">
        <f t="shared" si="4"/>
        <v/>
      </c>
      <c r="S10" s="20"/>
    </row>
    <row r="11" spans="1:27" ht="21" customHeight="1">
      <c r="A11" s="8">
        <v>4</v>
      </c>
      <c r="B11" s="23">
        <f>IFERROR(DATE(YEAR(B10),MONTH(B10)+1,DAY(B10)),"")</f>
        <v>45383</v>
      </c>
      <c r="C11" s="9"/>
      <c r="D11" s="9" t="str">
        <f>IF(AND(C11=""),"",IF(AND($Y$3=""),"",ROUND(C11*Master!C$5%,0)))</f>
        <v/>
      </c>
      <c r="E11" s="9" t="str">
        <f>IF(AND(C11=""),"",IF(AND($Y$3=""),"",ROUND(C11*Master!H$5%,0)))</f>
        <v/>
      </c>
      <c r="F11" s="9" t="str">
        <f t="shared" ref="F11" si="6">IF(AND(C11=""),"",SUM(C11:E11))</f>
        <v/>
      </c>
      <c r="G11" s="9" t="str">
        <f t="shared" si="5"/>
        <v/>
      </c>
      <c r="H11" s="9" t="str">
        <f>IF(AND(G11=""),"",IF(AND($Y$3=""),"",ROUND(G11*Master!C$4%,0)))</f>
        <v/>
      </c>
      <c r="I11" s="9" t="str">
        <f>IF(AND(G11=""),"",IF(AND($Y$3=""),"",ROUND(G11*Master!H$4%,0)))</f>
        <v/>
      </c>
      <c r="J11" s="9" t="str">
        <f>IF(AND(C11=""),"",SUM(G11:I11))</f>
        <v/>
      </c>
      <c r="K11" s="9" t="str">
        <f t="shared" ref="K11" si="7">IF(AND(C11=""),"",IF(AND(G11=""),"",C11-G11))</f>
        <v/>
      </c>
      <c r="L11" s="9" t="str">
        <f t="shared" ref="L11" si="8">IF(AND(D11=""),"",IF(AND(H11=""),"",D11-H11))</f>
        <v/>
      </c>
      <c r="M11" s="9" t="str">
        <f>IF(AND(E11=""),"",IF(AND(I11=""),"",E11-I11))</f>
        <v/>
      </c>
      <c r="N11" s="9" t="str">
        <f>IF(AND(F11=""),"",IF(AND(J11=""),"",F11-J11))</f>
        <v/>
      </c>
      <c r="O11" s="9">
        <v>0</v>
      </c>
      <c r="P11" s="9" t="str">
        <f>IF(AND($Y$3=""),"",IF(AND(N11=""),"",ROUND(N11*AA$1%,0)))</f>
        <v/>
      </c>
      <c r="Q11" s="9" t="str">
        <f>IF(AND($Y$3=""),"",IF(AND(C11=""),"",IF(AND(O11=""),"",SUM(O11,P11))))</f>
        <v/>
      </c>
      <c r="R11" s="9" t="str">
        <f t="shared" ref="R11" si="9">IF(AND(N11=""),"",IF(AND(Q11=""),"",N11-Q11))</f>
        <v/>
      </c>
      <c r="S11" s="20"/>
    </row>
    <row r="12" spans="1:27" ht="23.25" customHeight="1">
      <c r="A12" s="153" t="s">
        <v>9</v>
      </c>
      <c r="B12" s="154"/>
      <c r="C12" s="63">
        <f>IF(AND($Y$3=""),"",SUM(C8:C11))</f>
        <v>142800</v>
      </c>
      <c r="D12" s="63">
        <f t="shared" ref="D12:R12" si="10">IF(AND($Y$3=""),"",SUM(D8:D11))</f>
        <v>71400</v>
      </c>
      <c r="E12" s="63">
        <f t="shared" si="10"/>
        <v>12852</v>
      </c>
      <c r="F12" s="63">
        <f t="shared" si="10"/>
        <v>227052</v>
      </c>
      <c r="G12" s="63">
        <f t="shared" si="10"/>
        <v>142800</v>
      </c>
      <c r="H12" s="63">
        <f t="shared" si="10"/>
        <v>65688</v>
      </c>
      <c r="I12" s="63">
        <f t="shared" si="10"/>
        <v>12852</v>
      </c>
      <c r="J12" s="63">
        <f t="shared" si="10"/>
        <v>221340</v>
      </c>
      <c r="K12" s="63">
        <f t="shared" si="10"/>
        <v>0</v>
      </c>
      <c r="L12" s="63">
        <f t="shared" si="10"/>
        <v>5712</v>
      </c>
      <c r="M12" s="63">
        <f t="shared" si="10"/>
        <v>0</v>
      </c>
      <c r="N12" s="63">
        <f t="shared" si="10"/>
        <v>5712</v>
      </c>
      <c r="O12" s="63">
        <f t="shared" si="10"/>
        <v>5712</v>
      </c>
      <c r="P12" s="63">
        <f t="shared" si="10"/>
        <v>0</v>
      </c>
      <c r="Q12" s="63">
        <f t="shared" si="10"/>
        <v>5712</v>
      </c>
      <c r="R12" s="63">
        <f t="shared" si="10"/>
        <v>0</v>
      </c>
      <c r="S12" s="49"/>
    </row>
    <row r="13" spans="1:27" ht="10.5" customHeight="1">
      <c r="A13" s="73"/>
      <c r="B13" s="73"/>
      <c r="C13" s="74"/>
      <c r="D13" s="74"/>
      <c r="E13" s="74"/>
      <c r="F13" s="74"/>
      <c r="G13" s="74"/>
      <c r="H13" s="74"/>
      <c r="I13" s="74"/>
      <c r="J13" s="74"/>
      <c r="K13" s="74"/>
      <c r="L13" s="74"/>
      <c r="M13" s="74"/>
      <c r="N13" s="74"/>
      <c r="O13" s="74"/>
      <c r="P13" s="74"/>
      <c r="Q13" s="74"/>
      <c r="R13" s="74"/>
      <c r="S13" s="75"/>
    </row>
    <row r="14" spans="1:27" ht="23.25" customHeight="1">
      <c r="E14" s="133" t="s">
        <v>10</v>
      </c>
      <c r="F14" s="133"/>
      <c r="G14" s="133"/>
      <c r="H14" s="133"/>
      <c r="I14" s="133"/>
      <c r="J14" s="132" t="str">
        <f>IF(ISNA(VLOOKUP($Y$16,Master!A$8:N$127,2,FALSE)),"",VLOOKUP($Y$16,Master!A$8:AH$127,2,FALSE))</f>
        <v>SEEMA CHHABA</v>
      </c>
      <c r="K14" s="132"/>
      <c r="L14" s="132"/>
      <c r="M14" s="132"/>
      <c r="N14" s="132"/>
      <c r="O14" s="60" t="s">
        <v>31</v>
      </c>
      <c r="P14" s="132" t="str">
        <f>IF(ISNA(VLOOKUP($Y$16,Master!A$8:N$127,3,FALSE)),"",VLOOKUP($Y$16,Master!A$8:AH$127,3,FALSE))</f>
        <v>LECTURER</v>
      </c>
      <c r="Q14" s="132"/>
      <c r="R14" s="132"/>
      <c r="S14" s="132"/>
    </row>
    <row r="15" spans="1:27" ht="9" customHeight="1">
      <c r="E15" s="19"/>
      <c r="F15" s="52"/>
      <c r="G15" s="22"/>
      <c r="H15" s="22"/>
      <c r="I15" s="22"/>
      <c r="J15" s="5"/>
      <c r="K15" s="5"/>
      <c r="L15" s="5"/>
      <c r="M15" s="5"/>
      <c r="N15" s="5"/>
      <c r="O15" s="6"/>
      <c r="P15" s="6"/>
    </row>
    <row r="16" spans="1:27" ht="21" customHeight="1">
      <c r="A16" s="8">
        <v>1</v>
      </c>
      <c r="B16" s="23">
        <f>IFERROR(IF(ISNA(VLOOKUP(Y16,Master!A$8:N$127,8,FALSE)),"",VLOOKUP($Y16,Master!A$8:AH$127,8,FALSE)),"")</f>
        <v>45292</v>
      </c>
      <c r="C16" s="9">
        <f>IFERROR(IF(ISNA(VLOOKUP($Y$16,Master!A$8:N$127,5,FALSE)),"",VLOOKUP($Y$16,Master!A$8:AH$127,5,FALSE)),"")</f>
        <v>47000</v>
      </c>
      <c r="D16" s="9">
        <f>IF(AND(C16=""),"",IF(AND($Y$16=""),"",ROUND(C16*Master!C$5%,0)))</f>
        <v>23500</v>
      </c>
      <c r="E16" s="9">
        <f>IF(AND(C16=""),"",IF(AND($Y$16=""),"",ROUND(C16*Master!H$5%,0)))</f>
        <v>4230</v>
      </c>
      <c r="F16" s="9">
        <f t="shared" ref="F16:F18" si="11">IF(AND(C16=""),"",SUM(C16:E16))</f>
        <v>74730</v>
      </c>
      <c r="G16" s="9">
        <f>IFERROR(IF(ISNA(VLOOKUP($Y$16,Master!A$8:N$127,5,FALSE)),"",VLOOKUP($Y$16,Master!A$8:AH$127,5,FALSE)),"")</f>
        <v>47000</v>
      </c>
      <c r="H16" s="9">
        <f>IF(AND(G16=""),"",IF(AND($Y$16=""),"",ROUND(G16*Master!C$4%,0)))</f>
        <v>21620</v>
      </c>
      <c r="I16" s="9">
        <f>IF(AND(G16=""),"",IF(AND($Y$16=""),"",ROUND(G16*Master!H$4%,0)))</f>
        <v>4230</v>
      </c>
      <c r="J16" s="9">
        <f t="shared" ref="J16:J18" si="12">IF(AND(C16=""),"",SUM(G16:I16))</f>
        <v>72850</v>
      </c>
      <c r="K16" s="9">
        <f t="shared" ref="K16:K18" si="13">IF(AND(C16=""),"",IF(AND(G16=""),"",C16-G16))</f>
        <v>0</v>
      </c>
      <c r="L16" s="9">
        <f>IF(AND(D16=""),"",IF(AND(H16=""),"",D16-H16))</f>
        <v>1880</v>
      </c>
      <c r="M16" s="9">
        <f t="shared" ref="M16:M18" si="14">IF(AND(E16=""),"",IF(AND(I16=""),"",E16-I16))</f>
        <v>0</v>
      </c>
      <c r="N16" s="9">
        <f t="shared" ref="N16:N18" si="15">IF(AND(F16=""),"",IF(AND(J16=""),"",F16-J16))</f>
        <v>1880</v>
      </c>
      <c r="O16" s="9">
        <f>IF(AND(C16=""),"",N16-P16)</f>
        <v>1880</v>
      </c>
      <c r="P16" s="9">
        <f>IF(AND($Y$16=""),"",IF(AND(N16=""),"",ROUND(N16*X$17%,0)))</f>
        <v>0</v>
      </c>
      <c r="Q16" s="9">
        <f>IF(AND($Y$16=""),"",IF(AND(C16=""),"",IF(AND(O16=""),"",SUM(O16,P16))))</f>
        <v>1880</v>
      </c>
      <c r="R16" s="9">
        <f>IF(AND(N16=""),"",IF(AND(Q16=""),"",N16-Q16))</f>
        <v>0</v>
      </c>
      <c r="S16" s="20"/>
      <c r="X16" s="61" t="s">
        <v>49</v>
      </c>
      <c r="Y16" s="64">
        <f>IF(AND(Master!B9="",Master!E9=""),"",2)</f>
        <v>2</v>
      </c>
    </row>
    <row r="17" spans="1:25" ht="21" customHeight="1">
      <c r="A17" s="8">
        <v>2</v>
      </c>
      <c r="B17" s="23">
        <f>IFERROR(DATE(YEAR(B16),MONTH(B16)+1,DAY(B16)),"")</f>
        <v>45323</v>
      </c>
      <c r="C17" s="9">
        <f>IF(AND($Y$16=""),"",C16)</f>
        <v>47000</v>
      </c>
      <c r="D17" s="9">
        <f>IF(AND(C17=""),"",IF(AND($Y$16=""),"",ROUND(C17*Master!C$5%,0)))</f>
        <v>23500</v>
      </c>
      <c r="E17" s="9">
        <f>IF(AND(C17=""),"",IF(AND($Y$16=""),"",ROUND(C17*Master!H$5%,0)))</f>
        <v>4230</v>
      </c>
      <c r="F17" s="9">
        <f t="shared" si="11"/>
        <v>74730</v>
      </c>
      <c r="G17" s="9">
        <f>IF(C17="","",IF(AND($Y$16=""),"",G16))</f>
        <v>47000</v>
      </c>
      <c r="H17" s="9">
        <f>IF(AND(G17=""),"",IF(AND($Y$16=""),"",ROUND(G17*Master!C$4%,0)))</f>
        <v>21620</v>
      </c>
      <c r="I17" s="9">
        <f>IF(AND(G17=""),"",IF(AND($Y$16=""),"",ROUND(G17*Master!H$4%,0)))</f>
        <v>4230</v>
      </c>
      <c r="J17" s="9">
        <f t="shared" si="12"/>
        <v>72850</v>
      </c>
      <c r="K17" s="9">
        <f>IF(AND(C17=""),"",IF(AND(G17=""),"",C17-G17))</f>
        <v>0</v>
      </c>
      <c r="L17" s="9">
        <f t="shared" ref="L17:L18" si="16">IF(AND(D17=""),"",IF(AND(H17=""),"",D17-H17))</f>
        <v>1880</v>
      </c>
      <c r="M17" s="9">
        <f t="shared" si="14"/>
        <v>0</v>
      </c>
      <c r="N17" s="9">
        <f t="shared" si="15"/>
        <v>1880</v>
      </c>
      <c r="O17" s="9">
        <f t="shared" ref="O17" si="17">IF(AND(C17=""),"",N17-P17)</f>
        <v>1880</v>
      </c>
      <c r="P17" s="9">
        <f t="shared" ref="P17:P18" si="18">IF(AND($Y$16=""),"",IF(AND(N17=""),"",ROUND(N17*X$17%,0)))</f>
        <v>0</v>
      </c>
      <c r="Q17" s="9">
        <f>IF(AND($Y$16=""),"",IF(AND(C17=""),"",IF(AND(O17=""),"",SUM(O17,P17))))</f>
        <v>1880</v>
      </c>
      <c r="R17" s="9">
        <f t="shared" ref="R17:R18" si="19">IF(AND(N17=""),"",IF(AND(Q17=""),"",N17-Q17))</f>
        <v>0</v>
      </c>
      <c r="S17" s="20"/>
      <c r="X17" s="4">
        <f>IF(ISNA(VLOOKUP($Y$16,Master!A$8:N$127,7,FALSE)),"",VLOOKUP($Y$16,Master!A$8:AH$127,7,FALSE))</f>
        <v>0</v>
      </c>
    </row>
    <row r="18" spans="1:25" ht="21" customHeight="1">
      <c r="A18" s="8">
        <v>3</v>
      </c>
      <c r="B18" s="23">
        <f>IFERROR(DATE(YEAR(B17),MONTH(B17)+1,DAY(B17)),"")</f>
        <v>45352</v>
      </c>
      <c r="C18" s="9"/>
      <c r="D18" s="9" t="str">
        <f>IF(AND(C18=""),"",IF(AND($Y$16=""),"",ROUND(C18*Master!C$5%,0)))</f>
        <v/>
      </c>
      <c r="E18" s="9" t="str">
        <f>IF(AND(C18=""),"",IF(AND($Y$16=""),"",ROUND(C18*Master!H$5%,0)))</f>
        <v/>
      </c>
      <c r="F18" s="9" t="str">
        <f t="shared" si="11"/>
        <v/>
      </c>
      <c r="G18" s="9" t="str">
        <f t="shared" ref="G18:G19" si="20">IF(C18="","",IF(AND($Y$16=""),"",G17))</f>
        <v/>
      </c>
      <c r="H18" s="9" t="str">
        <f>IF(AND(G18=""),"",IF(AND($Y$16=""),"",ROUND(G18*Master!C$4%,0)))</f>
        <v/>
      </c>
      <c r="I18" s="9" t="str">
        <f>IF(AND(G18=""),"",IF(AND($Y$16=""),"",ROUND(G18*Master!H$4%,0)))</f>
        <v/>
      </c>
      <c r="J18" s="9" t="str">
        <f t="shared" si="12"/>
        <v/>
      </c>
      <c r="K18" s="9" t="str">
        <f t="shared" si="13"/>
        <v/>
      </c>
      <c r="L18" s="9" t="str">
        <f t="shared" si="16"/>
        <v/>
      </c>
      <c r="M18" s="9" t="str">
        <f t="shared" si="14"/>
        <v/>
      </c>
      <c r="N18" s="9" t="str">
        <f t="shared" si="15"/>
        <v/>
      </c>
      <c r="O18" s="9">
        <v>0</v>
      </c>
      <c r="P18" s="9" t="str">
        <f t="shared" si="18"/>
        <v/>
      </c>
      <c r="Q18" s="9" t="str">
        <f>IF(AND($Y$16=""),"",IF(AND(C18=""),"",IF(AND(O18=""),"",SUM(O18,P18))))</f>
        <v/>
      </c>
      <c r="R18" s="9" t="str">
        <f t="shared" si="19"/>
        <v/>
      </c>
      <c r="S18" s="20"/>
    </row>
    <row r="19" spans="1:25" ht="21" customHeight="1">
      <c r="A19" s="8">
        <v>4</v>
      </c>
      <c r="B19" s="23">
        <f>IFERROR(DATE(YEAR(B18),MONTH(B18)+1,DAY(B18)),"")</f>
        <v>45383</v>
      </c>
      <c r="C19" s="9"/>
      <c r="D19" s="9" t="str">
        <f>IF(AND(C19=""),"",IF(AND($Y$16=""),"",ROUND(C19*Master!C$5%,0)))</f>
        <v/>
      </c>
      <c r="E19" s="9" t="str">
        <f>IF(AND(C19=""),"",IF(AND($Y$16=""),"",ROUND(C19*Master!H$5%,0)))</f>
        <v/>
      </c>
      <c r="F19" s="9" t="str">
        <f t="shared" ref="F19" si="21">IF(AND(C19=""),"",SUM(C19:E19))</f>
        <v/>
      </c>
      <c r="G19" s="9" t="str">
        <f t="shared" si="20"/>
        <v/>
      </c>
      <c r="H19" s="9" t="str">
        <f>IF(AND(G19=""),"",IF(AND($Y$16=""),"",ROUND(G19*Master!C$4%,0)))</f>
        <v/>
      </c>
      <c r="I19" s="9" t="str">
        <f>IF(AND(G19=""),"",IF(AND($Y$16=""),"",ROUND(G19*Master!H$4%,0)))</f>
        <v/>
      </c>
      <c r="J19" s="9" t="str">
        <f t="shared" ref="J19" si="22">IF(AND(C19=""),"",SUM(G19:I19))</f>
        <v/>
      </c>
      <c r="K19" s="9" t="str">
        <f t="shared" ref="K19" si="23">IF(AND(C19=""),"",IF(AND(G19=""),"",C19-G19))</f>
        <v/>
      </c>
      <c r="L19" s="9" t="str">
        <f t="shared" ref="L19" si="24">IF(AND(D19=""),"",IF(AND(H19=""),"",D19-H19))</f>
        <v/>
      </c>
      <c r="M19" s="9" t="str">
        <f t="shared" ref="M19" si="25">IF(AND(E19=""),"",IF(AND(I19=""),"",E19-I19))</f>
        <v/>
      </c>
      <c r="N19" s="9" t="str">
        <f t="shared" ref="N19" si="26">IF(AND(F19=""),"",IF(AND(J19=""),"",F19-J19))</f>
        <v/>
      </c>
      <c r="O19" s="9">
        <v>0</v>
      </c>
      <c r="P19" s="9" t="str">
        <f t="shared" ref="P19" si="27">IF(AND($Y$16=""),"",IF(AND(N19=""),"",ROUND(N19*X$17%,0)))</f>
        <v/>
      </c>
      <c r="Q19" s="9" t="str">
        <f>IF(AND($Y$16=""),"",IF(AND(C19=""),"",IF(AND(O19=""),"",SUM(O19,P19))))</f>
        <v/>
      </c>
      <c r="R19" s="9" t="str">
        <f t="shared" ref="R19" si="28">IF(AND(N19=""),"",IF(AND(Q19=""),"",N19-Q19))</f>
        <v/>
      </c>
      <c r="S19" s="20"/>
    </row>
    <row r="20" spans="1:25" ht="30.75" customHeight="1">
      <c r="A20" s="153" t="s">
        <v>9</v>
      </c>
      <c r="B20" s="154"/>
      <c r="C20" s="63">
        <f>IF(AND($Y$16=""),"",SUM(C16:C19))</f>
        <v>94000</v>
      </c>
      <c r="D20" s="63">
        <f t="shared" ref="D20:R20" si="29">IF(AND($Y$16=""),"",SUM(D16:D19))</f>
        <v>47000</v>
      </c>
      <c r="E20" s="63">
        <f t="shared" si="29"/>
        <v>8460</v>
      </c>
      <c r="F20" s="63">
        <f t="shared" si="29"/>
        <v>149460</v>
      </c>
      <c r="G20" s="63">
        <f t="shared" si="29"/>
        <v>94000</v>
      </c>
      <c r="H20" s="63">
        <f t="shared" si="29"/>
        <v>43240</v>
      </c>
      <c r="I20" s="63">
        <f t="shared" si="29"/>
        <v>8460</v>
      </c>
      <c r="J20" s="63">
        <f t="shared" si="29"/>
        <v>145700</v>
      </c>
      <c r="K20" s="63">
        <f t="shared" si="29"/>
        <v>0</v>
      </c>
      <c r="L20" s="63">
        <f t="shared" si="29"/>
        <v>3760</v>
      </c>
      <c r="M20" s="63">
        <f t="shared" si="29"/>
        <v>0</v>
      </c>
      <c r="N20" s="63">
        <f t="shared" si="29"/>
        <v>3760</v>
      </c>
      <c r="O20" s="63">
        <f t="shared" si="29"/>
        <v>3760</v>
      </c>
      <c r="P20" s="63">
        <f t="shared" si="29"/>
        <v>0</v>
      </c>
      <c r="Q20" s="63">
        <f t="shared" si="29"/>
        <v>3760</v>
      </c>
      <c r="R20" s="63">
        <f t="shared" si="29"/>
        <v>0</v>
      </c>
      <c r="S20" s="49"/>
    </row>
    <row r="21" spans="1:25" ht="11.25" customHeight="1">
      <c r="A21" s="73"/>
      <c r="B21" s="73"/>
      <c r="C21" s="74"/>
      <c r="D21" s="74"/>
      <c r="E21" s="74"/>
      <c r="F21" s="74"/>
      <c r="G21" s="74"/>
      <c r="H21" s="74"/>
      <c r="I21" s="74"/>
      <c r="J21" s="74"/>
      <c r="K21" s="74"/>
      <c r="L21" s="74"/>
      <c r="M21" s="74"/>
      <c r="N21" s="74"/>
      <c r="O21" s="74"/>
      <c r="P21" s="74"/>
      <c r="Q21" s="74"/>
      <c r="R21" s="74"/>
      <c r="S21" s="75"/>
    </row>
    <row r="22" spans="1:25" ht="23.25" customHeight="1">
      <c r="E22" s="133" t="s">
        <v>10</v>
      </c>
      <c r="F22" s="133"/>
      <c r="G22" s="133"/>
      <c r="H22" s="133"/>
      <c r="I22" s="133"/>
      <c r="J22" s="132" t="str">
        <f>IF(ISNA(VLOOKUP($Y$24,Master!A$8:N$127,2,FALSE)),"",VLOOKUP($Y$24,Master!A$8:AH$127,2,FALSE))</f>
        <v>YOGENDRA</v>
      </c>
      <c r="K22" s="132"/>
      <c r="L22" s="132"/>
      <c r="M22" s="132"/>
      <c r="N22" s="132"/>
      <c r="O22" s="60" t="s">
        <v>31</v>
      </c>
      <c r="P22" s="132" t="str">
        <f>IF(ISNA(VLOOKUP($Y$24,Master!A$8:N$127,3,FALSE)),"",VLOOKUP($Y$24,Master!A$8:AH$127,3,FALSE))</f>
        <v>LECTURER</v>
      </c>
      <c r="Q22" s="132"/>
      <c r="R22" s="132"/>
      <c r="S22" s="132"/>
    </row>
    <row r="23" spans="1:25" ht="9" customHeight="1">
      <c r="E23" s="19"/>
      <c r="F23" s="52"/>
      <c r="G23" s="22"/>
      <c r="H23" s="22"/>
      <c r="I23" s="22"/>
      <c r="J23" s="5"/>
      <c r="K23" s="5"/>
      <c r="L23" s="5"/>
      <c r="M23" s="5"/>
      <c r="N23" s="5"/>
      <c r="O23" s="6"/>
      <c r="P23" s="6"/>
    </row>
    <row r="24" spans="1:25" ht="21" customHeight="1">
      <c r="A24" s="8">
        <v>1</v>
      </c>
      <c r="B24" s="23">
        <f>IFERROR(IF(ISNA(VLOOKUP(Y24,Master!A$8:N$127,8,FALSE)),"",VLOOKUP($Y24,Master!A$8:AH$127,8,FALSE)),"")</f>
        <v>45292</v>
      </c>
      <c r="C24" s="9">
        <f>IFERROR(IF(ISNA(VLOOKUP($Y$24,Master!A$8:N$127,5,FALSE)),"",VLOOKUP($Y$24,Master!A$8:AH$127,5,FALSE)),"")</f>
        <v>71300</v>
      </c>
      <c r="D24" s="9">
        <f>IF(AND(C24=""),"",IF(AND($Y$24=""),"",ROUND(C24*Master!C$5%,0)))</f>
        <v>35650</v>
      </c>
      <c r="E24" s="9">
        <f>IF(AND(C24=""),"",IF(AND($Y$24=""),"",ROUND(C24*Master!H$5%,0)))</f>
        <v>6417</v>
      </c>
      <c r="F24" s="9">
        <f t="shared" ref="F24:F26" si="30">IF(AND(C24=""),"",SUM(C24:E24))</f>
        <v>113367</v>
      </c>
      <c r="G24" s="9">
        <f>IFERROR(IF(ISNA(VLOOKUP($Y$24,Master!A$8:N$127,5,FALSE)),"",VLOOKUP($Y$24,Master!A$8:AH$127,5,FALSE)),"")</f>
        <v>71300</v>
      </c>
      <c r="H24" s="9">
        <f>IF(AND(G24=""),"",IF(AND($Y$24=""),"",ROUND(G24*Master!C$4%,0)))</f>
        <v>32798</v>
      </c>
      <c r="I24" s="9">
        <f>IF(AND(G24=""),"",IF(AND($Y$24=""),"",ROUND(G24*Master!H$4%,0)))</f>
        <v>6417</v>
      </c>
      <c r="J24" s="9">
        <f t="shared" ref="J24:J26" si="31">IF(AND(C24=""),"",SUM(G24:I24))</f>
        <v>110515</v>
      </c>
      <c r="K24" s="9">
        <f t="shared" ref="K24:K26" si="32">IF(AND(C24=""),"",IF(AND(G24=""),"",C24-G24))</f>
        <v>0</v>
      </c>
      <c r="L24" s="9">
        <f t="shared" ref="L24:L26" si="33">IF(AND(D24=""),"",IF(AND(H24=""),"",D24-H24))</f>
        <v>2852</v>
      </c>
      <c r="M24" s="9">
        <f t="shared" ref="M24:M26" si="34">IF(AND(E24=""),"",IF(AND(I24=""),"",E24-I24))</f>
        <v>0</v>
      </c>
      <c r="N24" s="9">
        <f t="shared" ref="N24:N26" si="35">IF(AND(F24=""),"",IF(AND(J24=""),"",F24-J24))</f>
        <v>2852</v>
      </c>
      <c r="O24" s="9">
        <f>IF(AND(C24=""),"",N24-P24)</f>
        <v>2852</v>
      </c>
      <c r="P24" s="9">
        <f>IF(AND($Y$24=""),"",IF(AND(N24=""),"",ROUND(N24*$X$25%,0)))</f>
        <v>0</v>
      </c>
      <c r="Q24" s="9">
        <f>IF(AND($Y$24=""),"",IF(AND(C24=""),"",IF(AND(O24=""),"",SUM(O24,P24))))</f>
        <v>2852</v>
      </c>
      <c r="R24" s="9">
        <f>IF(AND(N24=""),"",IF(AND(Q24=""),"",N24-Q24))</f>
        <v>0</v>
      </c>
      <c r="S24" s="20"/>
      <c r="X24" s="61" t="s">
        <v>49</v>
      </c>
      <c r="Y24" s="64">
        <f>IF(AND(Master!B10="",Master!E10=""),"",3)</f>
        <v>3</v>
      </c>
    </row>
    <row r="25" spans="1:25" ht="21" customHeight="1">
      <c r="A25" s="8">
        <v>2</v>
      </c>
      <c r="B25" s="23">
        <f>IFERROR(DATE(YEAR(B24),MONTH(B24)+1,DAY(B24)),"")</f>
        <v>45323</v>
      </c>
      <c r="C25" s="9">
        <f>IF(AND($Y$24=""),"",C24)</f>
        <v>71300</v>
      </c>
      <c r="D25" s="9">
        <f>IF(AND(C25=""),"",IF(AND($Y$24=""),"",ROUND(C25*Master!C$5%,0)))</f>
        <v>35650</v>
      </c>
      <c r="E25" s="9">
        <f>IF(AND(C25=""),"",IF(AND($Y$24=""),"",ROUND(C25*Master!H$5%,0)))</f>
        <v>6417</v>
      </c>
      <c r="F25" s="9">
        <f t="shared" si="30"/>
        <v>113367</v>
      </c>
      <c r="G25" s="9">
        <f>IF(C25="","",IF(AND($Y$24=""),"",G24))</f>
        <v>71300</v>
      </c>
      <c r="H25" s="9">
        <f>IF(AND(G25=""),"",IF(AND($Y$24=""),"",ROUND(G25*Master!C$4%,0)))</f>
        <v>32798</v>
      </c>
      <c r="I25" s="9">
        <f>IF(AND(G25=""),"",IF(AND($Y$24=""),"",ROUND(G25*Master!H$4%,0)))</f>
        <v>6417</v>
      </c>
      <c r="J25" s="9">
        <f t="shared" si="31"/>
        <v>110515</v>
      </c>
      <c r="K25" s="9">
        <f t="shared" si="32"/>
        <v>0</v>
      </c>
      <c r="L25" s="9">
        <f t="shared" si="33"/>
        <v>2852</v>
      </c>
      <c r="M25" s="9">
        <f t="shared" si="34"/>
        <v>0</v>
      </c>
      <c r="N25" s="9">
        <f t="shared" si="35"/>
        <v>2852</v>
      </c>
      <c r="O25" s="9">
        <f t="shared" ref="O25" si="36">IF(AND(C25=""),"",N25-P25)</f>
        <v>2852</v>
      </c>
      <c r="P25" s="9">
        <f t="shared" ref="P25:P26" si="37">IF(AND($Y$24=""),"",IF(AND(N25=""),"",ROUND(N25*$X$25%,0)))</f>
        <v>0</v>
      </c>
      <c r="Q25" s="9">
        <f>IF(AND($Y$24=""),"",IF(AND(C25=""),"",IF(AND(O25=""),"",SUM(O25,P25))))</f>
        <v>2852</v>
      </c>
      <c r="R25" s="9">
        <f t="shared" ref="R25:R26" si="38">IF(AND(N25=""),"",IF(AND(Q25=""),"",N25-Q25))</f>
        <v>0</v>
      </c>
      <c r="S25" s="20"/>
      <c r="X25" s="4">
        <f>IF(ISNA(VLOOKUP($Y$24,Master!A$8:N$127,7,FALSE)),"",VLOOKUP($Y$24,Master!A$8:AH$127,7,FALSE))</f>
        <v>0</v>
      </c>
    </row>
    <row r="26" spans="1:25" ht="21" customHeight="1">
      <c r="A26" s="8">
        <v>3</v>
      </c>
      <c r="B26" s="23">
        <f>IFERROR(DATE(YEAR(B25),MONTH(B25)+1,DAY(B25)),"")</f>
        <v>45352</v>
      </c>
      <c r="C26" s="9"/>
      <c r="D26" s="9" t="str">
        <f>IF(AND(C26=""),"",IF(AND($Y$24=""),"",ROUND(C26*Master!C$5%,0)))</f>
        <v/>
      </c>
      <c r="E26" s="9" t="str">
        <f>IF(AND(C26=""),"",IF(AND($Y$24=""),"",ROUND(C26*Master!H$5%,0)))</f>
        <v/>
      </c>
      <c r="F26" s="9" t="str">
        <f t="shared" si="30"/>
        <v/>
      </c>
      <c r="G26" s="9" t="str">
        <f t="shared" ref="G26:G27" si="39">IF(C26="","",IF(AND($Y$24=""),"",G25))</f>
        <v/>
      </c>
      <c r="H26" s="9" t="str">
        <f>IF(AND(G26=""),"",IF(AND($Y$24=""),"",ROUND(G26*Master!C$4%,0)))</f>
        <v/>
      </c>
      <c r="I26" s="9" t="str">
        <f>IF(AND(G26=""),"",IF(AND($Y$24=""),"",ROUND(G26*Master!H$4%,0)))</f>
        <v/>
      </c>
      <c r="J26" s="9" t="str">
        <f t="shared" si="31"/>
        <v/>
      </c>
      <c r="K26" s="9" t="str">
        <f t="shared" si="32"/>
        <v/>
      </c>
      <c r="L26" s="9" t="str">
        <f t="shared" si="33"/>
        <v/>
      </c>
      <c r="M26" s="9" t="str">
        <f t="shared" si="34"/>
        <v/>
      </c>
      <c r="N26" s="9" t="str">
        <f t="shared" si="35"/>
        <v/>
      </c>
      <c r="O26" s="9">
        <v>0</v>
      </c>
      <c r="P26" s="9" t="str">
        <f t="shared" si="37"/>
        <v/>
      </c>
      <c r="Q26" s="9" t="str">
        <f>IF(AND($Y$24=""),"",IF(AND(C26=""),"",IF(AND(O26=""),"",SUM(O26,P26))))</f>
        <v/>
      </c>
      <c r="R26" s="9" t="str">
        <f t="shared" si="38"/>
        <v/>
      </c>
      <c r="S26" s="20"/>
    </row>
    <row r="27" spans="1:25" ht="21" customHeight="1">
      <c r="A27" s="8">
        <v>4</v>
      </c>
      <c r="B27" s="23">
        <f>IFERROR(DATE(YEAR(B26),MONTH(B26)+1,DAY(B26)),"")</f>
        <v>45383</v>
      </c>
      <c r="C27" s="9"/>
      <c r="D27" s="9" t="str">
        <f>IF(AND(C27=""),"",IF(AND($Y$24=""),"",ROUND(C27*Master!C$5%,0)))</f>
        <v/>
      </c>
      <c r="E27" s="9" t="str">
        <f>IF(AND(C27=""),"",IF(AND($Y$24=""),"",ROUND(C27*Master!H$5%,0)))</f>
        <v/>
      </c>
      <c r="F27" s="9" t="str">
        <f t="shared" ref="F27" si="40">IF(AND(C27=""),"",SUM(C27:E27))</f>
        <v/>
      </c>
      <c r="G27" s="9" t="str">
        <f t="shared" si="39"/>
        <v/>
      </c>
      <c r="H27" s="9" t="str">
        <f>IF(AND(G27=""),"",IF(AND($Y$24=""),"",ROUND(G27*Master!C$4%,0)))</f>
        <v/>
      </c>
      <c r="I27" s="9" t="str">
        <f>IF(AND(G27=""),"",IF(AND($Y$24=""),"",ROUND(G27*Master!H$4%,0)))</f>
        <v/>
      </c>
      <c r="J27" s="9" t="str">
        <f t="shared" ref="J27" si="41">IF(AND(C27=""),"",SUM(G27:I27))</f>
        <v/>
      </c>
      <c r="K27" s="9" t="str">
        <f t="shared" ref="K27" si="42">IF(AND(C27=""),"",IF(AND(G27=""),"",C27-G27))</f>
        <v/>
      </c>
      <c r="L27" s="9" t="str">
        <f t="shared" ref="L27" si="43">IF(AND(D27=""),"",IF(AND(H27=""),"",D27-H27))</f>
        <v/>
      </c>
      <c r="M27" s="9" t="str">
        <f t="shared" ref="M27" si="44">IF(AND(E27=""),"",IF(AND(I27=""),"",E27-I27))</f>
        <v/>
      </c>
      <c r="N27" s="9" t="str">
        <f t="shared" ref="N27" si="45">IF(AND(F27=""),"",IF(AND(J27=""),"",F27-J27))</f>
        <v/>
      </c>
      <c r="O27" s="9">
        <v>0</v>
      </c>
      <c r="P27" s="9" t="str">
        <f t="shared" ref="P27" si="46">IF(AND($Y$24=""),"",IF(AND(N27=""),"",ROUND(N27*$X$25%,0)))</f>
        <v/>
      </c>
      <c r="Q27" s="9" t="str">
        <f>IF(AND($Y$24=""),"",IF(AND(C27=""),"",IF(AND(O27=""),"",SUM(O27,P27))))</f>
        <v/>
      </c>
      <c r="R27" s="9" t="str">
        <f t="shared" ref="R27" si="47">IF(AND(N27=""),"",IF(AND(Q27=""),"",N27-Q27))</f>
        <v/>
      </c>
      <c r="S27" s="20"/>
    </row>
    <row r="28" spans="1:25" ht="30.75" customHeight="1">
      <c r="A28" s="153" t="s">
        <v>9</v>
      </c>
      <c r="B28" s="154"/>
      <c r="C28" s="63">
        <f>IF(AND($Y$24=""),"",SUM(C24:C27))</f>
        <v>142600</v>
      </c>
      <c r="D28" s="63">
        <f t="shared" ref="D28:R28" si="48">IF(AND($Y$24=""),"",SUM(D24:D27))</f>
        <v>71300</v>
      </c>
      <c r="E28" s="63">
        <f t="shared" si="48"/>
        <v>12834</v>
      </c>
      <c r="F28" s="63">
        <f t="shared" si="48"/>
        <v>226734</v>
      </c>
      <c r="G28" s="63">
        <f t="shared" si="48"/>
        <v>142600</v>
      </c>
      <c r="H28" s="63">
        <f t="shared" si="48"/>
        <v>65596</v>
      </c>
      <c r="I28" s="63">
        <f t="shared" si="48"/>
        <v>12834</v>
      </c>
      <c r="J28" s="63">
        <f t="shared" si="48"/>
        <v>221030</v>
      </c>
      <c r="K28" s="63">
        <f t="shared" si="48"/>
        <v>0</v>
      </c>
      <c r="L28" s="63">
        <f t="shared" si="48"/>
        <v>5704</v>
      </c>
      <c r="M28" s="63">
        <f t="shared" si="48"/>
        <v>0</v>
      </c>
      <c r="N28" s="63">
        <f t="shared" si="48"/>
        <v>5704</v>
      </c>
      <c r="O28" s="63">
        <f t="shared" si="48"/>
        <v>5704</v>
      </c>
      <c r="P28" s="63">
        <f t="shared" si="48"/>
        <v>0</v>
      </c>
      <c r="Q28" s="63">
        <f t="shared" si="48"/>
        <v>5704</v>
      </c>
      <c r="R28" s="63">
        <f t="shared" si="48"/>
        <v>0</v>
      </c>
      <c r="S28" s="49"/>
    </row>
    <row r="29" spans="1:25" ht="30.75" customHeight="1">
      <c r="A29" s="73"/>
      <c r="B29" s="73"/>
      <c r="C29" s="74"/>
      <c r="D29" s="74"/>
      <c r="E29" s="74"/>
      <c r="F29" s="74"/>
      <c r="G29" s="74"/>
      <c r="H29" s="74"/>
      <c r="I29" s="74"/>
      <c r="J29" s="74"/>
      <c r="K29" s="74"/>
      <c r="L29" s="74"/>
      <c r="M29" s="74"/>
      <c r="N29" s="74"/>
      <c r="O29" s="74"/>
      <c r="P29" s="74"/>
      <c r="Q29" s="74"/>
      <c r="R29" s="74"/>
      <c r="S29" s="75"/>
    </row>
    <row r="30" spans="1:25" ht="18.75">
      <c r="A30" s="21"/>
      <c r="B30" s="58"/>
      <c r="C30" s="58"/>
      <c r="D30" s="58"/>
      <c r="E30" s="58"/>
      <c r="F30" s="58"/>
      <c r="G30" s="58"/>
      <c r="H30" s="59"/>
      <c r="I30" s="59"/>
      <c r="J30" s="59"/>
      <c r="K30" s="66"/>
      <c r="L30" s="66"/>
      <c r="M30" s="66"/>
      <c r="N30" s="66"/>
      <c r="O30" s="138" t="s">
        <v>42</v>
      </c>
      <c r="P30" s="138"/>
      <c r="Q30" s="138"/>
      <c r="R30" s="138"/>
      <c r="S30" s="138"/>
    </row>
    <row r="31" spans="1:25" ht="18.75">
      <c r="A31" s="1"/>
      <c r="B31" s="24" t="s">
        <v>19</v>
      </c>
      <c r="C31" s="139"/>
      <c r="D31" s="139"/>
      <c r="E31" s="139"/>
      <c r="F31" s="139"/>
      <c r="G31" s="139"/>
      <c r="H31" s="25"/>
      <c r="I31" s="143" t="s">
        <v>20</v>
      </c>
      <c r="J31" s="143"/>
      <c r="K31" s="141"/>
      <c r="L31" s="141"/>
      <c r="M31" s="141"/>
      <c r="O31" s="138"/>
      <c r="P31" s="138"/>
      <c r="Q31" s="138"/>
      <c r="R31" s="138"/>
      <c r="S31" s="138"/>
    </row>
    <row r="32" spans="1:25" ht="18.75">
      <c r="A32" s="1"/>
      <c r="B32" s="140" t="s">
        <v>21</v>
      </c>
      <c r="C32" s="140"/>
      <c r="D32" s="140"/>
      <c r="E32" s="140"/>
      <c r="F32" s="140"/>
      <c r="G32" s="140"/>
      <c r="H32" s="140"/>
      <c r="I32" s="27"/>
      <c r="J32" s="26"/>
      <c r="K32" s="26"/>
      <c r="L32" s="26"/>
      <c r="M32" s="26"/>
    </row>
    <row r="33" spans="1:27" ht="18.75">
      <c r="A33" s="22">
        <v>1</v>
      </c>
      <c r="B33" s="142" t="s">
        <v>22</v>
      </c>
      <c r="C33" s="142"/>
      <c r="D33" s="142"/>
      <c r="E33" s="142"/>
      <c r="F33" s="142"/>
      <c r="G33" s="142"/>
      <c r="H33" s="142"/>
      <c r="I33" s="28"/>
      <c r="J33" s="26"/>
      <c r="K33" s="26"/>
      <c r="L33" s="26"/>
      <c r="M33" s="26"/>
    </row>
    <row r="34" spans="1:27" ht="18.75">
      <c r="A34" s="2">
        <v>2</v>
      </c>
      <c r="B34" s="142" t="s">
        <v>23</v>
      </c>
      <c r="C34" s="142"/>
      <c r="D34" s="142"/>
      <c r="E34" s="142"/>
      <c r="F34" s="142"/>
      <c r="G34" s="132"/>
      <c r="H34" s="132"/>
      <c r="I34" s="132"/>
      <c r="J34" s="132"/>
      <c r="K34" s="132"/>
      <c r="L34" s="132"/>
      <c r="M34" s="132"/>
    </row>
    <row r="35" spans="1:27" ht="18.75">
      <c r="A35" s="3">
        <v>3</v>
      </c>
      <c r="B35" s="142" t="s">
        <v>24</v>
      </c>
      <c r="C35" s="142"/>
      <c r="D35" s="142"/>
      <c r="E35" s="29"/>
      <c r="F35" s="28"/>
      <c r="G35" s="28"/>
      <c r="H35" s="30"/>
      <c r="I35" s="31"/>
      <c r="J35" s="26"/>
      <c r="K35" s="26"/>
      <c r="L35" s="26"/>
      <c r="M35" s="26"/>
    </row>
    <row r="36" spans="1:27" ht="15.75">
      <c r="O36" s="138" t="s">
        <v>42</v>
      </c>
      <c r="P36" s="138"/>
      <c r="Q36" s="138"/>
      <c r="R36" s="138"/>
      <c r="S36" s="138"/>
    </row>
    <row r="38" spans="1:27" ht="18" customHeight="1">
      <c r="A38" s="148" t="str">
        <f>A1</f>
        <v xml:space="preserve">DA (46% to 50%) Drawn Statement  </v>
      </c>
      <c r="B38" s="148"/>
      <c r="C38" s="148"/>
      <c r="D38" s="148"/>
      <c r="E38" s="148"/>
      <c r="F38" s="148"/>
      <c r="G38" s="148"/>
      <c r="H38" s="148"/>
      <c r="I38" s="148"/>
      <c r="J38" s="148"/>
      <c r="K38" s="148"/>
      <c r="L38" s="148"/>
      <c r="M38" s="148"/>
      <c r="N38" s="148"/>
      <c r="O38" s="148"/>
      <c r="P38" s="148"/>
      <c r="Q38" s="148"/>
      <c r="R38" s="148"/>
      <c r="S38" s="148"/>
      <c r="W38" s="4">
        <f>IF(ISNA(VLOOKUP($Y$3,Master!A$8:N$127,4,FALSE)),"",VLOOKUP($Y$3,Master!A$8:AH$127,4,FALSE))</f>
        <v>2</v>
      </c>
      <c r="X38" s="4" t="str">
        <f>IF(ISNA(VLOOKUP($Y$3,Master!A$8:N$127,6,FALSE)),"",VLOOKUP($Y$3,Master!A$8:AH$127,6,FALSE))</f>
        <v>GPF-2004</v>
      </c>
      <c r="Y38" s="4" t="s">
        <v>45</v>
      </c>
      <c r="Z38" s="4" t="s">
        <v>18</v>
      </c>
      <c r="AA38" s="4">
        <f>IF(ISNA(VLOOKUP($Y$40,Master!A$8:N$127,7,FALSE)),"",VLOOKUP($Y$40,Master!A$8:AH$127,7,FALSE))</f>
        <v>0</v>
      </c>
    </row>
    <row r="39" spans="1:27" ht="18">
      <c r="A39" s="131" t="str">
        <f>IF(AND(Master!C37=""),"",CONCATENATE("Office Of  ",Master!C37))</f>
        <v/>
      </c>
      <c r="B39" s="131"/>
      <c r="C39" s="131"/>
      <c r="D39" s="131"/>
      <c r="E39" s="131"/>
      <c r="F39" s="131"/>
      <c r="G39" s="131"/>
      <c r="H39" s="131"/>
      <c r="I39" s="131"/>
      <c r="J39" s="131"/>
      <c r="K39" s="131"/>
      <c r="L39" s="131"/>
      <c r="M39" s="131"/>
      <c r="N39" s="131"/>
      <c r="O39" s="131"/>
      <c r="P39" s="131"/>
      <c r="Q39" s="131"/>
      <c r="R39" s="131"/>
      <c r="S39" s="131"/>
      <c r="X39" s="4">
        <f>IF(ISNA(VLOOKUP($Y$3,Master!A$8:N$127,8,FALSE)),"",VLOOKUP($Y$3,Master!A$8:AH$127,8,FALSE))</f>
        <v>45292</v>
      </c>
      <c r="Y39" s="4" t="s">
        <v>43</v>
      </c>
    </row>
    <row r="40" spans="1:27" ht="18.75">
      <c r="E40" s="133" t="s">
        <v>10</v>
      </c>
      <c r="F40" s="133"/>
      <c r="G40" s="133"/>
      <c r="H40" s="133"/>
      <c r="I40" s="133"/>
      <c r="J40" s="132" t="str">
        <f>IF(ISNA(VLOOKUP($Y$40,Master!A$8:N$127,2,FALSE)),"",VLOOKUP($Y$40,Master!A$8:AH$127,2,FALSE))</f>
        <v>SURESH CHAND SINGARIYA</v>
      </c>
      <c r="K40" s="132"/>
      <c r="L40" s="132"/>
      <c r="M40" s="132"/>
      <c r="N40" s="132"/>
      <c r="O40" s="60" t="s">
        <v>31</v>
      </c>
      <c r="P40" s="132" t="str">
        <f>IF(ISNA(VLOOKUP($Y$40,Master!A$8:N$127,3,FALSE)),"",VLOOKUP($Y$40,Master!A$8:AH$127,3,FALSE))</f>
        <v>Sr. Teacher</v>
      </c>
      <c r="Q40" s="132"/>
      <c r="R40" s="132"/>
      <c r="S40" s="132"/>
      <c r="X40" s="61" t="s">
        <v>49</v>
      </c>
      <c r="Y40" s="64">
        <f>IF(AND(Master!B11="",Master!E11=""),"",4)</f>
        <v>4</v>
      </c>
    </row>
    <row r="41" spans="1:27" ht="8.25" customHeight="1">
      <c r="E41" s="19"/>
      <c r="F41" s="52"/>
      <c r="G41" s="22"/>
      <c r="H41" s="22"/>
      <c r="I41" s="22"/>
      <c r="J41" s="5"/>
      <c r="K41" s="5"/>
      <c r="L41" s="5"/>
      <c r="M41" s="5"/>
      <c r="N41" s="5"/>
      <c r="O41" s="6"/>
      <c r="P41" s="6"/>
    </row>
    <row r="42" spans="1:27" ht="24.75" customHeight="1">
      <c r="A42" s="157" t="s">
        <v>0</v>
      </c>
      <c r="B42" s="158" t="s">
        <v>3</v>
      </c>
      <c r="C42" s="159" t="s">
        <v>5</v>
      </c>
      <c r="D42" s="159"/>
      <c r="E42" s="159"/>
      <c r="F42" s="159"/>
      <c r="G42" s="159" t="s">
        <v>6</v>
      </c>
      <c r="H42" s="159"/>
      <c r="I42" s="159"/>
      <c r="J42" s="159"/>
      <c r="K42" s="159" t="s">
        <v>7</v>
      </c>
      <c r="L42" s="159"/>
      <c r="M42" s="159"/>
      <c r="N42" s="159"/>
      <c r="O42" s="149" t="s">
        <v>8</v>
      </c>
      <c r="P42" s="150"/>
      <c r="Q42" s="151"/>
      <c r="R42" s="162" t="s">
        <v>54</v>
      </c>
      <c r="S42" s="162" t="s">
        <v>40</v>
      </c>
    </row>
    <row r="43" spans="1:27" ht="69" customHeight="1">
      <c r="A43" s="157"/>
      <c r="B43" s="158"/>
      <c r="C43" s="54" t="s">
        <v>29</v>
      </c>
      <c r="D43" s="55" t="s">
        <v>1</v>
      </c>
      <c r="E43" s="56" t="s">
        <v>2</v>
      </c>
      <c r="F43" s="54" t="s">
        <v>46</v>
      </c>
      <c r="G43" s="54" t="s">
        <v>29</v>
      </c>
      <c r="H43" s="55" t="s">
        <v>1</v>
      </c>
      <c r="I43" s="56" t="s">
        <v>2</v>
      </c>
      <c r="J43" s="54" t="s">
        <v>47</v>
      </c>
      <c r="K43" s="54" t="s">
        <v>4</v>
      </c>
      <c r="L43" s="55" t="s">
        <v>1</v>
      </c>
      <c r="M43" s="56" t="s">
        <v>2</v>
      </c>
      <c r="N43" s="57" t="s">
        <v>48</v>
      </c>
      <c r="O43" s="53" t="s">
        <v>69</v>
      </c>
      <c r="P43" s="65" t="s">
        <v>41</v>
      </c>
      <c r="Q43" s="57" t="s">
        <v>53</v>
      </c>
      <c r="R43" s="162"/>
      <c r="S43" s="162"/>
    </row>
    <row r="44" spans="1:27" ht="18" customHeight="1">
      <c r="A44" s="7">
        <v>1</v>
      </c>
      <c r="B44" s="7">
        <v>2</v>
      </c>
      <c r="C44" s="7">
        <v>3</v>
      </c>
      <c r="D44" s="7">
        <v>4</v>
      </c>
      <c r="E44" s="7">
        <v>5</v>
      </c>
      <c r="F44" s="7">
        <v>6</v>
      </c>
      <c r="G44" s="7">
        <v>7</v>
      </c>
      <c r="H44" s="7">
        <v>8</v>
      </c>
      <c r="I44" s="7">
        <v>9</v>
      </c>
      <c r="J44" s="7">
        <v>10</v>
      </c>
      <c r="K44" s="7">
        <v>11</v>
      </c>
      <c r="L44" s="7">
        <v>12</v>
      </c>
      <c r="M44" s="7">
        <v>13</v>
      </c>
      <c r="N44" s="7">
        <v>14</v>
      </c>
      <c r="O44" s="7">
        <v>15</v>
      </c>
      <c r="P44" s="7">
        <v>17</v>
      </c>
      <c r="Q44" s="7">
        <v>18</v>
      </c>
      <c r="R44" s="7">
        <v>19</v>
      </c>
      <c r="S44" s="7">
        <v>20</v>
      </c>
    </row>
    <row r="45" spans="1:27" ht="21" customHeight="1">
      <c r="A45" s="8">
        <v>1</v>
      </c>
      <c r="B45" s="23">
        <f>IFERROR(IF(ISNA(VLOOKUP(Y40,Master!A$8:N$127,8,FALSE)),"",VLOOKUP($Y40,Master!A$8:AH$127,8,FALSE)),"")</f>
        <v>45292</v>
      </c>
      <c r="C45" s="9">
        <f>IFERROR(IF(ISNA(VLOOKUP(Y40,Master!A$8:N$127,5,FALSE)),"",VLOOKUP($Y$40,Master!A$8:AH$127,5,FALSE)),"")</f>
        <v>59500</v>
      </c>
      <c r="D45" s="9">
        <f>IF(AND(C45=""),"",IF(AND($Y$40=""),"",ROUND(C45*Master!C$5%,0)))</f>
        <v>29750</v>
      </c>
      <c r="E45" s="9">
        <f>IF(AND(C45=""),"",IF(AND($Y$40=""),"",ROUND(C45*Master!H$5%,0)))</f>
        <v>5355</v>
      </c>
      <c r="F45" s="9">
        <f t="shared" ref="F45" si="49">IF(AND(C45=""),"",SUM(C45:E45))</f>
        <v>94605</v>
      </c>
      <c r="G45" s="9">
        <f>IFERROR(IF(ISNA(VLOOKUP($Y$40,Master!A$8:N$127,5,FALSE)),"",VLOOKUP($Y$40,Master!A$8:AH$127,5,FALSE)),"")</f>
        <v>59500</v>
      </c>
      <c r="H45" s="9">
        <f>IF(AND(G45=""),"",IF(AND($Y$40=""),"",ROUND(G45*Master!C$4%,0)))</f>
        <v>27370</v>
      </c>
      <c r="I45" s="9">
        <f>IF(AND(G45=""),"",IF(AND($Y$40=""),"",ROUND(G45*Master!H$4%,0)))</f>
        <v>5355</v>
      </c>
      <c r="J45" s="9">
        <f t="shared" ref="J45:J46" si="50">IF(AND(C45=""),"",SUM(G45:I45))</f>
        <v>92225</v>
      </c>
      <c r="K45" s="9">
        <f t="shared" ref="K45:K47" si="51">IF(AND(C45=""),"",IF(AND(G45=""),"",C45-G45))</f>
        <v>0</v>
      </c>
      <c r="L45" s="9">
        <f t="shared" ref="L45:L47" si="52">IF(AND(D45=""),"",IF(AND(H45=""),"",D45-H45))</f>
        <v>2380</v>
      </c>
      <c r="M45" s="9">
        <f t="shared" ref="M45:M46" si="53">IF(AND(E45=""),"",IF(AND(I45=""),"",E45-I45))</f>
        <v>0</v>
      </c>
      <c r="N45" s="9">
        <f t="shared" ref="N45:N46" si="54">IF(AND(F45=""),"",IF(AND(J45=""),"",F45-J45))</f>
        <v>2380</v>
      </c>
      <c r="O45" s="9">
        <f>IF(AND(C45=""),"",N45-P45)</f>
        <v>2380</v>
      </c>
      <c r="P45" s="9">
        <f>IF(AND($Y$40=""),"",IF(AND(N45=""),"",ROUND(N45*AA$38%,0)))</f>
        <v>0</v>
      </c>
      <c r="Q45" s="9">
        <f>IF(AND($Y$40=""),"",IF(AND(C45=""),"",IF(AND(O45=""),"",SUM(O45,P45))))</f>
        <v>2380</v>
      </c>
      <c r="R45" s="9">
        <f>IF(AND(N45=""),"",IF(AND(Q45=""),"",N45-Q45))</f>
        <v>0</v>
      </c>
      <c r="S45" s="20"/>
    </row>
    <row r="46" spans="1:27" ht="21" customHeight="1">
      <c r="A46" s="8">
        <v>2</v>
      </c>
      <c r="B46" s="23">
        <f>IFERROR(DATE(YEAR(B45),MONTH(B45)+1,DAY(B45)),"")</f>
        <v>45323</v>
      </c>
      <c r="C46" s="9">
        <f>IF(AND($Y$40=""),"",C45)</f>
        <v>59500</v>
      </c>
      <c r="D46" s="9">
        <f>IF(AND(C46=""),"",IF(AND($Y$40=""),"",ROUND(C46*Master!C$5%,0)))</f>
        <v>29750</v>
      </c>
      <c r="E46" s="9">
        <f>IF(AND(C46=""),"",IF(AND($Y$40=""),"",ROUND(C46*Master!H$5%,0)))</f>
        <v>5355</v>
      </c>
      <c r="F46" s="9">
        <f>IF(AND(C46=""),"",SUM(C46:E46))</f>
        <v>94605</v>
      </c>
      <c r="G46" s="9">
        <f>IF(C46="","",IF(AND($Y$40=""),"",G45))</f>
        <v>59500</v>
      </c>
      <c r="H46" s="9">
        <f>IF(AND(G46=""),"",IF(AND($Y$40=""),"",ROUND(G46*Master!C$4%,0)))</f>
        <v>27370</v>
      </c>
      <c r="I46" s="9">
        <f>IF(AND(G46=""),"",IF(AND($Y$40=""),"",ROUND(G46*Master!H$4%,0)))</f>
        <v>5355</v>
      </c>
      <c r="J46" s="9">
        <f t="shared" si="50"/>
        <v>92225</v>
      </c>
      <c r="K46" s="9">
        <f t="shared" si="51"/>
        <v>0</v>
      </c>
      <c r="L46" s="9">
        <f t="shared" si="52"/>
        <v>2380</v>
      </c>
      <c r="M46" s="9">
        <f t="shared" si="53"/>
        <v>0</v>
      </c>
      <c r="N46" s="9">
        <f t="shared" si="54"/>
        <v>2380</v>
      </c>
      <c r="O46" s="9">
        <f t="shared" ref="O46" si="55">IF(AND(C46=""),"",N46-P46)</f>
        <v>2380</v>
      </c>
      <c r="P46" s="9">
        <f t="shared" ref="P46:P47" si="56">IF(AND($Y$40=""),"",IF(AND(N46=""),"",ROUND(N46*AA$38%,0)))</f>
        <v>0</v>
      </c>
      <c r="Q46" s="9">
        <f>IF(AND($Y$40=""),"",IF(AND(C46=""),"",IF(AND(O46=""),"",SUM(O46,P46))))</f>
        <v>2380</v>
      </c>
      <c r="R46" s="9">
        <f t="shared" ref="R46:R47" si="57">IF(AND(N46=""),"",IF(AND(Q46=""),"",N46-Q46))</f>
        <v>0</v>
      </c>
      <c r="S46" s="20"/>
    </row>
    <row r="47" spans="1:27" ht="21" customHeight="1">
      <c r="A47" s="8">
        <v>3</v>
      </c>
      <c r="B47" s="23">
        <f>IFERROR(DATE(YEAR(B46),MONTH(B46)+1,DAY(B46)),"")</f>
        <v>45352</v>
      </c>
      <c r="C47" s="9"/>
      <c r="D47" s="9" t="str">
        <f>IF(AND(C47=""),"",IF(AND($Y$40=""),"",ROUND(C47*Master!C$5%,0)))</f>
        <v/>
      </c>
      <c r="E47" s="9" t="str">
        <f>IF(AND(C47=""),"",IF(AND($Y$40=""),"",ROUND(C47*Master!H$5%,0)))</f>
        <v/>
      </c>
      <c r="F47" s="9" t="str">
        <f t="shared" ref="F47" si="58">IF(AND(C47=""),"",SUM(C47:E47))</f>
        <v/>
      </c>
      <c r="G47" s="9" t="str">
        <f t="shared" ref="G47:G48" si="59">IF(C47="","",IF(AND($Y$40=""),"",G46))</f>
        <v/>
      </c>
      <c r="H47" s="9" t="str">
        <f>IF(AND(G47=""),"",IF(AND($Y$40=""),"",ROUND(G47*Master!C$4%,0)))</f>
        <v/>
      </c>
      <c r="I47" s="9" t="str">
        <f>IF(AND(G47=""),"",IF(AND($Y$40=""),"",ROUND(G47*Master!H$4%,0)))</f>
        <v/>
      </c>
      <c r="J47" s="9" t="str">
        <f>IF(AND(C47=""),"",SUM(G47:I47))</f>
        <v/>
      </c>
      <c r="K47" s="9" t="str">
        <f t="shared" si="51"/>
        <v/>
      </c>
      <c r="L47" s="9" t="str">
        <f t="shared" si="52"/>
        <v/>
      </c>
      <c r="M47" s="9" t="str">
        <f>IF(AND(E47=""),"",IF(AND(I47=""),"",E47-I47))</f>
        <v/>
      </c>
      <c r="N47" s="9" t="str">
        <f>IF(AND(F47=""),"",IF(AND(J47=""),"",F47-J47))</f>
        <v/>
      </c>
      <c r="O47" s="9">
        <v>0</v>
      </c>
      <c r="P47" s="9" t="str">
        <f t="shared" si="56"/>
        <v/>
      </c>
      <c r="Q47" s="9" t="str">
        <f>IF(AND($Y$40=""),"",IF(AND(C47=""),"",IF(AND(O47=""),"",SUM(O47,P47))))</f>
        <v/>
      </c>
      <c r="R47" s="9" t="str">
        <f t="shared" si="57"/>
        <v/>
      </c>
      <c r="S47" s="20"/>
    </row>
    <row r="48" spans="1:27" ht="21" customHeight="1">
      <c r="A48" s="8">
        <v>4</v>
      </c>
      <c r="B48" s="23">
        <f>IFERROR(DATE(YEAR(B47),MONTH(B47)+1,DAY(B47)),"")</f>
        <v>45383</v>
      </c>
      <c r="C48" s="9"/>
      <c r="D48" s="9" t="str">
        <f>IF(AND(C48=""),"",IF(AND($Y$40=""),"",ROUND(C48*Master!C$5%,0)))</f>
        <v/>
      </c>
      <c r="E48" s="9" t="str">
        <f>IF(AND(C48=""),"",IF(AND($Y$40=""),"",ROUND(C48*Master!H$5%,0)))</f>
        <v/>
      </c>
      <c r="F48" s="9" t="str">
        <f t="shared" ref="F48" si="60">IF(AND(C48=""),"",SUM(C48:E48))</f>
        <v/>
      </c>
      <c r="G48" s="9" t="str">
        <f t="shared" si="59"/>
        <v/>
      </c>
      <c r="H48" s="9" t="str">
        <f>IF(AND(G48=""),"",IF(AND($Y$40=""),"",ROUND(G48*Master!C$4%,0)))</f>
        <v/>
      </c>
      <c r="I48" s="9" t="str">
        <f>IF(AND(G48=""),"",IF(AND($Y$40=""),"",ROUND(G48*Master!H$4%,0)))</f>
        <v/>
      </c>
      <c r="J48" s="9" t="str">
        <f>IF(AND(C48=""),"",SUM(G48:I48))</f>
        <v/>
      </c>
      <c r="K48" s="9" t="str">
        <f t="shared" ref="K48" si="61">IF(AND(C48=""),"",IF(AND(G48=""),"",C48-G48))</f>
        <v/>
      </c>
      <c r="L48" s="9" t="str">
        <f t="shared" ref="L48" si="62">IF(AND(D48=""),"",IF(AND(H48=""),"",D48-H48))</f>
        <v/>
      </c>
      <c r="M48" s="9" t="str">
        <f>IF(AND(E48=""),"",IF(AND(I48=""),"",E48-I48))</f>
        <v/>
      </c>
      <c r="N48" s="9" t="str">
        <f>IF(AND(F48=""),"",IF(AND(J48=""),"",F48-J48))</f>
        <v/>
      </c>
      <c r="O48" s="9">
        <v>0</v>
      </c>
      <c r="P48" s="9" t="str">
        <f t="shared" ref="P48" si="63">IF(AND($Y$40=""),"",IF(AND(N48=""),"",ROUND(N48*AA$38%,0)))</f>
        <v/>
      </c>
      <c r="Q48" s="9" t="str">
        <f>IF(AND($Y$40=""),"",IF(AND(C48=""),"",IF(AND(O48=""),"",SUM(O48,P48))))</f>
        <v/>
      </c>
      <c r="R48" s="9" t="str">
        <f t="shared" ref="R48" si="64">IF(AND(N48=""),"",IF(AND(Q48=""),"",N48-Q48))</f>
        <v/>
      </c>
      <c r="S48" s="20"/>
    </row>
    <row r="49" spans="1:25" ht="23.25" customHeight="1">
      <c r="A49" s="153" t="s">
        <v>9</v>
      </c>
      <c r="B49" s="154"/>
      <c r="C49" s="63">
        <f>IF(AND($Y$40=""),"",SUM(C45:C48))</f>
        <v>119000</v>
      </c>
      <c r="D49" s="63">
        <f t="shared" ref="D49:R49" si="65">IF(AND($Y$40=""),"",SUM(D45:D48))</f>
        <v>59500</v>
      </c>
      <c r="E49" s="63">
        <f t="shared" si="65"/>
        <v>10710</v>
      </c>
      <c r="F49" s="63">
        <f t="shared" si="65"/>
        <v>189210</v>
      </c>
      <c r="G49" s="63">
        <f t="shared" si="65"/>
        <v>119000</v>
      </c>
      <c r="H49" s="63">
        <f t="shared" si="65"/>
        <v>54740</v>
      </c>
      <c r="I49" s="63">
        <f t="shared" si="65"/>
        <v>10710</v>
      </c>
      <c r="J49" s="63">
        <f t="shared" si="65"/>
        <v>184450</v>
      </c>
      <c r="K49" s="63">
        <f t="shared" si="65"/>
        <v>0</v>
      </c>
      <c r="L49" s="63">
        <f t="shared" si="65"/>
        <v>4760</v>
      </c>
      <c r="M49" s="63">
        <f t="shared" si="65"/>
        <v>0</v>
      </c>
      <c r="N49" s="63">
        <f>IF(AND($Y$40=""),"",SUM(N45:N48))</f>
        <v>4760</v>
      </c>
      <c r="O49" s="63">
        <f t="shared" si="65"/>
        <v>4760</v>
      </c>
      <c r="P49" s="63">
        <f t="shared" si="65"/>
        <v>0</v>
      </c>
      <c r="Q49" s="63">
        <f t="shared" si="65"/>
        <v>4760</v>
      </c>
      <c r="R49" s="63">
        <f t="shared" si="65"/>
        <v>0</v>
      </c>
      <c r="S49" s="49"/>
    </row>
    <row r="50" spans="1:25" ht="10.5" customHeight="1">
      <c r="A50" s="73"/>
      <c r="B50" s="73"/>
      <c r="C50" s="74"/>
      <c r="D50" s="74"/>
      <c r="E50" s="74"/>
      <c r="F50" s="74"/>
      <c r="G50" s="74"/>
      <c r="H50" s="74"/>
      <c r="I50" s="74"/>
      <c r="J50" s="74"/>
      <c r="K50" s="74"/>
      <c r="L50" s="74"/>
      <c r="M50" s="74"/>
      <c r="N50" s="74"/>
      <c r="O50" s="74"/>
      <c r="P50" s="74"/>
      <c r="Q50" s="74"/>
      <c r="R50" s="74"/>
      <c r="S50" s="75"/>
    </row>
    <row r="51" spans="1:25" ht="23.25" customHeight="1">
      <c r="E51" s="133" t="s">
        <v>10</v>
      </c>
      <c r="F51" s="133"/>
      <c r="G51" s="133"/>
      <c r="H51" s="133"/>
      <c r="I51" s="133"/>
      <c r="J51" s="132" t="str">
        <f>IF(ISNA(VLOOKUP($Y$53,Master!A$8:N$127,2,FALSE)),"",VLOOKUP($Y$53,Master!A$8:AH$127,2,FALSE))</f>
        <v>HEERA LAL JAT</v>
      </c>
      <c r="K51" s="132"/>
      <c r="L51" s="132"/>
      <c r="M51" s="132"/>
      <c r="N51" s="132"/>
      <c r="O51" s="60" t="s">
        <v>31</v>
      </c>
      <c r="P51" s="132" t="str">
        <f>IF(ISNA(VLOOKUP($Y$53,Master!A$8:N$127,3,FALSE)),"",VLOOKUP($Y$53,Master!A$8:AH$127,3,FALSE))</f>
        <v>Sr. Teacher</v>
      </c>
      <c r="Q51" s="132"/>
      <c r="R51" s="132"/>
      <c r="S51" s="132"/>
    </row>
    <row r="52" spans="1:25" ht="9" customHeight="1">
      <c r="E52" s="19"/>
      <c r="F52" s="52"/>
      <c r="G52" s="22"/>
      <c r="H52" s="22"/>
      <c r="I52" s="22"/>
      <c r="J52" s="5"/>
      <c r="K52" s="5"/>
      <c r="L52" s="5"/>
      <c r="M52" s="5"/>
      <c r="N52" s="5"/>
      <c r="O52" s="6"/>
      <c r="P52" s="6"/>
    </row>
    <row r="53" spans="1:25" ht="21" customHeight="1">
      <c r="A53" s="8">
        <v>1</v>
      </c>
      <c r="B53" s="23">
        <f>IFERROR(IF(ISNA(VLOOKUP(Y53,Master!A$8:N$127,8,FALSE)),"",VLOOKUP($Y53,Master!A$8:AH$127,8,FALSE)),"")</f>
        <v>45292</v>
      </c>
      <c r="C53" s="9">
        <f>IFERROR(IF(ISNA(VLOOKUP($Y$53,Master!A$8:N$127,5,FALSE)),"",VLOOKUP($Y$53,Master!A$8:AH$127,5,FALSE)),"")</f>
        <v>55500</v>
      </c>
      <c r="D53" s="9">
        <f>IF(AND(C53=""),"",IF(AND($Y$53=""),"",ROUND(C53*Master!C$5%,0)))</f>
        <v>27750</v>
      </c>
      <c r="E53" s="9">
        <f>IF(AND(C53=""),"",IF(AND($Y$53=""),"",ROUND(C53*Master!H$5%,0)))</f>
        <v>4995</v>
      </c>
      <c r="F53" s="9">
        <f t="shared" ref="F53:F55" si="66">IF(AND(C53=""),"",SUM(C53:E53))</f>
        <v>88245</v>
      </c>
      <c r="G53" s="9">
        <f>IFERROR(IF(ISNA(VLOOKUP($Y$53,Master!A$8:N$127,5,FALSE)),"",VLOOKUP($Y$53,Master!A$8:AH$127,5,FALSE)),"")</f>
        <v>55500</v>
      </c>
      <c r="H53" s="9">
        <f>IF(AND(G53=""),"",IF(AND($Y$53=""),"",ROUND(G53*Master!C$4%,0)))</f>
        <v>25530</v>
      </c>
      <c r="I53" s="9">
        <f>IF(AND(G53=""),"",IF(AND($Y$53=""),"",ROUND(G53*Master!H$4%,0)))</f>
        <v>4995</v>
      </c>
      <c r="J53" s="9">
        <f t="shared" ref="J53:J55" si="67">IF(AND(C53=""),"",SUM(G53:I53))</f>
        <v>86025</v>
      </c>
      <c r="K53" s="9">
        <f t="shared" ref="K53" si="68">IF(AND(C53=""),"",IF(AND(G53=""),"",C53-G53))</f>
        <v>0</v>
      </c>
      <c r="L53" s="9">
        <f>IF(AND(D53=""),"",IF(AND(H53=""),"",D53-H53))</f>
        <v>2220</v>
      </c>
      <c r="M53" s="9">
        <f t="shared" ref="M53:M55" si="69">IF(AND(E53=""),"",IF(AND(I53=""),"",E53-I53))</f>
        <v>0</v>
      </c>
      <c r="N53" s="9">
        <f t="shared" ref="N53:N55" si="70">IF(AND(F53=""),"",IF(AND(J53=""),"",F53-J53))</f>
        <v>2220</v>
      </c>
      <c r="O53" s="9">
        <f>IF(AND(C53=""),"",N53-P53)</f>
        <v>2220</v>
      </c>
      <c r="P53" s="9">
        <f>IF(AND($Y$53=""),"",IF(AND(N53=""),"",ROUND(N53*$X$54%,0)))</f>
        <v>0</v>
      </c>
      <c r="Q53" s="9">
        <f>IF(AND($Y$53=""),"",IF(AND(C53=""),"",IF(AND(O53=""),"",SUM(O53,P53))))</f>
        <v>2220</v>
      </c>
      <c r="R53" s="9">
        <f>IF(AND(N53=""),"",IF(AND(Q53=""),"",N53-Q53))</f>
        <v>0</v>
      </c>
      <c r="S53" s="20"/>
      <c r="X53" s="61" t="s">
        <v>49</v>
      </c>
      <c r="Y53" s="64">
        <f>IF(AND(Master!B12="",Master!E12=""),"",5)</f>
        <v>5</v>
      </c>
    </row>
    <row r="54" spans="1:25" ht="21" customHeight="1">
      <c r="A54" s="8">
        <v>2</v>
      </c>
      <c r="B54" s="23">
        <f>IFERROR(DATE(YEAR(B53),MONTH(B53)+1,DAY(B53)),"")</f>
        <v>45323</v>
      </c>
      <c r="C54" s="9">
        <f>IF(AND($Y$53=""),"",C53)</f>
        <v>55500</v>
      </c>
      <c r="D54" s="9">
        <f>IF(AND(C54=""),"",IF(AND($Y$53=""),"",ROUND(C54*Master!C$5%,0)))</f>
        <v>27750</v>
      </c>
      <c r="E54" s="9">
        <f>IF(AND(C54=""),"",IF(AND($Y$53=""),"",ROUND(C54*Master!H$5%,0)))</f>
        <v>4995</v>
      </c>
      <c r="F54" s="9">
        <f t="shared" si="66"/>
        <v>88245</v>
      </c>
      <c r="G54" s="9">
        <f>IF(C54="","",IF(AND($Y$53=""),"",G53))</f>
        <v>55500</v>
      </c>
      <c r="H54" s="9">
        <f>IF(AND(G54=""),"",IF(AND($Y$53=""),"",ROUND(G54*Master!C$4%,0)))</f>
        <v>25530</v>
      </c>
      <c r="I54" s="9">
        <f>IF(AND(G54=""),"",IF(AND($Y$53=""),"",ROUND(G54*Master!H$4%,0)))</f>
        <v>4995</v>
      </c>
      <c r="J54" s="9">
        <f t="shared" si="67"/>
        <v>86025</v>
      </c>
      <c r="K54" s="9">
        <f>IF(AND(C54=""),"",IF(AND(G54=""),"",C54-G54))</f>
        <v>0</v>
      </c>
      <c r="L54" s="9">
        <f t="shared" ref="L54:L55" si="71">IF(AND(D54=""),"",IF(AND(H54=""),"",D54-H54))</f>
        <v>2220</v>
      </c>
      <c r="M54" s="9">
        <f t="shared" si="69"/>
        <v>0</v>
      </c>
      <c r="N54" s="9">
        <f t="shared" si="70"/>
        <v>2220</v>
      </c>
      <c r="O54" s="9">
        <f t="shared" ref="O54" si="72">IF(AND(C54=""),"",N54-P54)</f>
        <v>2220</v>
      </c>
      <c r="P54" s="9">
        <f t="shared" ref="P54:P55" si="73">IF(AND($Y$53=""),"",IF(AND(N54=""),"",ROUND(N54*$X$54%,0)))</f>
        <v>0</v>
      </c>
      <c r="Q54" s="9">
        <f>IF(AND($Y$53=""),"",IF(AND(C54=""),"",IF(AND(O54=""),"",SUM(O54,P54))))</f>
        <v>2220</v>
      </c>
      <c r="R54" s="9">
        <f t="shared" ref="R54:R55" si="74">IF(AND(N54=""),"",IF(AND(Q54=""),"",N54-Q54))</f>
        <v>0</v>
      </c>
      <c r="S54" s="20"/>
      <c r="X54" s="4">
        <f>IF(ISNA(VLOOKUP($Y$53,Master!A$8:N$127,7,FALSE)),"",VLOOKUP($Y$53,Master!A$8:AH$127,7,FALSE))</f>
        <v>0</v>
      </c>
    </row>
    <row r="55" spans="1:25" ht="21" customHeight="1">
      <c r="A55" s="8">
        <v>3</v>
      </c>
      <c r="B55" s="23">
        <f>IFERROR(DATE(YEAR(B54),MONTH(B54)+1,DAY(B54)),"")</f>
        <v>45352</v>
      </c>
      <c r="C55" s="9"/>
      <c r="D55" s="9" t="str">
        <f>IF(AND(C55=""),"",IF(AND($Y$53=""),"",ROUND(C55*Master!C$5%,0)))</f>
        <v/>
      </c>
      <c r="E55" s="9" t="str">
        <f>IF(AND(C55=""),"",IF(AND($Y$53=""),"",ROUND(C55*Master!H$5%,0)))</f>
        <v/>
      </c>
      <c r="F55" s="9" t="str">
        <f t="shared" si="66"/>
        <v/>
      </c>
      <c r="G55" s="9" t="str">
        <f t="shared" ref="G55:G56" si="75">IF(C55="","",IF(AND($Y$53=""),"",G54))</f>
        <v/>
      </c>
      <c r="H55" s="9" t="str">
        <f>IF(AND(G55=""),"",IF(AND($Y$53=""),"",ROUND(G55*Master!C$4%,0)))</f>
        <v/>
      </c>
      <c r="I55" s="9" t="str">
        <f>IF(AND(G55=""),"",IF(AND($Y$53=""),"",ROUND(G55*Master!H$4%,0)))</f>
        <v/>
      </c>
      <c r="J55" s="9" t="str">
        <f t="shared" si="67"/>
        <v/>
      </c>
      <c r="K55" s="9" t="str">
        <f t="shared" ref="K55" si="76">IF(AND(C55=""),"",IF(AND(G55=""),"",C55-G55))</f>
        <v/>
      </c>
      <c r="L55" s="9" t="str">
        <f t="shared" si="71"/>
        <v/>
      </c>
      <c r="M55" s="9" t="str">
        <f t="shared" si="69"/>
        <v/>
      </c>
      <c r="N55" s="9" t="str">
        <f t="shared" si="70"/>
        <v/>
      </c>
      <c r="O55" s="9">
        <v>0</v>
      </c>
      <c r="P55" s="9" t="str">
        <f t="shared" si="73"/>
        <v/>
      </c>
      <c r="Q55" s="9" t="str">
        <f>IF(AND($Y$53=""),"",IF(AND(C55=""),"",IF(AND(O55=""),"",SUM(O55,P55))))</f>
        <v/>
      </c>
      <c r="R55" s="9" t="str">
        <f t="shared" si="74"/>
        <v/>
      </c>
      <c r="S55" s="20"/>
    </row>
    <row r="56" spans="1:25" ht="21" customHeight="1">
      <c r="A56" s="8">
        <v>4</v>
      </c>
      <c r="B56" s="23">
        <f>IFERROR(DATE(YEAR(B55),MONTH(B55)+1,DAY(B55)),"")</f>
        <v>45383</v>
      </c>
      <c r="C56" s="9"/>
      <c r="D56" s="9" t="str">
        <f>IF(AND(C56=""),"",IF(AND($Y$53=""),"",ROUND(C56*Master!C$5%,0)))</f>
        <v/>
      </c>
      <c r="E56" s="9" t="str">
        <f>IF(AND(C56=""),"",IF(AND($Y$53=""),"",ROUND(C56*Master!H$5%,0)))</f>
        <v/>
      </c>
      <c r="F56" s="9" t="str">
        <f t="shared" ref="F56" si="77">IF(AND(C56=""),"",SUM(C56:E56))</f>
        <v/>
      </c>
      <c r="G56" s="9" t="str">
        <f t="shared" si="75"/>
        <v/>
      </c>
      <c r="H56" s="9" t="str">
        <f>IF(AND(G56=""),"",IF(AND($Y$53=""),"",ROUND(G56*Master!C$4%,0)))</f>
        <v/>
      </c>
      <c r="I56" s="9" t="str">
        <f>IF(AND(G56=""),"",IF(AND($Y$53=""),"",ROUND(G56*Master!H$4%,0)))</f>
        <v/>
      </c>
      <c r="J56" s="9" t="str">
        <f t="shared" ref="J56" si="78">IF(AND(C56=""),"",SUM(G56:I56))</f>
        <v/>
      </c>
      <c r="K56" s="9" t="str">
        <f t="shared" ref="K56" si="79">IF(AND(C56=""),"",IF(AND(G56=""),"",C56-G56))</f>
        <v/>
      </c>
      <c r="L56" s="9" t="str">
        <f t="shared" ref="L56" si="80">IF(AND(D56=""),"",IF(AND(H56=""),"",D56-H56))</f>
        <v/>
      </c>
      <c r="M56" s="9" t="str">
        <f t="shared" ref="M56" si="81">IF(AND(E56=""),"",IF(AND(I56=""),"",E56-I56))</f>
        <v/>
      </c>
      <c r="N56" s="9" t="str">
        <f t="shared" ref="N56" si="82">IF(AND(F56=""),"",IF(AND(J56=""),"",F56-J56))</f>
        <v/>
      </c>
      <c r="O56" s="9">
        <v>0</v>
      </c>
      <c r="P56" s="9" t="str">
        <f t="shared" ref="P56" si="83">IF(AND($Y$53=""),"",IF(AND(N56=""),"",ROUND(N56*$X$54%,0)))</f>
        <v/>
      </c>
      <c r="Q56" s="9" t="str">
        <f>IF(AND($Y$53=""),"",IF(AND(C56=""),"",IF(AND(O56=""),"",SUM(O56,P56))))</f>
        <v/>
      </c>
      <c r="R56" s="9" t="str">
        <f t="shared" ref="R56" si="84">IF(AND(N56=""),"",IF(AND(Q56=""),"",N56-Q56))</f>
        <v/>
      </c>
      <c r="S56" s="20"/>
    </row>
    <row r="57" spans="1:25" ht="30.75" customHeight="1">
      <c r="A57" s="153" t="s">
        <v>9</v>
      </c>
      <c r="B57" s="154"/>
      <c r="C57" s="63">
        <f>IF(AND($Y$53=""),"",SUM(C53:C56))</f>
        <v>111000</v>
      </c>
      <c r="D57" s="63">
        <f t="shared" ref="D57:R57" si="85">IF(AND($Y$53=""),"",SUM(D53:D56))</f>
        <v>55500</v>
      </c>
      <c r="E57" s="63">
        <f t="shared" si="85"/>
        <v>9990</v>
      </c>
      <c r="F57" s="63">
        <f t="shared" si="85"/>
        <v>176490</v>
      </c>
      <c r="G57" s="63">
        <f t="shared" si="85"/>
        <v>111000</v>
      </c>
      <c r="H57" s="63">
        <f t="shared" si="85"/>
        <v>51060</v>
      </c>
      <c r="I57" s="63">
        <f t="shared" si="85"/>
        <v>9990</v>
      </c>
      <c r="J57" s="63">
        <f t="shared" si="85"/>
        <v>172050</v>
      </c>
      <c r="K57" s="63">
        <f t="shared" si="85"/>
        <v>0</v>
      </c>
      <c r="L57" s="63">
        <f t="shared" si="85"/>
        <v>4440</v>
      </c>
      <c r="M57" s="63">
        <f t="shared" si="85"/>
        <v>0</v>
      </c>
      <c r="N57" s="63">
        <f t="shared" si="85"/>
        <v>4440</v>
      </c>
      <c r="O57" s="63">
        <f t="shared" si="85"/>
        <v>4440</v>
      </c>
      <c r="P57" s="63">
        <f t="shared" si="85"/>
        <v>0</v>
      </c>
      <c r="Q57" s="63">
        <f t="shared" si="85"/>
        <v>4440</v>
      </c>
      <c r="R57" s="63">
        <f t="shared" si="85"/>
        <v>0</v>
      </c>
      <c r="S57" s="49"/>
    </row>
    <row r="58" spans="1:25" ht="11.25" customHeight="1">
      <c r="A58" s="73"/>
      <c r="B58" s="73"/>
      <c r="C58" s="74"/>
      <c r="D58" s="74"/>
      <c r="E58" s="74"/>
      <c r="F58" s="74"/>
      <c r="G58" s="74"/>
      <c r="H58" s="74"/>
      <c r="I58" s="74"/>
      <c r="J58" s="74"/>
      <c r="K58" s="74"/>
      <c r="L58" s="74"/>
      <c r="M58" s="74"/>
      <c r="N58" s="74"/>
      <c r="O58" s="74"/>
      <c r="P58" s="74"/>
      <c r="Q58" s="74"/>
      <c r="R58" s="74"/>
      <c r="S58" s="75"/>
    </row>
    <row r="59" spans="1:25" ht="23.25" customHeight="1">
      <c r="E59" s="133" t="s">
        <v>10</v>
      </c>
      <c r="F59" s="133"/>
      <c r="G59" s="133"/>
      <c r="H59" s="133"/>
      <c r="I59" s="133"/>
      <c r="J59" s="132" t="str">
        <f>IF(ISNA(VLOOKUP($Y$61,Master!A$8:N$127,2,FALSE)),"",VLOOKUP($Y$61,Master!A$8:AH$127,2,FALSE))</f>
        <v xml:space="preserve">RAKESH KUMAR </v>
      </c>
      <c r="K59" s="132"/>
      <c r="L59" s="132"/>
      <c r="M59" s="132"/>
      <c r="N59" s="132"/>
      <c r="O59" s="60" t="s">
        <v>31</v>
      </c>
      <c r="P59" s="132" t="str">
        <f>IF(ISNA(VLOOKUP($Y$61,Master!A$8:N$127,3,FALSE)),"",VLOOKUP($Y$61,Master!A$8:AH$127,3,FALSE))</f>
        <v>Sr. Teacher</v>
      </c>
      <c r="Q59" s="132"/>
      <c r="R59" s="132"/>
      <c r="S59" s="132"/>
    </row>
    <row r="60" spans="1:25" ht="9" customHeight="1">
      <c r="E60" s="19"/>
      <c r="F60" s="52"/>
      <c r="G60" s="22"/>
      <c r="H60" s="22"/>
      <c r="I60" s="22"/>
      <c r="J60" s="5"/>
      <c r="K60" s="5"/>
      <c r="L60" s="5"/>
      <c r="M60" s="5"/>
      <c r="N60" s="5"/>
      <c r="O60" s="6"/>
      <c r="P60" s="6"/>
    </row>
    <row r="61" spans="1:25" ht="21" customHeight="1">
      <c r="A61" s="8">
        <v>1</v>
      </c>
      <c r="B61" s="23">
        <f>IFERROR(IF(ISNA(VLOOKUP(Y61,Master!A$8:N$127,8,FALSE)),"",VLOOKUP($Y61,Master!A$8:AH$127,8,FALSE)),"")</f>
        <v>45292</v>
      </c>
      <c r="C61" s="9">
        <f>IFERROR(IF(ISNA(VLOOKUP($Y$61,Master!A$8:N$127,5,FALSE)),"",VLOOKUP($Y$61,Master!A$8:AH$127,5,FALSE)),"")</f>
        <v>41300</v>
      </c>
      <c r="D61" s="9">
        <f>IF(AND(C61=""),"",IF(AND($Y$61=""),"",ROUND(C61*Master!C$5%,0)))</f>
        <v>20650</v>
      </c>
      <c r="E61" s="9">
        <f>IF(AND(C61=""),"",IF(AND($Y$61=""),"",ROUND(C61*Master!H$5%,0)))</f>
        <v>3717</v>
      </c>
      <c r="F61" s="9">
        <f t="shared" ref="F61:F63" si="86">IF(AND(C61=""),"",SUM(C61:E61))</f>
        <v>65667</v>
      </c>
      <c r="G61" s="9">
        <f>IFERROR(IF(ISNA(VLOOKUP($Y$61,Master!A$8:N$127,5,FALSE)),"",VLOOKUP($Y$61,Master!A$8:AH$127,5,FALSE)),"")</f>
        <v>41300</v>
      </c>
      <c r="H61" s="9">
        <f>IF(AND(G61=""),"",IF(AND($Y$61=""),"",ROUND(G61*Master!C$4%,0)))</f>
        <v>18998</v>
      </c>
      <c r="I61" s="9">
        <f>IF(AND(G61=""),"",IF(AND($Y$61=""),"",ROUND(G61*Master!H$4%,0)))</f>
        <v>3717</v>
      </c>
      <c r="J61" s="9">
        <f t="shared" ref="J61:J63" si="87">IF(AND(C61=""),"",SUM(G61:I61))</f>
        <v>64015</v>
      </c>
      <c r="K61" s="9">
        <f t="shared" ref="K61:K63" si="88">IF(AND(C61=""),"",IF(AND(G61=""),"",C61-G61))</f>
        <v>0</v>
      </c>
      <c r="L61" s="9">
        <f t="shared" ref="L61:L63" si="89">IF(AND(D61=""),"",IF(AND(H61=""),"",D61-H61))</f>
        <v>1652</v>
      </c>
      <c r="M61" s="9">
        <f t="shared" ref="M61:M63" si="90">IF(AND(E61=""),"",IF(AND(I61=""),"",E61-I61))</f>
        <v>0</v>
      </c>
      <c r="N61" s="9">
        <f t="shared" ref="N61:N63" si="91">IF(AND(F61=""),"",IF(AND(J61=""),"",F61-J61))</f>
        <v>1652</v>
      </c>
      <c r="O61" s="9">
        <f>IF(AND(C61=""),"",N61-P61)</f>
        <v>1652</v>
      </c>
      <c r="P61" s="9">
        <f>IF(AND($Y$61=""),"",IF(AND(N61=""),"",ROUND(N61*$X$62%,0)))</f>
        <v>0</v>
      </c>
      <c r="Q61" s="9">
        <f>IF(AND($Y$61=""),"",IF(AND(C61=""),"",IF(AND(O61=""),"",SUM(O61,P61))))</f>
        <v>1652</v>
      </c>
      <c r="R61" s="9">
        <f>IF(AND(N61=""),"",IF(AND(Q61=""),"",N61-Q61))</f>
        <v>0</v>
      </c>
      <c r="S61" s="20"/>
      <c r="X61" s="61" t="s">
        <v>49</v>
      </c>
      <c r="Y61" s="64">
        <f>IF(AND(Master!B13="",Master!E13=""),"",6)</f>
        <v>6</v>
      </c>
    </row>
    <row r="62" spans="1:25" ht="21" customHeight="1">
      <c r="A62" s="8">
        <v>2</v>
      </c>
      <c r="B62" s="23">
        <f>IFERROR(DATE(YEAR(B61),MONTH(B61)+1,DAY(B61)),"")</f>
        <v>45323</v>
      </c>
      <c r="C62" s="9">
        <f>IF(AND($Y$61=""),"",C61)</f>
        <v>41300</v>
      </c>
      <c r="D62" s="9">
        <f>IF(AND(C62=""),"",IF(AND($Y$61=""),"",ROUND(C62*Master!C$5%,0)))</f>
        <v>20650</v>
      </c>
      <c r="E62" s="9">
        <f>IF(AND(C62=""),"",IF(AND($Y$61=""),"",ROUND(C62*Master!H$5%,0)))</f>
        <v>3717</v>
      </c>
      <c r="F62" s="9">
        <f t="shared" si="86"/>
        <v>65667</v>
      </c>
      <c r="G62" s="9">
        <f>IF(C62="","",IF(AND($Y$61=""),"",G61))</f>
        <v>41300</v>
      </c>
      <c r="H62" s="9">
        <f>IF(AND(G62=""),"",IF(AND($Y$61=""),"",ROUND(G62*Master!C$4%,0)))</f>
        <v>18998</v>
      </c>
      <c r="I62" s="9">
        <f>IF(AND(G62=""),"",IF(AND($Y$61=""),"",ROUND(G62*Master!H$4%,0)))</f>
        <v>3717</v>
      </c>
      <c r="J62" s="9">
        <f t="shared" si="87"/>
        <v>64015</v>
      </c>
      <c r="K62" s="9">
        <f t="shared" si="88"/>
        <v>0</v>
      </c>
      <c r="L62" s="9">
        <f t="shared" si="89"/>
        <v>1652</v>
      </c>
      <c r="M62" s="9">
        <f t="shared" si="90"/>
        <v>0</v>
      </c>
      <c r="N62" s="9">
        <f t="shared" si="91"/>
        <v>1652</v>
      </c>
      <c r="O62" s="9">
        <f t="shared" ref="O62" si="92">IF(AND(C62=""),"",N62-P62)</f>
        <v>1652</v>
      </c>
      <c r="P62" s="9">
        <f t="shared" ref="P62:P63" si="93">IF(AND($Y$61=""),"",IF(AND(N62=""),"",ROUND(N62*$X$62%,0)))</f>
        <v>0</v>
      </c>
      <c r="Q62" s="9">
        <f>IF(AND($Y$61=""),"",IF(AND(C62=""),"",IF(AND(O62=""),"",SUM(O62,P62))))</f>
        <v>1652</v>
      </c>
      <c r="R62" s="9">
        <f t="shared" ref="R62:R63" si="94">IF(AND(N62=""),"",IF(AND(Q62=""),"",N62-Q62))</f>
        <v>0</v>
      </c>
      <c r="S62" s="20"/>
      <c r="X62" s="4">
        <f>IF(ISNA(VLOOKUP($Y$61,Master!A$8:N$127,7,FALSE)),"",VLOOKUP($Y$61,Master!A$8:AH$127,7,FALSE))</f>
        <v>0</v>
      </c>
    </row>
    <row r="63" spans="1:25" ht="21" customHeight="1">
      <c r="A63" s="8">
        <v>3</v>
      </c>
      <c r="B63" s="23">
        <f>IFERROR(DATE(YEAR(B62),MONTH(B62)+1,DAY(B62)),"")</f>
        <v>45352</v>
      </c>
      <c r="C63" s="9"/>
      <c r="D63" s="9" t="str">
        <f>IF(AND(C63=""),"",IF(AND($Y$61=""),"",ROUND(C63*Master!C$5%,0)))</f>
        <v/>
      </c>
      <c r="E63" s="9" t="str">
        <f>IF(AND(C63=""),"",IF(AND($Y$61=""),"",ROUND(C63*Master!H$5%,0)))</f>
        <v/>
      </c>
      <c r="F63" s="9" t="str">
        <f t="shared" si="86"/>
        <v/>
      </c>
      <c r="G63" s="9" t="str">
        <f t="shared" ref="G63:G64" si="95">IF(C63="","",IF(AND($Y$61=""),"",G62))</f>
        <v/>
      </c>
      <c r="H63" s="9" t="str">
        <f>IF(AND(G63=""),"",IF(AND($Y$61=""),"",ROUND(G63*Master!C$4%,0)))</f>
        <v/>
      </c>
      <c r="I63" s="9" t="str">
        <f>IF(AND(G63=""),"",IF(AND($Y$61=""),"",ROUND(G63*Master!H$4%,0)))</f>
        <v/>
      </c>
      <c r="J63" s="9" t="str">
        <f t="shared" si="87"/>
        <v/>
      </c>
      <c r="K63" s="9" t="str">
        <f t="shared" si="88"/>
        <v/>
      </c>
      <c r="L63" s="9" t="str">
        <f t="shared" si="89"/>
        <v/>
      </c>
      <c r="M63" s="9" t="str">
        <f t="shared" si="90"/>
        <v/>
      </c>
      <c r="N63" s="9" t="str">
        <f t="shared" si="91"/>
        <v/>
      </c>
      <c r="O63" s="9">
        <v>0</v>
      </c>
      <c r="P63" s="9" t="str">
        <f t="shared" si="93"/>
        <v/>
      </c>
      <c r="Q63" s="9" t="str">
        <f>IF(AND($Y$61=""),"",IF(AND(C63=""),"",IF(AND(O63=""),"",SUM(O63,P63))))</f>
        <v/>
      </c>
      <c r="R63" s="9" t="str">
        <f t="shared" si="94"/>
        <v/>
      </c>
      <c r="S63" s="20"/>
    </row>
    <row r="64" spans="1:25" ht="21" customHeight="1">
      <c r="A64" s="8">
        <v>4</v>
      </c>
      <c r="B64" s="23">
        <f>IFERROR(DATE(YEAR(B63),MONTH(B63)+1,DAY(B63)),"")</f>
        <v>45383</v>
      </c>
      <c r="C64" s="9"/>
      <c r="D64" s="9" t="str">
        <f>IF(AND(C64=""),"",IF(AND($Y$61=""),"",ROUND(C64*Master!C$5%,0)))</f>
        <v/>
      </c>
      <c r="E64" s="9" t="str">
        <f>IF(AND(C64=""),"",IF(AND($Y$61=""),"",ROUND(C64*Master!H$5%,0)))</f>
        <v/>
      </c>
      <c r="F64" s="9" t="str">
        <f t="shared" ref="F64" si="96">IF(AND(C64=""),"",SUM(C64:E64))</f>
        <v/>
      </c>
      <c r="G64" s="9" t="str">
        <f t="shared" si="95"/>
        <v/>
      </c>
      <c r="H64" s="9" t="str">
        <f>IF(AND(G64=""),"",IF(AND($Y$61=""),"",ROUND(G64*Master!C$4%,0)))</f>
        <v/>
      </c>
      <c r="I64" s="9" t="str">
        <f>IF(AND(G64=""),"",IF(AND($Y$61=""),"",ROUND(G64*Master!H$4%,0)))</f>
        <v/>
      </c>
      <c r="J64" s="9" t="str">
        <f t="shared" ref="J64" si="97">IF(AND(C64=""),"",SUM(G64:I64))</f>
        <v/>
      </c>
      <c r="K64" s="9" t="str">
        <f t="shared" ref="K64" si="98">IF(AND(C64=""),"",IF(AND(G64=""),"",C64-G64))</f>
        <v/>
      </c>
      <c r="L64" s="9" t="str">
        <f t="shared" ref="L64" si="99">IF(AND(D64=""),"",IF(AND(H64=""),"",D64-H64))</f>
        <v/>
      </c>
      <c r="M64" s="9" t="str">
        <f t="shared" ref="M64" si="100">IF(AND(E64=""),"",IF(AND(I64=""),"",E64-I64))</f>
        <v/>
      </c>
      <c r="N64" s="9" t="str">
        <f t="shared" ref="N64" si="101">IF(AND(F64=""),"",IF(AND(J64=""),"",F64-J64))</f>
        <v/>
      </c>
      <c r="O64" s="9">
        <v>0</v>
      </c>
      <c r="P64" s="9" t="str">
        <f t="shared" ref="P64" si="102">IF(AND($Y$61=""),"",IF(AND(N64=""),"",ROUND(N64*$X$62%,0)))</f>
        <v/>
      </c>
      <c r="Q64" s="9" t="str">
        <f>IF(AND($Y$61=""),"",IF(AND(C64=""),"",IF(AND(O64=""),"",SUM(O64,P64))))</f>
        <v/>
      </c>
      <c r="R64" s="9" t="str">
        <f t="shared" ref="R64" si="103">IF(AND(N64=""),"",IF(AND(Q64=""),"",N64-Q64))</f>
        <v/>
      </c>
      <c r="S64" s="20"/>
    </row>
    <row r="65" spans="1:27" ht="30.75" customHeight="1">
      <c r="A65" s="153" t="s">
        <v>9</v>
      </c>
      <c r="B65" s="154"/>
      <c r="C65" s="63">
        <f>IF(AND($Y$61=""),"",SUM(C61:C64))</f>
        <v>82600</v>
      </c>
      <c r="D65" s="63">
        <f t="shared" ref="D65:R65" si="104">IF(AND($Y$61=""),"",SUM(D61:D64))</f>
        <v>41300</v>
      </c>
      <c r="E65" s="63">
        <f t="shared" si="104"/>
        <v>7434</v>
      </c>
      <c r="F65" s="63">
        <f t="shared" si="104"/>
        <v>131334</v>
      </c>
      <c r="G65" s="63">
        <f t="shared" si="104"/>
        <v>82600</v>
      </c>
      <c r="H65" s="63">
        <f t="shared" si="104"/>
        <v>37996</v>
      </c>
      <c r="I65" s="63">
        <f t="shared" si="104"/>
        <v>7434</v>
      </c>
      <c r="J65" s="63">
        <f t="shared" si="104"/>
        <v>128030</v>
      </c>
      <c r="K65" s="63">
        <f t="shared" si="104"/>
        <v>0</v>
      </c>
      <c r="L65" s="63">
        <f t="shared" si="104"/>
        <v>3304</v>
      </c>
      <c r="M65" s="63">
        <f t="shared" si="104"/>
        <v>0</v>
      </c>
      <c r="N65" s="63">
        <f t="shared" si="104"/>
        <v>3304</v>
      </c>
      <c r="O65" s="63">
        <f>IF(AND($Y$61=""),"",SUM(O61:O64))</f>
        <v>3304</v>
      </c>
      <c r="P65" s="63">
        <f t="shared" si="104"/>
        <v>0</v>
      </c>
      <c r="Q65" s="63">
        <f t="shared" si="104"/>
        <v>3304</v>
      </c>
      <c r="R65" s="63">
        <f t="shared" si="104"/>
        <v>0</v>
      </c>
      <c r="S65" s="49"/>
    </row>
    <row r="66" spans="1:27" ht="30.75" customHeight="1">
      <c r="A66" s="73"/>
      <c r="B66" s="73"/>
      <c r="C66" s="74"/>
      <c r="D66" s="74"/>
      <c r="E66" s="74"/>
      <c r="F66" s="74"/>
      <c r="G66" s="74"/>
      <c r="H66" s="74"/>
      <c r="I66" s="74"/>
      <c r="J66" s="74"/>
      <c r="K66" s="74"/>
      <c r="L66" s="74"/>
      <c r="M66" s="74"/>
      <c r="N66" s="74"/>
      <c r="O66" s="74"/>
      <c r="P66" s="74"/>
      <c r="Q66" s="74"/>
      <c r="R66" s="74"/>
      <c r="S66" s="75"/>
    </row>
    <row r="67" spans="1:27" ht="18.75">
      <c r="A67" s="21"/>
      <c r="B67" s="58"/>
      <c r="C67" s="58"/>
      <c r="D67" s="58"/>
      <c r="E67" s="58"/>
      <c r="F67" s="58"/>
      <c r="G67" s="58"/>
      <c r="H67" s="59"/>
      <c r="I67" s="59"/>
      <c r="J67" s="59"/>
      <c r="K67" s="66"/>
      <c r="L67" s="66"/>
      <c r="M67" s="66"/>
      <c r="N67" s="66"/>
      <c r="O67" s="138" t="s">
        <v>42</v>
      </c>
      <c r="P67" s="138"/>
      <c r="Q67" s="138"/>
      <c r="R67" s="138"/>
      <c r="S67" s="138"/>
    </row>
    <row r="68" spans="1:27" ht="18.75">
      <c r="A68" s="1"/>
      <c r="B68" s="24" t="s">
        <v>19</v>
      </c>
      <c r="C68" s="139"/>
      <c r="D68" s="139"/>
      <c r="E68" s="139"/>
      <c r="F68" s="139"/>
      <c r="G68" s="139"/>
      <c r="H68" s="25"/>
      <c r="I68" s="143" t="s">
        <v>20</v>
      </c>
      <c r="J68" s="143"/>
      <c r="K68" s="141"/>
      <c r="L68" s="141"/>
      <c r="M68" s="141"/>
      <c r="O68" s="138"/>
      <c r="P68" s="138"/>
      <c r="Q68" s="138"/>
      <c r="R68" s="138"/>
      <c r="S68" s="138"/>
    </row>
    <row r="69" spans="1:27" ht="18.75">
      <c r="A69" s="1"/>
      <c r="B69" s="140" t="s">
        <v>21</v>
      </c>
      <c r="C69" s="140"/>
      <c r="D69" s="140"/>
      <c r="E69" s="140"/>
      <c r="F69" s="140"/>
      <c r="G69" s="140"/>
      <c r="H69" s="140"/>
      <c r="I69" s="27"/>
      <c r="J69" s="26"/>
      <c r="K69" s="26"/>
      <c r="L69" s="26"/>
      <c r="M69" s="26"/>
    </row>
    <row r="70" spans="1:27" ht="18.75">
      <c r="A70" s="22">
        <v>1</v>
      </c>
      <c r="B70" s="142" t="s">
        <v>22</v>
      </c>
      <c r="C70" s="142"/>
      <c r="D70" s="142"/>
      <c r="E70" s="142"/>
      <c r="F70" s="142"/>
      <c r="G70" s="142"/>
      <c r="H70" s="142"/>
      <c r="I70" s="28"/>
      <c r="J70" s="26"/>
      <c r="K70" s="26"/>
      <c r="L70" s="26"/>
      <c r="M70" s="26"/>
    </row>
    <row r="71" spans="1:27" ht="18.75">
      <c r="A71" s="2">
        <v>2</v>
      </c>
      <c r="B71" s="142" t="s">
        <v>23</v>
      </c>
      <c r="C71" s="142"/>
      <c r="D71" s="142"/>
      <c r="E71" s="142"/>
      <c r="F71" s="142"/>
      <c r="G71" s="132"/>
      <c r="H71" s="132"/>
      <c r="I71" s="132"/>
      <c r="J71" s="132"/>
      <c r="K71" s="132"/>
      <c r="L71" s="132"/>
      <c r="M71" s="132"/>
    </row>
    <row r="72" spans="1:27" ht="18.75">
      <c r="A72" s="3">
        <v>3</v>
      </c>
      <c r="B72" s="142" t="s">
        <v>24</v>
      </c>
      <c r="C72" s="142"/>
      <c r="D72" s="142"/>
      <c r="E72" s="29"/>
      <c r="F72" s="28"/>
      <c r="G72" s="28"/>
      <c r="H72" s="30"/>
      <c r="I72" s="31"/>
      <c r="J72" s="26"/>
      <c r="K72" s="26"/>
      <c r="L72" s="26"/>
      <c r="M72" s="26"/>
    </row>
    <row r="73" spans="1:27" ht="15.75">
      <c r="O73" s="138" t="s">
        <v>42</v>
      </c>
      <c r="P73" s="138"/>
      <c r="Q73" s="138"/>
      <c r="R73" s="138"/>
      <c r="S73" s="138"/>
    </row>
    <row r="75" spans="1:27" ht="18" customHeight="1">
      <c r="A75" s="148" t="str">
        <f>A38</f>
        <v xml:space="preserve">DA (46% to 50%) Drawn Statement  </v>
      </c>
      <c r="B75" s="148"/>
      <c r="C75" s="148"/>
      <c r="D75" s="148"/>
      <c r="E75" s="148"/>
      <c r="F75" s="148"/>
      <c r="G75" s="148"/>
      <c r="H75" s="148"/>
      <c r="I75" s="148"/>
      <c r="J75" s="148"/>
      <c r="K75" s="148"/>
      <c r="L75" s="148"/>
      <c r="M75" s="148"/>
      <c r="N75" s="148"/>
      <c r="O75" s="148"/>
      <c r="P75" s="148"/>
      <c r="Q75" s="148"/>
      <c r="R75" s="148"/>
      <c r="S75" s="148"/>
      <c r="W75" s="4">
        <f>IF(ISNA(VLOOKUP($Y$3,Master!A$8:N$127,4,FALSE)),"",VLOOKUP($Y$3,Master!A$8:AH$127,4,FALSE))</f>
        <v>2</v>
      </c>
      <c r="X75" s="4" t="str">
        <f>IF(ISNA(VLOOKUP($Y$3,Master!A$8:N$127,6,FALSE)),"",VLOOKUP($Y$3,Master!A$8:AH$127,6,FALSE))</f>
        <v>GPF-2004</v>
      </c>
      <c r="Y75" s="4" t="s">
        <v>45</v>
      </c>
      <c r="Z75" s="4" t="s">
        <v>18</v>
      </c>
      <c r="AA75" s="4">
        <f>IF(ISNA(VLOOKUP($Y$77,Master!A$8:N$127,7,FALSE)),"",VLOOKUP($Y$77,Master!A$8:AH$127,7,FALSE))</f>
        <v>0</v>
      </c>
    </row>
    <row r="76" spans="1:27" ht="18">
      <c r="A76" s="131" t="str">
        <f>IF(AND(Master!C71=""),"",CONCATENATE("Office Of  ",Master!C71))</f>
        <v/>
      </c>
      <c r="B76" s="131"/>
      <c r="C76" s="131"/>
      <c r="D76" s="131"/>
      <c r="E76" s="131"/>
      <c r="F76" s="131"/>
      <c r="G76" s="131"/>
      <c r="H76" s="131"/>
      <c r="I76" s="131"/>
      <c r="J76" s="131"/>
      <c r="K76" s="131"/>
      <c r="L76" s="131"/>
      <c r="M76" s="131"/>
      <c r="N76" s="131"/>
      <c r="O76" s="131"/>
      <c r="P76" s="131"/>
      <c r="Q76" s="131"/>
      <c r="R76" s="131"/>
      <c r="S76" s="131"/>
      <c r="X76" s="4">
        <f>IF(ISNA(VLOOKUP($Y$3,Master!A$8:N$127,8,FALSE)),"",VLOOKUP($Y$3,Master!A$8:AH$127,8,FALSE))</f>
        <v>45292</v>
      </c>
      <c r="Y76" s="4" t="s">
        <v>43</v>
      </c>
    </row>
    <row r="77" spans="1:27" ht="18.75">
      <c r="E77" s="133" t="s">
        <v>10</v>
      </c>
      <c r="F77" s="133"/>
      <c r="G77" s="133"/>
      <c r="H77" s="133"/>
      <c r="I77" s="133"/>
      <c r="J77" s="132" t="str">
        <f>IF(ISNA(VLOOKUP($Y$77,Master!A$8:N$127,2,FALSE)),"",VLOOKUP($Y$77,Master!A$8:AH$127,2,FALSE))</f>
        <v>ABHIMANYU SINGH</v>
      </c>
      <c r="K77" s="132"/>
      <c r="L77" s="132"/>
      <c r="M77" s="132"/>
      <c r="N77" s="132"/>
      <c r="O77" s="60" t="s">
        <v>31</v>
      </c>
      <c r="P77" s="132" t="str">
        <f>IF(ISNA(VLOOKUP($Y$77,Master!A$8:N$127,3,FALSE)),"",VLOOKUP($Y$77,Master!A$8:AH$127,3,FALSE))</f>
        <v>TEACHER L-1</v>
      </c>
      <c r="Q77" s="132"/>
      <c r="R77" s="132"/>
      <c r="S77" s="132"/>
      <c r="X77" s="61" t="s">
        <v>49</v>
      </c>
      <c r="Y77" s="64">
        <f>IF(AND(Master!B14="",Master!E14=""),"",7)</f>
        <v>7</v>
      </c>
    </row>
    <row r="78" spans="1:27" ht="8.25" customHeight="1">
      <c r="E78" s="19"/>
      <c r="F78" s="52"/>
      <c r="G78" s="22"/>
      <c r="H78" s="22"/>
      <c r="I78" s="22"/>
      <c r="J78" s="5"/>
      <c r="K78" s="5"/>
      <c r="L78" s="5"/>
      <c r="M78" s="5"/>
      <c r="N78" s="5"/>
      <c r="O78" s="6"/>
      <c r="P78" s="6"/>
    </row>
    <row r="79" spans="1:27" ht="24.75" customHeight="1">
      <c r="A79" s="157" t="s">
        <v>0</v>
      </c>
      <c r="B79" s="158" t="s">
        <v>3</v>
      </c>
      <c r="C79" s="159" t="s">
        <v>5</v>
      </c>
      <c r="D79" s="159"/>
      <c r="E79" s="159"/>
      <c r="F79" s="159"/>
      <c r="G79" s="159" t="s">
        <v>6</v>
      </c>
      <c r="H79" s="159"/>
      <c r="I79" s="159"/>
      <c r="J79" s="159"/>
      <c r="K79" s="159" t="s">
        <v>7</v>
      </c>
      <c r="L79" s="159"/>
      <c r="M79" s="159"/>
      <c r="N79" s="159"/>
      <c r="O79" s="149" t="s">
        <v>8</v>
      </c>
      <c r="P79" s="150"/>
      <c r="Q79" s="151"/>
      <c r="R79" s="162" t="s">
        <v>54</v>
      </c>
      <c r="S79" s="162" t="s">
        <v>40</v>
      </c>
    </row>
    <row r="80" spans="1:27" ht="69" customHeight="1">
      <c r="A80" s="157"/>
      <c r="B80" s="158"/>
      <c r="C80" s="54" t="s">
        <v>29</v>
      </c>
      <c r="D80" s="55" t="s">
        <v>1</v>
      </c>
      <c r="E80" s="56" t="s">
        <v>2</v>
      </c>
      <c r="F80" s="54" t="s">
        <v>46</v>
      </c>
      <c r="G80" s="54" t="s">
        <v>29</v>
      </c>
      <c r="H80" s="55" t="s">
        <v>1</v>
      </c>
      <c r="I80" s="56" t="s">
        <v>2</v>
      </c>
      <c r="J80" s="54" t="s">
        <v>47</v>
      </c>
      <c r="K80" s="54" t="s">
        <v>4</v>
      </c>
      <c r="L80" s="55" t="s">
        <v>1</v>
      </c>
      <c r="M80" s="56" t="s">
        <v>2</v>
      </c>
      <c r="N80" s="57" t="s">
        <v>48</v>
      </c>
      <c r="O80" s="53" t="s">
        <v>69</v>
      </c>
      <c r="P80" s="65" t="s">
        <v>41</v>
      </c>
      <c r="Q80" s="57" t="s">
        <v>53</v>
      </c>
      <c r="R80" s="162"/>
      <c r="S80" s="162"/>
    </row>
    <row r="81" spans="1:25" ht="18" customHeight="1">
      <c r="A81" s="7">
        <v>1</v>
      </c>
      <c r="B81" s="7">
        <v>2</v>
      </c>
      <c r="C81" s="7">
        <v>3</v>
      </c>
      <c r="D81" s="7">
        <v>4</v>
      </c>
      <c r="E81" s="7">
        <v>5</v>
      </c>
      <c r="F81" s="7">
        <v>6</v>
      </c>
      <c r="G81" s="7">
        <v>7</v>
      </c>
      <c r="H81" s="7">
        <v>8</v>
      </c>
      <c r="I81" s="7">
        <v>9</v>
      </c>
      <c r="J81" s="7">
        <v>10</v>
      </c>
      <c r="K81" s="7">
        <v>11</v>
      </c>
      <c r="L81" s="7">
        <v>12</v>
      </c>
      <c r="M81" s="7">
        <v>13</v>
      </c>
      <c r="N81" s="7">
        <v>14</v>
      </c>
      <c r="O81" s="7">
        <v>15</v>
      </c>
      <c r="P81" s="7">
        <v>17</v>
      </c>
      <c r="Q81" s="7">
        <v>18</v>
      </c>
      <c r="R81" s="7">
        <v>19</v>
      </c>
      <c r="S81" s="7">
        <v>20</v>
      </c>
    </row>
    <row r="82" spans="1:25" ht="21" customHeight="1">
      <c r="A82" s="8">
        <v>1</v>
      </c>
      <c r="B82" s="23">
        <f>IFERROR(IF(ISNA(VLOOKUP(Y77,Master!A$8:N$127,8,FALSE)),"",VLOOKUP($Y77,Master!A$8:AH$127,8,FALSE)),"")</f>
        <v>45323</v>
      </c>
      <c r="C82" s="9">
        <f>IFERROR(IF(ISNA(VLOOKUP(Y77,Master!A$8:N$127,5,FALSE)),"",VLOOKUP($Y$77,Master!A$8:AH$127,5,FALSE)),"")</f>
        <v>67000</v>
      </c>
      <c r="D82" s="9">
        <f>IF(AND(C82=""),"",IF(AND($Y$77=""),"",ROUND(C82*Master!C$5%,0)))</f>
        <v>33500</v>
      </c>
      <c r="E82" s="9">
        <f>IF(AND(C82=""),"",IF(AND($Y$77=""),"",ROUND(C82*Master!H$5%,0)))</f>
        <v>6030</v>
      </c>
      <c r="F82" s="9">
        <f t="shared" ref="F82" si="105">IF(AND(C82=""),"",SUM(C82:E82))</f>
        <v>106530</v>
      </c>
      <c r="G82" s="9">
        <f>IFERROR(IF(ISNA(VLOOKUP($Y$77,Master!A$8:N$127,5,FALSE)),"",VLOOKUP($Y$77,Master!A$8:AH$127,5,FALSE)),"")</f>
        <v>67000</v>
      </c>
      <c r="H82" s="9">
        <f>IF(AND(G82=""),"",IF(AND($Y$77=""),"",ROUND(G82*Master!C$4%,0)))</f>
        <v>30820</v>
      </c>
      <c r="I82" s="9">
        <f>IF(AND(G82=""),"",IF(AND($Y$77=""),"",ROUND(G82*Master!H$4%,0)))</f>
        <v>6030</v>
      </c>
      <c r="J82" s="9">
        <f t="shared" ref="J82:J83" si="106">IF(AND(C82=""),"",SUM(G82:I82))</f>
        <v>103850</v>
      </c>
      <c r="K82" s="9">
        <f t="shared" ref="K82:K84" si="107">IF(AND(C82=""),"",IF(AND(G82=""),"",C82-G82))</f>
        <v>0</v>
      </c>
      <c r="L82" s="9">
        <f t="shared" ref="L82:L84" si="108">IF(AND(D82=""),"",IF(AND(H82=""),"",D82-H82))</f>
        <v>2680</v>
      </c>
      <c r="M82" s="9">
        <f t="shared" ref="M82:M83" si="109">IF(AND(E82=""),"",IF(AND(I82=""),"",E82-I82))</f>
        <v>0</v>
      </c>
      <c r="N82" s="9">
        <f t="shared" ref="N82:N83" si="110">IF(AND(F82=""),"",IF(AND(J82=""),"",F82-J82))</f>
        <v>2680</v>
      </c>
      <c r="O82" s="9">
        <f>IF(AND(C82=""),"",N82-P82)</f>
        <v>2680</v>
      </c>
      <c r="P82" s="9">
        <f>IF(AND($Y$77=""),"",IF(AND(N82=""),"",ROUND(N82*AA$75%,0)))</f>
        <v>0</v>
      </c>
      <c r="Q82" s="9">
        <f>IF(AND($Y$77=""),"",IF(AND(C82=""),"",IF(AND(O82=""),"",SUM(O82,P82))))</f>
        <v>2680</v>
      </c>
      <c r="R82" s="9">
        <f>IF(AND(N82=""),"",IF(AND(Q82=""),"",N82-Q82))</f>
        <v>0</v>
      </c>
      <c r="S82" s="20"/>
    </row>
    <row r="83" spans="1:25" ht="21" customHeight="1">
      <c r="A83" s="8">
        <v>2</v>
      </c>
      <c r="B83" s="23">
        <f>IFERROR(DATE(YEAR(B82),MONTH(B82)+1,DAY(B82)),"")</f>
        <v>45352</v>
      </c>
      <c r="C83" s="9">
        <f>IF(AND($Y$77=""),"",C82)</f>
        <v>67000</v>
      </c>
      <c r="D83" s="9">
        <f>IF(AND(C83=""),"",IF(AND($Y$77=""),"",ROUND(C83*Master!C$5%,0)))</f>
        <v>33500</v>
      </c>
      <c r="E83" s="9">
        <f>IF(AND(C83=""),"",IF(AND($Y$77=""),"",ROUND(C83*Master!H$5%,0)))</f>
        <v>6030</v>
      </c>
      <c r="F83" s="9">
        <f>IF(AND(C83=""),"",SUM(C83:E83))</f>
        <v>106530</v>
      </c>
      <c r="G83" s="9">
        <f>IF(C83="","",IF(AND($Y$77=""),"",G82))</f>
        <v>67000</v>
      </c>
      <c r="H83" s="9">
        <f>IF(AND(G83=""),"",IF(AND($Y$77=""),"",ROUND(G83*Master!C$4%,0)))</f>
        <v>30820</v>
      </c>
      <c r="I83" s="9">
        <f>IF(AND(G83=""),"",IF(AND($Y$77=""),"",ROUND(G83*Master!H$4%,0)))</f>
        <v>6030</v>
      </c>
      <c r="J83" s="9">
        <f t="shared" si="106"/>
        <v>103850</v>
      </c>
      <c r="K83" s="9">
        <f t="shared" si="107"/>
        <v>0</v>
      </c>
      <c r="L83" s="9">
        <f t="shared" si="108"/>
        <v>2680</v>
      </c>
      <c r="M83" s="9">
        <f t="shared" si="109"/>
        <v>0</v>
      </c>
      <c r="N83" s="9">
        <f t="shared" si="110"/>
        <v>2680</v>
      </c>
      <c r="O83" s="9">
        <f t="shared" ref="O83" si="111">IF(AND(C83=""),"",N83-P83)</f>
        <v>2680</v>
      </c>
      <c r="P83" s="9">
        <f t="shared" ref="P83:P84" si="112">IF(AND($Y$77=""),"",IF(AND(N83=""),"",ROUND(N83*AA$75%,0)))</f>
        <v>0</v>
      </c>
      <c r="Q83" s="9">
        <f>IF(AND($Y$77=""),"",IF(AND(C83=""),"",IF(AND(O83=""),"",SUM(O83,P83))))</f>
        <v>2680</v>
      </c>
      <c r="R83" s="9">
        <f t="shared" ref="R83:R84" si="113">IF(AND(N83=""),"",IF(AND(Q83=""),"",N83-Q83))</f>
        <v>0</v>
      </c>
      <c r="S83" s="20"/>
    </row>
    <row r="84" spans="1:25" ht="21" customHeight="1">
      <c r="A84" s="8">
        <v>3</v>
      </c>
      <c r="B84" s="23">
        <f>IFERROR(DATE(YEAR(B83),MONTH(B83)+1,DAY(B83)),"")</f>
        <v>45383</v>
      </c>
      <c r="C84" s="9"/>
      <c r="D84" s="9" t="str">
        <f>IF(AND(C84=""),"",IF(AND($Y$77=""),"",ROUND(C84*Master!C$5%,0)))</f>
        <v/>
      </c>
      <c r="E84" s="9" t="str">
        <f>IF(AND(C84=""),"",IF(AND($Y$77=""),"",ROUND(C84*Master!H$5%,0)))</f>
        <v/>
      </c>
      <c r="F84" s="9" t="str">
        <f t="shared" ref="F84" si="114">IF(AND(C84=""),"",SUM(C84:E84))</f>
        <v/>
      </c>
      <c r="G84" s="9" t="str">
        <f t="shared" ref="G84:G85" si="115">IF(C84="","",IF(AND($Y$77=""),"",G83))</f>
        <v/>
      </c>
      <c r="H84" s="9" t="str">
        <f>IF(AND(G84=""),"",IF(AND($Y$77=""),"",ROUND(G84*Master!C$4%,0)))</f>
        <v/>
      </c>
      <c r="I84" s="9" t="str">
        <f>IF(AND(G84=""),"",IF(AND($Y$77=""),"",ROUND(G84*Master!H$4%,0)))</f>
        <v/>
      </c>
      <c r="J84" s="9" t="str">
        <f>IF(AND(C84=""),"",SUM(G84:I84))</f>
        <v/>
      </c>
      <c r="K84" s="9" t="str">
        <f t="shared" si="107"/>
        <v/>
      </c>
      <c r="L84" s="9" t="str">
        <f t="shared" si="108"/>
        <v/>
      </c>
      <c r="M84" s="9" t="str">
        <f>IF(AND(E84=""),"",IF(AND(I84=""),"",E84-I84))</f>
        <v/>
      </c>
      <c r="N84" s="9" t="str">
        <f>IF(AND(F84=""),"",IF(AND(J84=""),"",F84-J84))</f>
        <v/>
      </c>
      <c r="O84" s="9">
        <v>0</v>
      </c>
      <c r="P84" s="9" t="str">
        <f t="shared" si="112"/>
        <v/>
      </c>
      <c r="Q84" s="9" t="str">
        <f>IF(AND($Y$77=""),"",IF(AND(C84=""),"",IF(AND(O84=""),"",SUM(O84,P84))))</f>
        <v/>
      </c>
      <c r="R84" s="9" t="str">
        <f t="shared" si="113"/>
        <v/>
      </c>
      <c r="S84" s="20"/>
    </row>
    <row r="85" spans="1:25" ht="21" customHeight="1">
      <c r="A85" s="8">
        <v>4</v>
      </c>
      <c r="B85" s="23">
        <f>IFERROR(DATE(YEAR(B84),MONTH(B84)+1,DAY(B84)),"")</f>
        <v>45413</v>
      </c>
      <c r="C85" s="9"/>
      <c r="D85" s="9" t="str">
        <f>IF(AND(C85=""),"",IF(AND($Y$77=""),"",ROUND(C85*Master!C$5%,0)))</f>
        <v/>
      </c>
      <c r="E85" s="9" t="str">
        <f>IF(AND(C85=""),"",IF(AND($Y$77=""),"",ROUND(C85*Master!H$5%,0)))</f>
        <v/>
      </c>
      <c r="F85" s="9" t="str">
        <f t="shared" ref="F85" si="116">IF(AND(C85=""),"",SUM(C85:E85))</f>
        <v/>
      </c>
      <c r="G85" s="9" t="str">
        <f t="shared" si="115"/>
        <v/>
      </c>
      <c r="H85" s="9" t="str">
        <f>IF(AND(G85=""),"",IF(AND($Y$77=""),"",ROUND(G85*Master!C$4%,0)))</f>
        <v/>
      </c>
      <c r="I85" s="9" t="str">
        <f>IF(AND(G85=""),"",IF(AND($Y$77=""),"",ROUND(G85*Master!H$4%,0)))</f>
        <v/>
      </c>
      <c r="J85" s="9" t="str">
        <f>IF(AND(C85=""),"",SUM(G85:I85))</f>
        <v/>
      </c>
      <c r="K85" s="9" t="str">
        <f t="shared" ref="K85" si="117">IF(AND(C85=""),"",IF(AND(G85=""),"",C85-G85))</f>
        <v/>
      </c>
      <c r="L85" s="9" t="str">
        <f t="shared" ref="L85" si="118">IF(AND(D85=""),"",IF(AND(H85=""),"",D85-H85))</f>
        <v/>
      </c>
      <c r="M85" s="9" t="str">
        <f>IF(AND(E85=""),"",IF(AND(I85=""),"",E85-I85))</f>
        <v/>
      </c>
      <c r="N85" s="9" t="str">
        <f>IF(AND(F85=""),"",IF(AND(J85=""),"",F85-J85))</f>
        <v/>
      </c>
      <c r="O85" s="9">
        <v>0</v>
      </c>
      <c r="P85" s="9" t="str">
        <f t="shared" ref="P85" si="119">IF(AND($Y$77=""),"",IF(AND(N85=""),"",ROUND(N85*AA$75%,0)))</f>
        <v/>
      </c>
      <c r="Q85" s="9" t="str">
        <f>IF(AND($Y$77=""),"",IF(AND(C85=""),"",IF(AND(O85=""),"",SUM(O85,P85))))</f>
        <v/>
      </c>
      <c r="R85" s="9" t="str">
        <f t="shared" ref="R85" si="120">IF(AND(N85=""),"",IF(AND(Q85=""),"",N85-Q85))</f>
        <v/>
      </c>
      <c r="S85" s="20"/>
    </row>
    <row r="86" spans="1:25" ht="23.25" customHeight="1">
      <c r="A86" s="153" t="s">
        <v>9</v>
      </c>
      <c r="B86" s="154"/>
      <c r="C86" s="63">
        <f>IF(AND($Y$77=""),"",SUM(C82:C85))</f>
        <v>134000</v>
      </c>
      <c r="D86" s="63">
        <f t="shared" ref="D86:R86" si="121">IF(AND($Y$77=""),"",SUM(D82:D85))</f>
        <v>67000</v>
      </c>
      <c r="E86" s="63">
        <f t="shared" si="121"/>
        <v>12060</v>
      </c>
      <c r="F86" s="63">
        <f t="shared" si="121"/>
        <v>213060</v>
      </c>
      <c r="G86" s="63">
        <f t="shared" si="121"/>
        <v>134000</v>
      </c>
      <c r="H86" s="63">
        <f t="shared" si="121"/>
        <v>61640</v>
      </c>
      <c r="I86" s="63">
        <f t="shared" si="121"/>
        <v>12060</v>
      </c>
      <c r="J86" s="63">
        <f t="shared" si="121"/>
        <v>207700</v>
      </c>
      <c r="K86" s="63">
        <f t="shared" si="121"/>
        <v>0</v>
      </c>
      <c r="L86" s="63">
        <f t="shared" si="121"/>
        <v>5360</v>
      </c>
      <c r="M86" s="63">
        <f t="shared" si="121"/>
        <v>0</v>
      </c>
      <c r="N86" s="63">
        <f t="shared" si="121"/>
        <v>5360</v>
      </c>
      <c r="O86" s="63">
        <f t="shared" si="121"/>
        <v>5360</v>
      </c>
      <c r="P86" s="63">
        <f t="shared" si="121"/>
        <v>0</v>
      </c>
      <c r="Q86" s="63">
        <f t="shared" si="121"/>
        <v>5360</v>
      </c>
      <c r="R86" s="63">
        <f t="shared" si="121"/>
        <v>0</v>
      </c>
      <c r="S86" s="49"/>
    </row>
    <row r="87" spans="1:25" ht="10.5" customHeight="1">
      <c r="A87" s="73"/>
      <c r="B87" s="73"/>
      <c r="C87" s="74"/>
      <c r="D87" s="74"/>
      <c r="E87" s="74"/>
      <c r="F87" s="74"/>
      <c r="G87" s="74"/>
      <c r="H87" s="74"/>
      <c r="I87" s="74"/>
      <c r="J87" s="74"/>
      <c r="K87" s="74"/>
      <c r="L87" s="74"/>
      <c r="M87" s="74"/>
      <c r="N87" s="74"/>
      <c r="O87" s="74"/>
      <c r="P87" s="74"/>
      <c r="Q87" s="74"/>
      <c r="R87" s="74"/>
      <c r="S87" s="75"/>
    </row>
    <row r="88" spans="1:25" ht="23.25" customHeight="1">
      <c r="E88" s="133" t="s">
        <v>10</v>
      </c>
      <c r="F88" s="133"/>
      <c r="G88" s="133"/>
      <c r="H88" s="133"/>
      <c r="I88" s="133"/>
      <c r="J88" s="132" t="str">
        <f>IF(ISNA(VLOOKUP($Y$90,Master!A$8:N$127,2,FALSE)),"",VLOOKUP($Y$90,Master!A$8:AH$127,2,FALSE))</f>
        <v>PUSHPENDRA</v>
      </c>
      <c r="K88" s="132"/>
      <c r="L88" s="132"/>
      <c r="M88" s="132"/>
      <c r="N88" s="132"/>
      <c r="O88" s="60" t="s">
        <v>31</v>
      </c>
      <c r="P88" s="132" t="str">
        <f>IF(ISNA(VLOOKUP($Y$90,Master!A$8:N$127,3,FALSE)),"",VLOOKUP($Y$90,Master!A$8:AH$127,3,FALSE))</f>
        <v>TEACHER L-1</v>
      </c>
      <c r="Q88" s="132"/>
      <c r="R88" s="132"/>
      <c r="S88" s="132"/>
    </row>
    <row r="89" spans="1:25" ht="9" customHeight="1">
      <c r="E89" s="19"/>
      <c r="F89" s="52"/>
      <c r="G89" s="22"/>
      <c r="H89" s="22"/>
      <c r="I89" s="22"/>
      <c r="J89" s="5"/>
      <c r="K89" s="5"/>
      <c r="L89" s="5"/>
      <c r="M89" s="5"/>
      <c r="N89" s="5"/>
      <c r="O89" s="6"/>
      <c r="P89" s="6"/>
    </row>
    <row r="90" spans="1:25" ht="21" customHeight="1">
      <c r="A90" s="8">
        <v>1</v>
      </c>
      <c r="B90" s="23">
        <f>IFERROR(IF(ISNA(VLOOKUP(Y90,Master!A$8:N$127,8,FALSE)),"",VLOOKUP($Y90,Master!A$8:AH$127,8,FALSE)),"")</f>
        <v>45292</v>
      </c>
      <c r="C90" s="9">
        <f>IFERROR(IF(ISNA(VLOOKUP($Y$90,Master!A$8:N$127,5,FALSE)),"",VLOOKUP($Y$90,Master!A$8:AH$127,5,FALSE)),"")</f>
        <v>46500</v>
      </c>
      <c r="D90" s="9">
        <f>IF(AND(C90=""),"",IF(AND($Y$90=""),"",ROUND(C90*Master!C$5%,0)))</f>
        <v>23250</v>
      </c>
      <c r="E90" s="9">
        <f>IF(AND(C90=""),"",IF(AND($Y$90=""),"",ROUND(C90*Master!H$5%,0)))</f>
        <v>4185</v>
      </c>
      <c r="F90" s="9">
        <f t="shared" ref="F90:F92" si="122">IF(AND(C90=""),"",SUM(C90:E90))</f>
        <v>73935</v>
      </c>
      <c r="G90" s="9">
        <f>IFERROR(IF(ISNA(VLOOKUP($Y$90,Master!A$8:N$127,5,FALSE)),"",VLOOKUP($Y$90,Master!A$8:AH$127,5,FALSE)),"")</f>
        <v>46500</v>
      </c>
      <c r="H90" s="9">
        <f>IF(AND(G90=""),"",IF(AND($Y$90=""),"",ROUND(G90*Master!C$4%,0)))</f>
        <v>21390</v>
      </c>
      <c r="I90" s="9">
        <f>IF(AND(G90=""),"",IF(AND($Y$90=""),"",ROUND(G90*Master!H$4%,0)))</f>
        <v>4185</v>
      </c>
      <c r="J90" s="9">
        <f t="shared" ref="J90:J92" si="123">IF(AND(C90=""),"",SUM(G90:I90))</f>
        <v>72075</v>
      </c>
      <c r="K90" s="9">
        <f t="shared" ref="K90" si="124">IF(AND(C90=""),"",IF(AND(G90=""),"",C90-G90))</f>
        <v>0</v>
      </c>
      <c r="L90" s="9">
        <f>IF(AND(D90=""),"",IF(AND(H90=""),"",D90-H90))</f>
        <v>1860</v>
      </c>
      <c r="M90" s="9">
        <f t="shared" ref="M90:M92" si="125">IF(AND(E90=""),"",IF(AND(I90=""),"",E90-I90))</f>
        <v>0</v>
      </c>
      <c r="N90" s="9">
        <f t="shared" ref="N90:N92" si="126">IF(AND(F90=""),"",IF(AND(J90=""),"",F90-J90))</f>
        <v>1860</v>
      </c>
      <c r="O90" s="9">
        <f>IF(AND(C90=""),"",N90-P90)</f>
        <v>1860</v>
      </c>
      <c r="P90" s="9">
        <f>IF(AND($Y$90=""),"",IF(AND(N90=""),"",ROUND(N90*$X$91%,0)))</f>
        <v>0</v>
      </c>
      <c r="Q90" s="9">
        <f>IF(AND($Y$90=""),"",IF(AND(C90=""),"",IF(AND(O90=""),"",SUM(O90,P90))))</f>
        <v>1860</v>
      </c>
      <c r="R90" s="9">
        <f>IF(AND(N90=""),"",IF(AND(Q90=""),"",N90-Q90))</f>
        <v>0</v>
      </c>
      <c r="S90" s="20"/>
      <c r="X90" s="61" t="s">
        <v>49</v>
      </c>
      <c r="Y90" s="64">
        <f>IF(AND(Master!B15="",Master!E15=""),"",8)</f>
        <v>8</v>
      </c>
    </row>
    <row r="91" spans="1:25" ht="21" customHeight="1">
      <c r="A91" s="8">
        <v>2</v>
      </c>
      <c r="B91" s="23">
        <f>IFERROR(DATE(YEAR(B90),MONTH(B90)+1,DAY(B90)),"")</f>
        <v>45323</v>
      </c>
      <c r="C91" s="9">
        <f>IF(AND($Y$90=""),"",C90)</f>
        <v>46500</v>
      </c>
      <c r="D91" s="9">
        <f>IF(AND(C91=""),"",IF(AND($Y$90=""),"",ROUND(C91*Master!C$5%,0)))</f>
        <v>23250</v>
      </c>
      <c r="E91" s="9">
        <f>IF(AND(C91=""),"",IF(AND($Y$90=""),"",ROUND(C91*Master!H$5%,0)))</f>
        <v>4185</v>
      </c>
      <c r="F91" s="9">
        <f t="shared" si="122"/>
        <v>73935</v>
      </c>
      <c r="G91" s="9">
        <f>IF(C91="","",IF(AND($Y$90=""),"",G90))</f>
        <v>46500</v>
      </c>
      <c r="H91" s="9">
        <f>IF(AND(G91=""),"",IF(AND($Y$90=""),"",ROUND(G91*Master!C$4%,0)))</f>
        <v>21390</v>
      </c>
      <c r="I91" s="9">
        <f>IF(AND(G91=""),"",IF(AND($Y$90=""),"",ROUND(G91*Master!H$4%,0)))</f>
        <v>4185</v>
      </c>
      <c r="J91" s="9">
        <f>IF(AND(C91=""),"",SUM(G91:I91))</f>
        <v>72075</v>
      </c>
      <c r="K91" s="9">
        <f>IF(AND(C91=""),"",IF(AND(G91=""),"",C91-G91))</f>
        <v>0</v>
      </c>
      <c r="L91" s="9">
        <f>IF(AND(D91=""),"",IF(AND(H91=""),"",D91-H91))</f>
        <v>1860</v>
      </c>
      <c r="M91" s="9">
        <f t="shared" si="125"/>
        <v>0</v>
      </c>
      <c r="N91" s="9">
        <f t="shared" si="126"/>
        <v>1860</v>
      </c>
      <c r="O91" s="9">
        <f>IF(AND(C91=""),"",N91-P91)</f>
        <v>1860</v>
      </c>
      <c r="P91" s="9">
        <f t="shared" ref="P91:P92" si="127">IF(AND($Y$90=""),"",IF(AND(N91=""),"",ROUND(N91*$X$91%,0)))</f>
        <v>0</v>
      </c>
      <c r="Q91" s="9">
        <f>IF(AND($Y$90=""),"",IF(AND(C91=""),"",IF(AND(O91=""),"",SUM(O91,P91))))</f>
        <v>1860</v>
      </c>
      <c r="R91" s="9">
        <f t="shared" ref="R91:R92" si="128">IF(AND(N91=""),"",IF(AND(Q91=""),"",N91-Q91))</f>
        <v>0</v>
      </c>
      <c r="S91" s="20"/>
      <c r="X91" s="4">
        <f>IF(ISNA(VLOOKUP($Y$90,Master!A$8:N$127,7,FALSE)),"",VLOOKUP($Y$90,Master!A$8:AH$127,7,FALSE))</f>
        <v>0</v>
      </c>
    </row>
    <row r="92" spans="1:25" ht="21" customHeight="1">
      <c r="A92" s="8">
        <v>3</v>
      </c>
      <c r="B92" s="23">
        <f>IFERROR(DATE(YEAR(B91),MONTH(B91)+1,DAY(B91)),"")</f>
        <v>45352</v>
      </c>
      <c r="C92" s="9"/>
      <c r="D92" s="9" t="str">
        <f>IF(AND(C92=""),"",IF(AND($Y$90=""),"",ROUND(C92*Master!C$5%,0)))</f>
        <v/>
      </c>
      <c r="E92" s="9" t="str">
        <f>IF(AND(C92=""),"",IF(AND($Y$90=""),"",ROUND(C92*Master!H$5%,0)))</f>
        <v/>
      </c>
      <c r="F92" s="9" t="str">
        <f t="shared" si="122"/>
        <v/>
      </c>
      <c r="G92" s="9" t="str">
        <f t="shared" ref="G92:G93" si="129">IF(C92="","",IF(AND($Y$90=""),"",G91))</f>
        <v/>
      </c>
      <c r="H92" s="9" t="str">
        <f>IF(AND(G92=""),"",IF(AND($Y$90=""),"",ROUND(G92*Master!C$4%,0)))</f>
        <v/>
      </c>
      <c r="I92" s="9" t="str">
        <f>IF(AND(G92=""),"",IF(AND($Y$90=""),"",ROUND(G92*Master!H$4%,0)))</f>
        <v/>
      </c>
      <c r="J92" s="9" t="str">
        <f t="shared" si="123"/>
        <v/>
      </c>
      <c r="K92" s="9" t="str">
        <f t="shared" ref="K92" si="130">IF(AND(C92=""),"",IF(AND(G92=""),"",C92-G92))</f>
        <v/>
      </c>
      <c r="L92" s="9" t="str">
        <f t="shared" ref="L92" si="131">IF(AND(D92=""),"",IF(AND(H92=""),"",D92-H92))</f>
        <v/>
      </c>
      <c r="M92" s="9" t="str">
        <f t="shared" si="125"/>
        <v/>
      </c>
      <c r="N92" s="9" t="str">
        <f t="shared" si="126"/>
        <v/>
      </c>
      <c r="O92" s="9">
        <v>0</v>
      </c>
      <c r="P92" s="9" t="str">
        <f t="shared" si="127"/>
        <v/>
      </c>
      <c r="Q92" s="9" t="str">
        <f>IF(AND($Y$90=""),"",IF(AND(C92=""),"",IF(AND(O92=""),"",SUM(O92,P92))))</f>
        <v/>
      </c>
      <c r="R92" s="9" t="str">
        <f t="shared" si="128"/>
        <v/>
      </c>
      <c r="S92" s="20"/>
    </row>
    <row r="93" spans="1:25" ht="21" customHeight="1">
      <c r="A93" s="8">
        <v>4</v>
      </c>
      <c r="B93" s="23">
        <f>IFERROR(DATE(YEAR(B92),MONTH(B92)+1,DAY(B92)),"")</f>
        <v>45383</v>
      </c>
      <c r="C93" s="9"/>
      <c r="D93" s="9" t="str">
        <f>IF(AND(C93=""),"",IF(AND($Y$90=""),"",ROUND(C93*Master!C$5%,0)))</f>
        <v/>
      </c>
      <c r="E93" s="9" t="str">
        <f>IF(AND(C93=""),"",IF(AND($Y$90=""),"",ROUND(C93*Master!H$5%,0)))</f>
        <v/>
      </c>
      <c r="F93" s="9" t="str">
        <f t="shared" ref="F93" si="132">IF(AND(C93=""),"",SUM(C93:E93))</f>
        <v/>
      </c>
      <c r="G93" s="9" t="str">
        <f t="shared" si="129"/>
        <v/>
      </c>
      <c r="H93" s="9" t="str">
        <f>IF(AND(G93=""),"",IF(AND($Y$90=""),"",ROUND(G93*Master!C$4%,0)))</f>
        <v/>
      </c>
      <c r="I93" s="9" t="str">
        <f>IF(AND(G93=""),"",IF(AND($Y$90=""),"",ROUND(G93*Master!H$4%,0)))</f>
        <v/>
      </c>
      <c r="J93" s="9" t="str">
        <f t="shared" ref="J93" si="133">IF(AND(C93=""),"",SUM(G93:I93))</f>
        <v/>
      </c>
      <c r="K93" s="9" t="str">
        <f t="shared" ref="K93" si="134">IF(AND(C93=""),"",IF(AND(G93=""),"",C93-G93))</f>
        <v/>
      </c>
      <c r="L93" s="9" t="str">
        <f t="shared" ref="L93" si="135">IF(AND(D93=""),"",IF(AND(H93=""),"",D93-H93))</f>
        <v/>
      </c>
      <c r="M93" s="9" t="str">
        <f t="shared" ref="M93" si="136">IF(AND(E93=""),"",IF(AND(I93=""),"",E93-I93))</f>
        <v/>
      </c>
      <c r="N93" s="9" t="str">
        <f t="shared" ref="N93" si="137">IF(AND(F93=""),"",IF(AND(J93=""),"",F93-J93))</f>
        <v/>
      </c>
      <c r="O93" s="9">
        <v>0</v>
      </c>
      <c r="P93" s="9" t="str">
        <f t="shared" ref="P93" si="138">IF(AND($Y$90=""),"",IF(AND(N93=""),"",ROUND(N93*$X$91%,0)))</f>
        <v/>
      </c>
      <c r="Q93" s="9" t="str">
        <f>IF(AND($Y$90=""),"",IF(AND(C93=""),"",IF(AND(O93=""),"",SUM(O93,P93))))</f>
        <v/>
      </c>
      <c r="R93" s="9" t="str">
        <f t="shared" ref="R93" si="139">IF(AND(N93=""),"",IF(AND(Q93=""),"",N93-Q93))</f>
        <v/>
      </c>
      <c r="S93" s="20"/>
    </row>
    <row r="94" spans="1:25" ht="30.75" customHeight="1">
      <c r="A94" s="153" t="s">
        <v>9</v>
      </c>
      <c r="B94" s="154"/>
      <c r="C94" s="63">
        <f>IF(AND($Y$90=""),"",SUM(C90:C93))</f>
        <v>93000</v>
      </c>
      <c r="D94" s="63">
        <f t="shared" ref="D94:R94" si="140">IF(AND($Y$90=""),"",SUM(D90:D93))</f>
        <v>46500</v>
      </c>
      <c r="E94" s="63">
        <f t="shared" si="140"/>
        <v>8370</v>
      </c>
      <c r="F94" s="63">
        <f t="shared" si="140"/>
        <v>147870</v>
      </c>
      <c r="G94" s="63">
        <f t="shared" si="140"/>
        <v>93000</v>
      </c>
      <c r="H94" s="63">
        <f t="shared" si="140"/>
        <v>42780</v>
      </c>
      <c r="I94" s="63">
        <f t="shared" si="140"/>
        <v>8370</v>
      </c>
      <c r="J94" s="63">
        <f t="shared" si="140"/>
        <v>144150</v>
      </c>
      <c r="K94" s="63">
        <f t="shared" si="140"/>
        <v>0</v>
      </c>
      <c r="L94" s="63">
        <f t="shared" si="140"/>
        <v>3720</v>
      </c>
      <c r="M94" s="63">
        <f t="shared" si="140"/>
        <v>0</v>
      </c>
      <c r="N94" s="63">
        <f t="shared" si="140"/>
        <v>3720</v>
      </c>
      <c r="O94" s="63">
        <f t="shared" si="140"/>
        <v>3720</v>
      </c>
      <c r="P94" s="63">
        <f t="shared" si="140"/>
        <v>0</v>
      </c>
      <c r="Q94" s="63">
        <f>IF(AND($Y$90=""),"",SUM(Q90:Q93))</f>
        <v>3720</v>
      </c>
      <c r="R94" s="63">
        <f t="shared" si="140"/>
        <v>0</v>
      </c>
      <c r="S94" s="49"/>
    </row>
    <row r="95" spans="1:25" ht="11.25" customHeight="1">
      <c r="A95" s="73"/>
      <c r="B95" s="73"/>
      <c r="C95" s="74"/>
      <c r="D95" s="74"/>
      <c r="E95" s="74"/>
      <c r="F95" s="74"/>
      <c r="G95" s="74"/>
      <c r="H95" s="74"/>
      <c r="I95" s="74"/>
      <c r="J95" s="74"/>
      <c r="K95" s="74"/>
      <c r="L95" s="74"/>
      <c r="M95" s="74"/>
      <c r="N95" s="74"/>
      <c r="O95" s="74"/>
      <c r="P95" s="74"/>
      <c r="Q95" s="74"/>
      <c r="R95" s="74"/>
      <c r="S95" s="75"/>
    </row>
    <row r="96" spans="1:25" ht="23.25" customHeight="1">
      <c r="E96" s="133" t="s">
        <v>10</v>
      </c>
      <c r="F96" s="133"/>
      <c r="G96" s="133"/>
      <c r="H96" s="133"/>
      <c r="I96" s="133"/>
      <c r="J96" s="132" t="str">
        <f>IF(ISNA(VLOOKUP($Y$98,Master!A$8:N$127,2,FALSE)),"",VLOOKUP($Y$98,Master!A$8:AH$127,2,FALSE))</f>
        <v>MANOJ KUMAR PANCHORI</v>
      </c>
      <c r="K96" s="132"/>
      <c r="L96" s="132"/>
      <c r="M96" s="132"/>
      <c r="N96" s="132"/>
      <c r="O96" s="60" t="s">
        <v>31</v>
      </c>
      <c r="P96" s="132" t="str">
        <f>IF(ISNA(VLOOKUP($Y$98,Master!A$8:N$127,3,FALSE)),"",VLOOKUP($Y$98,Master!A$8:AH$127,3,FALSE))</f>
        <v>TEACHER L-2</v>
      </c>
      <c r="Q96" s="132"/>
      <c r="R96" s="132"/>
      <c r="S96" s="132"/>
    </row>
    <row r="97" spans="1:27" ht="9" customHeight="1">
      <c r="E97" s="19"/>
      <c r="F97" s="52"/>
      <c r="G97" s="22"/>
      <c r="H97" s="22"/>
      <c r="I97" s="22"/>
      <c r="J97" s="5"/>
      <c r="K97" s="5"/>
      <c r="L97" s="5"/>
      <c r="M97" s="5"/>
      <c r="N97" s="5"/>
      <c r="O97" s="6"/>
      <c r="P97" s="6"/>
    </row>
    <row r="98" spans="1:27" ht="21" customHeight="1">
      <c r="A98" s="8">
        <v>1</v>
      </c>
      <c r="B98" s="23">
        <f>IFERROR(IF(ISNA(VLOOKUP(Y98,Master!A$8:N$127,8,FALSE)),"",VLOOKUP($Y98,Master!A$8:AH$127,8,FALSE)),"")</f>
        <v>45292</v>
      </c>
      <c r="C98" s="9">
        <f>IFERROR(IF(ISNA(VLOOKUP($Y$98,Master!A$8:N$127,5,FALSE)),"",VLOOKUP($Y$98,Master!A$8:AH$127,5,FALSE)),"")</f>
        <v>50800</v>
      </c>
      <c r="D98" s="9">
        <f>IF(AND(C98=""),"",IF(AND($Y$98=""),"",ROUND(C98*Master!C$5%,0)))</f>
        <v>25400</v>
      </c>
      <c r="E98" s="9">
        <f>IF(AND(C98=""),"",IF(AND($Y$98=""),"",ROUND(C98*Master!H$5%,0)))</f>
        <v>4572</v>
      </c>
      <c r="F98" s="9">
        <f t="shared" ref="F98:F100" si="141">IF(AND(C98=""),"",SUM(C98:E98))</f>
        <v>80772</v>
      </c>
      <c r="G98" s="9">
        <f>IFERROR(IF(ISNA(VLOOKUP($Y$98,Master!A$8:N$127,5,FALSE)),"",VLOOKUP($Y$98,Master!A$8:AH$127,5,FALSE)),"")</f>
        <v>50800</v>
      </c>
      <c r="H98" s="9">
        <f>IF(AND(G98=""),"",IF(AND($Y$98=""),"",ROUND(G98*Master!C$4%,0)))</f>
        <v>23368</v>
      </c>
      <c r="I98" s="9">
        <f>IF(AND(G98=""),"",IF(AND($Y$98=""),"",ROUND(G98*Master!H$4%,0)))</f>
        <v>4572</v>
      </c>
      <c r="J98" s="9">
        <f t="shared" ref="J98:J100" si="142">IF(AND(C98=""),"",SUM(G98:I98))</f>
        <v>78740</v>
      </c>
      <c r="K98" s="9">
        <f t="shared" ref="K98:K100" si="143">IF(AND(C98=""),"",IF(AND(G98=""),"",C98-G98))</f>
        <v>0</v>
      </c>
      <c r="L98" s="9">
        <f t="shared" ref="L98:L100" si="144">IF(AND(D98=""),"",IF(AND(H98=""),"",D98-H98))</f>
        <v>2032</v>
      </c>
      <c r="M98" s="9">
        <f t="shared" ref="M98:M100" si="145">IF(AND(E98=""),"",IF(AND(I98=""),"",E98-I98))</f>
        <v>0</v>
      </c>
      <c r="N98" s="9">
        <f t="shared" ref="N98:N100" si="146">IF(AND(F98=""),"",IF(AND(J98=""),"",F98-J98))</f>
        <v>2032</v>
      </c>
      <c r="O98" s="9">
        <f>IF(AND(C98=""),"",N98-P98)</f>
        <v>2032</v>
      </c>
      <c r="P98" s="9">
        <f>IF(AND($Y$98=""),"",IF(AND(N98=""),"",ROUND(N98*$X$99%,0)))</f>
        <v>0</v>
      </c>
      <c r="Q98" s="9">
        <f>IF(AND($Y$98=""),"",IF(AND(C98=""),"",IF(AND(O98=""),"",SUM(O98,P98))))</f>
        <v>2032</v>
      </c>
      <c r="R98" s="9">
        <f>IF(AND(N98=""),"",IF(AND(Q98=""),"",N98-Q98))</f>
        <v>0</v>
      </c>
      <c r="S98" s="20"/>
      <c r="X98" s="61" t="s">
        <v>49</v>
      </c>
      <c r="Y98" s="64">
        <f>IF(AND(Master!B16="",Master!E16=""),"",9)</f>
        <v>9</v>
      </c>
    </row>
    <row r="99" spans="1:27" ht="21" customHeight="1">
      <c r="A99" s="8">
        <v>2</v>
      </c>
      <c r="B99" s="23">
        <f>IFERROR(DATE(YEAR(B98),MONTH(B98)+1,DAY(B98)),"")</f>
        <v>45323</v>
      </c>
      <c r="C99" s="9">
        <f>IF(AND($Y$98=""),"",C98)</f>
        <v>50800</v>
      </c>
      <c r="D99" s="9">
        <f>IF(AND(C99=""),"",IF(AND($Y$98=""),"",ROUND(C99*Master!C$5%,0)))</f>
        <v>25400</v>
      </c>
      <c r="E99" s="9">
        <f>IF(AND(C99=""),"",IF(AND($Y$98=""),"",ROUND(C99*Master!H$5%,0)))</f>
        <v>4572</v>
      </c>
      <c r="F99" s="9">
        <f t="shared" si="141"/>
        <v>80772</v>
      </c>
      <c r="G99" s="9">
        <f>IF(C99="","",IF(AND($Y$98=""),"",G98))</f>
        <v>50800</v>
      </c>
      <c r="H99" s="9">
        <f>IF(AND(G99=""),"",IF(AND($Y$98=""),"",ROUND(G99*Master!C$4%,0)))</f>
        <v>23368</v>
      </c>
      <c r="I99" s="9">
        <f>IF(AND(G99=""),"",IF(AND($Y$98=""),"",ROUND(G99*Master!H$4%,0)))</f>
        <v>4572</v>
      </c>
      <c r="J99" s="9">
        <f t="shared" si="142"/>
        <v>78740</v>
      </c>
      <c r="K99" s="9">
        <f t="shared" si="143"/>
        <v>0</v>
      </c>
      <c r="L99" s="9">
        <f t="shared" si="144"/>
        <v>2032</v>
      </c>
      <c r="M99" s="9">
        <f t="shared" si="145"/>
        <v>0</v>
      </c>
      <c r="N99" s="9">
        <f t="shared" si="146"/>
        <v>2032</v>
      </c>
      <c r="O99" s="9">
        <f t="shared" ref="O99" si="147">IF(AND(C99=""),"",N99-P99)</f>
        <v>2032</v>
      </c>
      <c r="P99" s="9">
        <f t="shared" ref="P99:P100" si="148">IF(AND($Y$98=""),"",IF(AND(N99=""),"",ROUND(N99*$X$99%,0)))</f>
        <v>0</v>
      </c>
      <c r="Q99" s="9">
        <f>IF(AND($Y$98=""),"",IF(AND(C99=""),"",IF(AND(O99=""),"",SUM(O99,P99))))</f>
        <v>2032</v>
      </c>
      <c r="R99" s="9">
        <f t="shared" ref="R99:R100" si="149">IF(AND(N99=""),"",IF(AND(Q99=""),"",N99-Q99))</f>
        <v>0</v>
      </c>
      <c r="S99" s="20"/>
      <c r="X99" s="4">
        <f>IF(ISNA(VLOOKUP($Y$98,Master!A$8:N$127,7,FALSE)),"",VLOOKUP($Y$98,Master!A$8:AH$127,7,FALSE))</f>
        <v>0</v>
      </c>
    </row>
    <row r="100" spans="1:27" ht="21" customHeight="1">
      <c r="A100" s="8">
        <v>3</v>
      </c>
      <c r="B100" s="23">
        <f>IFERROR(DATE(YEAR(B99),MONTH(B99)+1,DAY(B99)),"")</f>
        <v>45352</v>
      </c>
      <c r="C100" s="9"/>
      <c r="D100" s="9" t="str">
        <f>IF(AND(C100=""),"",IF(AND($Y$98=""),"",ROUND(C100*Master!C$5%,0)))</f>
        <v/>
      </c>
      <c r="E100" s="9" t="str">
        <f>IF(AND(C100=""),"",IF(AND($Y$98=""),"",ROUND(C100*Master!H$5%,0)))</f>
        <v/>
      </c>
      <c r="F100" s="9" t="str">
        <f t="shared" si="141"/>
        <v/>
      </c>
      <c r="G100" s="9" t="str">
        <f t="shared" ref="G100:G101" si="150">IF(C100="","",IF(AND($Y$98=""),"",G99))</f>
        <v/>
      </c>
      <c r="H100" s="9" t="str">
        <f>IF(AND(G100=""),"",IF(AND($Y$98=""),"",ROUND(G100*Master!C$4%,0)))</f>
        <v/>
      </c>
      <c r="I100" s="9" t="str">
        <f>IF(AND(G100=""),"",IF(AND($Y$98=""),"",ROUND(G100*Master!H$4%,0)))</f>
        <v/>
      </c>
      <c r="J100" s="9" t="str">
        <f t="shared" si="142"/>
        <v/>
      </c>
      <c r="K100" s="9" t="str">
        <f t="shared" si="143"/>
        <v/>
      </c>
      <c r="L100" s="9" t="str">
        <f t="shared" si="144"/>
        <v/>
      </c>
      <c r="M100" s="9" t="str">
        <f t="shared" si="145"/>
        <v/>
      </c>
      <c r="N100" s="9" t="str">
        <f t="shared" si="146"/>
        <v/>
      </c>
      <c r="O100" s="9">
        <v>0</v>
      </c>
      <c r="P100" s="9" t="str">
        <f t="shared" si="148"/>
        <v/>
      </c>
      <c r="Q100" s="9" t="str">
        <f>IF(AND($Y$98=""),"",IF(AND(C100=""),"",IF(AND(O100=""),"",SUM(O100,P100))))</f>
        <v/>
      </c>
      <c r="R100" s="9" t="str">
        <f t="shared" si="149"/>
        <v/>
      </c>
      <c r="S100" s="20"/>
    </row>
    <row r="101" spans="1:27" ht="21" customHeight="1">
      <c r="A101" s="8">
        <v>4</v>
      </c>
      <c r="B101" s="23">
        <f>IFERROR(DATE(YEAR(B100),MONTH(B100)+1,DAY(B100)),"")</f>
        <v>45383</v>
      </c>
      <c r="C101" s="9"/>
      <c r="D101" s="9" t="str">
        <f>IF(AND(C101=""),"",IF(AND($Y$98=""),"",ROUND(C101*Master!C$5%,0)))</f>
        <v/>
      </c>
      <c r="E101" s="9" t="str">
        <f>IF(AND(C101=""),"",IF(AND($Y$98=""),"",ROUND(C101*Master!H$5%,0)))</f>
        <v/>
      </c>
      <c r="F101" s="9" t="str">
        <f t="shared" ref="F101" si="151">IF(AND(C101=""),"",SUM(C101:E101))</f>
        <v/>
      </c>
      <c r="G101" s="9" t="str">
        <f t="shared" si="150"/>
        <v/>
      </c>
      <c r="H101" s="9" t="str">
        <f>IF(AND(G101=""),"",IF(AND($Y$98=""),"",ROUND(G101*Master!C$4%,0)))</f>
        <v/>
      </c>
      <c r="I101" s="9" t="str">
        <f>IF(AND(G101=""),"",IF(AND($Y$98=""),"",ROUND(G101*Master!H$4%,0)))</f>
        <v/>
      </c>
      <c r="J101" s="9" t="str">
        <f t="shared" ref="J101" si="152">IF(AND(C101=""),"",SUM(G101:I101))</f>
        <v/>
      </c>
      <c r="K101" s="9" t="str">
        <f t="shared" ref="K101" si="153">IF(AND(C101=""),"",IF(AND(G101=""),"",C101-G101))</f>
        <v/>
      </c>
      <c r="L101" s="9" t="str">
        <f t="shared" ref="L101" si="154">IF(AND(D101=""),"",IF(AND(H101=""),"",D101-H101))</f>
        <v/>
      </c>
      <c r="M101" s="9" t="str">
        <f t="shared" ref="M101" si="155">IF(AND(E101=""),"",IF(AND(I101=""),"",E101-I101))</f>
        <v/>
      </c>
      <c r="N101" s="9" t="str">
        <f t="shared" ref="N101" si="156">IF(AND(F101=""),"",IF(AND(J101=""),"",F101-J101))</f>
        <v/>
      </c>
      <c r="O101" s="9">
        <v>0</v>
      </c>
      <c r="P101" s="9" t="str">
        <f t="shared" ref="P101" si="157">IF(AND($Y$98=""),"",IF(AND(N101=""),"",ROUND(N101*$X$99%,0)))</f>
        <v/>
      </c>
      <c r="Q101" s="9" t="str">
        <f>IF(AND($Y$98=""),"",IF(AND(C101=""),"",IF(AND(O101=""),"",SUM(O101,P101))))</f>
        <v/>
      </c>
      <c r="R101" s="9" t="str">
        <f t="shared" ref="R101" si="158">IF(AND(N101=""),"",IF(AND(Q101=""),"",N101-Q101))</f>
        <v/>
      </c>
      <c r="S101" s="20"/>
    </row>
    <row r="102" spans="1:27" ht="30.75" customHeight="1">
      <c r="A102" s="153" t="s">
        <v>9</v>
      </c>
      <c r="B102" s="154"/>
      <c r="C102" s="63">
        <f>IF(AND($Y$98=""),"",SUM(C98:C101))</f>
        <v>101600</v>
      </c>
      <c r="D102" s="63">
        <f t="shared" ref="D102:R102" si="159">IF(AND($Y$98=""),"",SUM(D98:D101))</f>
        <v>50800</v>
      </c>
      <c r="E102" s="63">
        <f t="shared" si="159"/>
        <v>9144</v>
      </c>
      <c r="F102" s="63">
        <f t="shared" si="159"/>
        <v>161544</v>
      </c>
      <c r="G102" s="63">
        <f t="shared" si="159"/>
        <v>101600</v>
      </c>
      <c r="H102" s="63">
        <f t="shared" si="159"/>
        <v>46736</v>
      </c>
      <c r="I102" s="63">
        <f t="shared" si="159"/>
        <v>9144</v>
      </c>
      <c r="J102" s="63">
        <f t="shared" si="159"/>
        <v>157480</v>
      </c>
      <c r="K102" s="63">
        <f t="shared" si="159"/>
        <v>0</v>
      </c>
      <c r="L102" s="63">
        <f t="shared" si="159"/>
        <v>4064</v>
      </c>
      <c r="M102" s="63">
        <f t="shared" si="159"/>
        <v>0</v>
      </c>
      <c r="N102" s="63">
        <f t="shared" si="159"/>
        <v>4064</v>
      </c>
      <c r="O102" s="63">
        <f>IF(AND($Y$98=""),"",SUM(O98:O101))</f>
        <v>4064</v>
      </c>
      <c r="P102" s="63">
        <f t="shared" si="159"/>
        <v>0</v>
      </c>
      <c r="Q102" s="63">
        <f t="shared" si="159"/>
        <v>4064</v>
      </c>
      <c r="R102" s="63">
        <f t="shared" si="159"/>
        <v>0</v>
      </c>
      <c r="S102" s="49"/>
    </row>
    <row r="103" spans="1:27" ht="30.75" customHeight="1">
      <c r="A103" s="73"/>
      <c r="B103" s="73"/>
      <c r="C103" s="74"/>
      <c r="D103" s="74"/>
      <c r="E103" s="74"/>
      <c r="F103" s="74"/>
      <c r="G103" s="74"/>
      <c r="H103" s="74"/>
      <c r="I103" s="74"/>
      <c r="J103" s="74"/>
      <c r="K103" s="74"/>
      <c r="L103" s="74"/>
      <c r="M103" s="74"/>
      <c r="N103" s="74"/>
      <c r="O103" s="74"/>
      <c r="P103" s="74"/>
      <c r="Q103" s="74"/>
      <c r="R103" s="74"/>
      <c r="S103" s="75"/>
    </row>
    <row r="104" spans="1:27" ht="18.75">
      <c r="A104" s="21"/>
      <c r="B104" s="58"/>
      <c r="C104" s="58"/>
      <c r="D104" s="58"/>
      <c r="E104" s="58"/>
      <c r="F104" s="58"/>
      <c r="G104" s="58"/>
      <c r="H104" s="59"/>
      <c r="I104" s="59"/>
      <c r="J104" s="59"/>
      <c r="K104" s="66"/>
      <c r="L104" s="66"/>
      <c r="M104" s="66"/>
      <c r="N104" s="66"/>
      <c r="O104" s="138" t="s">
        <v>42</v>
      </c>
      <c r="P104" s="138"/>
      <c r="Q104" s="138"/>
      <c r="R104" s="138"/>
      <c r="S104" s="138"/>
    </row>
    <row r="105" spans="1:27" ht="18.75">
      <c r="A105" s="1"/>
      <c r="B105" s="24" t="s">
        <v>19</v>
      </c>
      <c r="C105" s="139"/>
      <c r="D105" s="139"/>
      <c r="E105" s="139"/>
      <c r="F105" s="139"/>
      <c r="G105" s="139"/>
      <c r="H105" s="25"/>
      <c r="I105" s="143" t="s">
        <v>20</v>
      </c>
      <c r="J105" s="143"/>
      <c r="K105" s="141"/>
      <c r="L105" s="141"/>
      <c r="M105" s="141"/>
      <c r="O105" s="138"/>
      <c r="P105" s="138"/>
      <c r="Q105" s="138"/>
      <c r="R105" s="138"/>
      <c r="S105" s="138"/>
    </row>
    <row r="106" spans="1:27" ht="18.75">
      <c r="A106" s="1"/>
      <c r="B106" s="140" t="s">
        <v>21</v>
      </c>
      <c r="C106" s="140"/>
      <c r="D106" s="140"/>
      <c r="E106" s="140"/>
      <c r="F106" s="140"/>
      <c r="G106" s="140"/>
      <c r="H106" s="140"/>
      <c r="I106" s="27"/>
      <c r="J106" s="26"/>
      <c r="K106" s="26"/>
      <c r="L106" s="26"/>
      <c r="M106" s="26"/>
    </row>
    <row r="107" spans="1:27" ht="18.75">
      <c r="A107" s="22">
        <v>1</v>
      </c>
      <c r="B107" s="142" t="s">
        <v>22</v>
      </c>
      <c r="C107" s="142"/>
      <c r="D107" s="142"/>
      <c r="E107" s="142"/>
      <c r="F107" s="142"/>
      <c r="G107" s="142"/>
      <c r="H107" s="142"/>
      <c r="I107" s="28"/>
      <c r="J107" s="26"/>
      <c r="K107" s="26"/>
      <c r="L107" s="26"/>
      <c r="M107" s="26"/>
    </row>
    <row r="108" spans="1:27" ht="18.75">
      <c r="A108" s="2">
        <v>2</v>
      </c>
      <c r="B108" s="142" t="s">
        <v>23</v>
      </c>
      <c r="C108" s="142"/>
      <c r="D108" s="142"/>
      <c r="E108" s="142"/>
      <c r="F108" s="142"/>
      <c r="G108" s="132"/>
      <c r="H108" s="132"/>
      <c r="I108" s="132"/>
      <c r="J108" s="132"/>
      <c r="K108" s="132"/>
      <c r="L108" s="132"/>
      <c r="M108" s="132"/>
    </row>
    <row r="109" spans="1:27" ht="18.75">
      <c r="A109" s="3">
        <v>3</v>
      </c>
      <c r="B109" s="142" t="s">
        <v>24</v>
      </c>
      <c r="C109" s="142"/>
      <c r="D109" s="142"/>
      <c r="E109" s="29"/>
      <c r="F109" s="28"/>
      <c r="G109" s="28"/>
      <c r="H109" s="30"/>
      <c r="I109" s="31"/>
      <c r="J109" s="26"/>
      <c r="K109" s="26"/>
      <c r="L109" s="26"/>
      <c r="M109" s="26"/>
    </row>
    <row r="110" spans="1:27" ht="15.75">
      <c r="O110" s="138" t="s">
        <v>42</v>
      </c>
      <c r="P110" s="138"/>
      <c r="Q110" s="138"/>
      <c r="R110" s="138"/>
      <c r="S110" s="138"/>
    </row>
    <row r="112" spans="1:27" ht="18" customHeight="1">
      <c r="A112" s="148" t="str">
        <f>A75</f>
        <v xml:space="preserve">DA (46% to 50%) Drawn Statement  </v>
      </c>
      <c r="B112" s="148"/>
      <c r="C112" s="148"/>
      <c r="D112" s="148"/>
      <c r="E112" s="148"/>
      <c r="F112" s="148"/>
      <c r="G112" s="148"/>
      <c r="H112" s="148"/>
      <c r="I112" s="148"/>
      <c r="J112" s="148"/>
      <c r="K112" s="148"/>
      <c r="L112" s="148"/>
      <c r="M112" s="148"/>
      <c r="N112" s="148"/>
      <c r="O112" s="148"/>
      <c r="P112" s="148"/>
      <c r="Q112" s="148"/>
      <c r="R112" s="148"/>
      <c r="S112" s="148"/>
      <c r="W112" s="4">
        <f>IF(ISNA(VLOOKUP($Y$3,Master!A$8:N$127,4,FALSE)),"",VLOOKUP($Y$3,Master!A$8:AH$127,4,FALSE))</f>
        <v>2</v>
      </c>
      <c r="X112" s="4" t="str">
        <f>IF(ISNA(VLOOKUP($Y$3,Master!A$8:N$127,6,FALSE)),"",VLOOKUP($Y$3,Master!A$8:AH$127,6,FALSE))</f>
        <v>GPF-2004</v>
      </c>
      <c r="Y112" s="4" t="s">
        <v>45</v>
      </c>
      <c r="Z112" s="4" t="s">
        <v>18</v>
      </c>
      <c r="AA112" s="4">
        <f>IF(ISNA(VLOOKUP($Y$114,Master!A$8:N$127,7,FALSE)),"",VLOOKUP($Y$114,Master!A$8:AH$127,7,FALSE))</f>
        <v>0</v>
      </c>
    </row>
    <row r="113" spans="1:25" ht="18">
      <c r="A113" s="131" t="str">
        <f>IF(AND(Master!C105=""),"",CONCATENATE("Office Of  ",Master!C105))</f>
        <v/>
      </c>
      <c r="B113" s="131"/>
      <c r="C113" s="131"/>
      <c r="D113" s="131"/>
      <c r="E113" s="131"/>
      <c r="F113" s="131"/>
      <c r="G113" s="131"/>
      <c r="H113" s="131"/>
      <c r="I113" s="131"/>
      <c r="J113" s="131"/>
      <c r="K113" s="131"/>
      <c r="L113" s="131"/>
      <c r="M113" s="131"/>
      <c r="N113" s="131"/>
      <c r="O113" s="131"/>
      <c r="P113" s="131"/>
      <c r="Q113" s="131"/>
      <c r="R113" s="131"/>
      <c r="S113" s="131"/>
      <c r="X113" s="4">
        <f>IF(ISNA(VLOOKUP($Y$3,Master!A$8:N$127,8,FALSE)),"",VLOOKUP($Y$3,Master!A$8:AH$127,8,FALSE))</f>
        <v>45292</v>
      </c>
      <c r="Y113" s="4" t="s">
        <v>43</v>
      </c>
    </row>
    <row r="114" spans="1:25" ht="18.75">
      <c r="E114" s="133" t="s">
        <v>10</v>
      </c>
      <c r="F114" s="133"/>
      <c r="G114" s="133"/>
      <c r="H114" s="133"/>
      <c r="I114" s="133"/>
      <c r="J114" s="132" t="str">
        <f>IF(ISNA(VLOOKUP($Y$114,Master!A$8:N$127,2,FALSE)),"",VLOOKUP($Y$114,Master!A$8:AH$127,2,FALSE))</f>
        <v>PRADIP SINGH</v>
      </c>
      <c r="K114" s="132"/>
      <c r="L114" s="132"/>
      <c r="M114" s="132"/>
      <c r="N114" s="132"/>
      <c r="O114" s="60" t="s">
        <v>31</v>
      </c>
      <c r="P114" s="132" t="str">
        <f>IF(ISNA(VLOOKUP($Y$114,Master!A$8:N$127,3,FALSE)),"",VLOOKUP($Y$114,Master!A$8:AH$127,3,FALSE))</f>
        <v>TEACHER L-1</v>
      </c>
      <c r="Q114" s="132"/>
      <c r="R114" s="132"/>
      <c r="S114" s="132"/>
      <c r="X114" s="61" t="s">
        <v>49</v>
      </c>
      <c r="Y114" s="64">
        <f>IF(AND(Master!B17="",Master!E17=""),"",10)</f>
        <v>10</v>
      </c>
    </row>
    <row r="115" spans="1:25" ht="8.25" customHeight="1">
      <c r="E115" s="19"/>
      <c r="F115" s="52"/>
      <c r="G115" s="22"/>
      <c r="H115" s="22"/>
      <c r="I115" s="22"/>
      <c r="J115" s="5"/>
      <c r="K115" s="5"/>
      <c r="L115" s="5"/>
      <c r="M115" s="5"/>
      <c r="N115" s="5"/>
      <c r="O115" s="6"/>
      <c r="P115" s="6"/>
    </row>
    <row r="116" spans="1:25" ht="24.75" customHeight="1">
      <c r="A116" s="157" t="s">
        <v>0</v>
      </c>
      <c r="B116" s="158" t="s">
        <v>3</v>
      </c>
      <c r="C116" s="159" t="s">
        <v>5</v>
      </c>
      <c r="D116" s="159"/>
      <c r="E116" s="159"/>
      <c r="F116" s="159"/>
      <c r="G116" s="159" t="s">
        <v>6</v>
      </c>
      <c r="H116" s="159"/>
      <c r="I116" s="159"/>
      <c r="J116" s="159"/>
      <c r="K116" s="159" t="s">
        <v>7</v>
      </c>
      <c r="L116" s="159"/>
      <c r="M116" s="159"/>
      <c r="N116" s="159"/>
      <c r="O116" s="149" t="s">
        <v>8</v>
      </c>
      <c r="P116" s="150"/>
      <c r="Q116" s="151"/>
      <c r="R116" s="162" t="s">
        <v>54</v>
      </c>
      <c r="S116" s="162" t="s">
        <v>40</v>
      </c>
    </row>
    <row r="117" spans="1:25" ht="69" customHeight="1">
      <c r="A117" s="157"/>
      <c r="B117" s="158"/>
      <c r="C117" s="54" t="s">
        <v>29</v>
      </c>
      <c r="D117" s="55" t="s">
        <v>1</v>
      </c>
      <c r="E117" s="56" t="s">
        <v>2</v>
      </c>
      <c r="F117" s="54" t="s">
        <v>46</v>
      </c>
      <c r="G117" s="54" t="s">
        <v>29</v>
      </c>
      <c r="H117" s="55" t="s">
        <v>1</v>
      </c>
      <c r="I117" s="56" t="s">
        <v>2</v>
      </c>
      <c r="J117" s="54" t="s">
        <v>47</v>
      </c>
      <c r="K117" s="54" t="s">
        <v>4</v>
      </c>
      <c r="L117" s="55" t="s">
        <v>1</v>
      </c>
      <c r="M117" s="56" t="s">
        <v>2</v>
      </c>
      <c r="N117" s="57" t="s">
        <v>48</v>
      </c>
      <c r="O117" s="53" t="s">
        <v>69</v>
      </c>
      <c r="P117" s="65" t="s">
        <v>41</v>
      </c>
      <c r="Q117" s="57" t="s">
        <v>53</v>
      </c>
      <c r="R117" s="162"/>
      <c r="S117" s="162"/>
    </row>
    <row r="118" spans="1:25" ht="18" customHeight="1">
      <c r="A118" s="7">
        <v>1</v>
      </c>
      <c r="B118" s="7">
        <v>2</v>
      </c>
      <c r="C118" s="7">
        <v>3</v>
      </c>
      <c r="D118" s="7">
        <v>4</v>
      </c>
      <c r="E118" s="7">
        <v>5</v>
      </c>
      <c r="F118" s="7">
        <v>6</v>
      </c>
      <c r="G118" s="7">
        <v>7</v>
      </c>
      <c r="H118" s="7">
        <v>8</v>
      </c>
      <c r="I118" s="7">
        <v>9</v>
      </c>
      <c r="J118" s="7">
        <v>10</v>
      </c>
      <c r="K118" s="7">
        <v>11</v>
      </c>
      <c r="L118" s="7">
        <v>12</v>
      </c>
      <c r="M118" s="7">
        <v>13</v>
      </c>
      <c r="N118" s="7">
        <v>14</v>
      </c>
      <c r="O118" s="7">
        <v>15</v>
      </c>
      <c r="P118" s="7">
        <v>17</v>
      </c>
      <c r="Q118" s="7">
        <v>18</v>
      </c>
      <c r="R118" s="7">
        <v>19</v>
      </c>
      <c r="S118" s="7">
        <v>20</v>
      </c>
    </row>
    <row r="119" spans="1:25" ht="21" customHeight="1">
      <c r="A119" s="8">
        <v>1</v>
      </c>
      <c r="B119" s="23">
        <f>IFERROR(IF(ISNA(VLOOKUP(Y114,Master!A$8:N$127,8,FALSE)),"",VLOOKUP($Y114,Master!A$8:AH$127,8,FALSE)),"")</f>
        <v>45292</v>
      </c>
      <c r="C119" s="9">
        <f>IFERROR(IF(ISNA(VLOOKUP(Y114,Master!A$8:N$127,5,FALSE)),"",VLOOKUP($Y$114,Master!A$8:AH$127,5,FALSE)),"")</f>
        <v>50800</v>
      </c>
      <c r="D119" s="9">
        <f>IF(AND(C119=""),"",IF(AND($Y$114=""),"",ROUND(C119*Master!C$5%,0)))</f>
        <v>25400</v>
      </c>
      <c r="E119" s="9">
        <f>IF(AND(C119=""),"",IF(AND($Y$114=""),"",ROUND(C119*Master!H$5%,0)))</f>
        <v>4572</v>
      </c>
      <c r="F119" s="9">
        <f t="shared" ref="F119" si="160">IF(AND(C119=""),"",SUM(C119:E119))</f>
        <v>80772</v>
      </c>
      <c r="G119" s="9">
        <f>IFERROR(IF(ISNA(VLOOKUP($Y$114,Master!A$8:N$127,5,FALSE)),"",VLOOKUP($Y$114,Master!A$8:AH$127,5,FALSE)),"")</f>
        <v>50800</v>
      </c>
      <c r="H119" s="9">
        <f>IF(AND(G119=""),"",IF(AND($Y$114=""),"",ROUND(G119*Master!C$4%,0)))</f>
        <v>23368</v>
      </c>
      <c r="I119" s="9">
        <f>IF(AND(G119=""),"",IF(AND($Y$114=""),"",ROUND(G119*Master!H$4%,0)))</f>
        <v>4572</v>
      </c>
      <c r="J119" s="9">
        <f t="shared" ref="J119:J120" si="161">IF(AND(C119=""),"",SUM(G119:I119))</f>
        <v>78740</v>
      </c>
      <c r="K119" s="9">
        <f t="shared" ref="K119:K121" si="162">IF(AND(C119=""),"",IF(AND(G119=""),"",C119-G119))</f>
        <v>0</v>
      </c>
      <c r="L119" s="9">
        <f t="shared" ref="L119:L121" si="163">IF(AND(D119=""),"",IF(AND(H119=""),"",D119-H119))</f>
        <v>2032</v>
      </c>
      <c r="M119" s="9">
        <f t="shared" ref="M119:M120" si="164">IF(AND(E119=""),"",IF(AND(I119=""),"",E119-I119))</f>
        <v>0</v>
      </c>
      <c r="N119" s="9">
        <f t="shared" ref="N119:N120" si="165">IF(AND(F119=""),"",IF(AND(J119=""),"",F119-J119))</f>
        <v>2032</v>
      </c>
      <c r="O119" s="9">
        <f>IF(AND(C119=""),"",N119-P119)</f>
        <v>2032</v>
      </c>
      <c r="P119" s="9">
        <f>IF(AND($Y$114=""),"",IF(AND(N119=""),"",ROUND(N119*$AA$112%,0)))</f>
        <v>0</v>
      </c>
      <c r="Q119" s="9">
        <f>IF(AND($Y$114=""),"",IF(AND(C119=""),"",IF(AND(O119=""),"",SUM(O119,P119))))</f>
        <v>2032</v>
      </c>
      <c r="R119" s="9">
        <f>IF(AND(N119=""),"",IF(AND(Q119=""),"",N119-Q119))</f>
        <v>0</v>
      </c>
      <c r="S119" s="20"/>
    </row>
    <row r="120" spans="1:25" ht="21" customHeight="1">
      <c r="A120" s="8">
        <v>2</v>
      </c>
      <c r="B120" s="23">
        <f>IFERROR(DATE(YEAR(B119),MONTH(B119)+1,DAY(B119)),"")</f>
        <v>45323</v>
      </c>
      <c r="C120" s="9">
        <f>IF(AND($Y$114=""),"",C119)</f>
        <v>50800</v>
      </c>
      <c r="D120" s="9">
        <f>IF(AND(C120=""),"",IF(AND($Y$114=""),"",ROUND(C120*Master!C$5%,0)))</f>
        <v>25400</v>
      </c>
      <c r="E120" s="9">
        <f>IF(AND(C120=""),"",IF(AND($Y$114=""),"",ROUND(C120*Master!H$5%,0)))</f>
        <v>4572</v>
      </c>
      <c r="F120" s="9">
        <f>IF(AND(C120=""),"",SUM(C120:E120))</f>
        <v>80772</v>
      </c>
      <c r="G120" s="9">
        <f>IF(C120="","",IF(AND($Y$114=""),"",G119))</f>
        <v>50800</v>
      </c>
      <c r="H120" s="9">
        <f>IF(AND(G120=""),"",IF(AND($Y$114=""),"",ROUND(G120*Master!C$4%,0)))</f>
        <v>23368</v>
      </c>
      <c r="I120" s="9">
        <f>IF(AND(G120=""),"",IF(AND($Y$114=""),"",ROUND(G120*Master!H$4%,0)))</f>
        <v>4572</v>
      </c>
      <c r="J120" s="9">
        <f t="shared" si="161"/>
        <v>78740</v>
      </c>
      <c r="K120" s="9">
        <f t="shared" si="162"/>
        <v>0</v>
      </c>
      <c r="L120" s="9">
        <f t="shared" si="163"/>
        <v>2032</v>
      </c>
      <c r="M120" s="9">
        <f t="shared" si="164"/>
        <v>0</v>
      </c>
      <c r="N120" s="9">
        <f t="shared" si="165"/>
        <v>2032</v>
      </c>
      <c r="O120" s="9">
        <f t="shared" ref="O120" si="166">IF(AND(C120=""),"",N120-P120)</f>
        <v>2032</v>
      </c>
      <c r="P120" s="9">
        <f t="shared" ref="P120:P121" si="167">IF(AND($Y$114=""),"",IF(AND(N120=""),"",ROUND(N120*$AA$112%,0)))</f>
        <v>0</v>
      </c>
      <c r="Q120" s="9">
        <f>IF(AND($Y$114=""),"",IF(AND(C120=""),"",IF(AND(O120=""),"",SUM(O120,P120))))</f>
        <v>2032</v>
      </c>
      <c r="R120" s="9">
        <f t="shared" ref="R120:R121" si="168">IF(AND(N120=""),"",IF(AND(Q120=""),"",N120-Q120))</f>
        <v>0</v>
      </c>
      <c r="S120" s="20"/>
    </row>
    <row r="121" spans="1:25" ht="21" customHeight="1">
      <c r="A121" s="8">
        <v>3</v>
      </c>
      <c r="B121" s="23">
        <f>IFERROR(DATE(YEAR(B120),MONTH(B120)+1,DAY(B120)),"")</f>
        <v>45352</v>
      </c>
      <c r="C121" s="9"/>
      <c r="D121" s="9" t="str">
        <f>IF(AND(C121=""),"",IF(AND($Y$114=""),"",ROUND(C121*Master!C$5%,0)))</f>
        <v/>
      </c>
      <c r="E121" s="9" t="str">
        <f>IF(AND(C121=""),"",IF(AND($Y$114=""),"",ROUND(C121*Master!H$5%,0)))</f>
        <v/>
      </c>
      <c r="F121" s="9" t="str">
        <f t="shared" ref="F121" si="169">IF(AND(C121=""),"",SUM(C121:E121))</f>
        <v/>
      </c>
      <c r="G121" s="9" t="str">
        <f t="shared" ref="G121:G122" si="170">IF(C121="","",IF(AND($Y$114=""),"",G120))</f>
        <v/>
      </c>
      <c r="H121" s="9" t="str">
        <f>IF(AND(G121=""),"",IF(AND($Y$114=""),"",ROUND(G121*Master!C$4%,0)))</f>
        <v/>
      </c>
      <c r="I121" s="9" t="str">
        <f>IF(AND(G121=""),"",IF(AND($Y$114=""),"",ROUND(G121*Master!H$4%,0)))</f>
        <v/>
      </c>
      <c r="J121" s="9" t="str">
        <f>IF(AND(C121=""),"",SUM(G121:I121))</f>
        <v/>
      </c>
      <c r="K121" s="9" t="str">
        <f t="shared" si="162"/>
        <v/>
      </c>
      <c r="L121" s="9" t="str">
        <f t="shared" si="163"/>
        <v/>
      </c>
      <c r="M121" s="9" t="str">
        <f>IF(AND(E121=""),"",IF(AND(I121=""),"",E121-I121))</f>
        <v/>
      </c>
      <c r="N121" s="9" t="str">
        <f>IF(AND(F121=""),"",IF(AND(J121=""),"",F121-J121))</f>
        <v/>
      </c>
      <c r="O121" s="9">
        <v>0</v>
      </c>
      <c r="P121" s="9" t="str">
        <f t="shared" si="167"/>
        <v/>
      </c>
      <c r="Q121" s="9" t="str">
        <f>IF(AND($Y$114=""),"",IF(AND(C121=""),"",IF(AND(O121=""),"",SUM(O121,P121))))</f>
        <v/>
      </c>
      <c r="R121" s="9" t="str">
        <f t="shared" si="168"/>
        <v/>
      </c>
      <c r="S121" s="20"/>
    </row>
    <row r="122" spans="1:25" ht="21" customHeight="1">
      <c r="A122" s="8">
        <v>4</v>
      </c>
      <c r="B122" s="23">
        <f>IFERROR(DATE(YEAR(B121),MONTH(B121)+1,DAY(B121)),"")</f>
        <v>45383</v>
      </c>
      <c r="C122" s="9"/>
      <c r="D122" s="9" t="str">
        <f>IF(AND(C122=""),"",IF(AND($Y$114=""),"",ROUND(C122*Master!C$5%,0)))</f>
        <v/>
      </c>
      <c r="E122" s="9" t="str">
        <f>IF(AND(C122=""),"",IF(AND($Y$114=""),"",ROUND(C122*Master!H$5%,0)))</f>
        <v/>
      </c>
      <c r="F122" s="9" t="str">
        <f t="shared" ref="F122" si="171">IF(AND(C122=""),"",SUM(C122:E122))</f>
        <v/>
      </c>
      <c r="G122" s="9" t="str">
        <f t="shared" si="170"/>
        <v/>
      </c>
      <c r="H122" s="9" t="str">
        <f>IF(AND(G122=""),"",IF(AND($Y$114=""),"",ROUND(G122*Master!C$4%,0)))</f>
        <v/>
      </c>
      <c r="I122" s="9" t="str">
        <f>IF(AND(G122=""),"",IF(AND($Y$114=""),"",ROUND(G122*Master!H$4%,0)))</f>
        <v/>
      </c>
      <c r="J122" s="9" t="str">
        <f>IF(AND(C122=""),"",SUM(G122:I122))</f>
        <v/>
      </c>
      <c r="K122" s="9" t="str">
        <f t="shared" ref="K122" si="172">IF(AND(C122=""),"",IF(AND(G122=""),"",C122-G122))</f>
        <v/>
      </c>
      <c r="L122" s="9" t="str">
        <f t="shared" ref="L122" si="173">IF(AND(D122=""),"",IF(AND(H122=""),"",D122-H122))</f>
        <v/>
      </c>
      <c r="M122" s="9" t="str">
        <f>IF(AND(E122=""),"",IF(AND(I122=""),"",E122-I122))</f>
        <v/>
      </c>
      <c r="N122" s="9" t="str">
        <f>IF(AND(F122=""),"",IF(AND(J122=""),"",F122-J122))</f>
        <v/>
      </c>
      <c r="O122" s="9">
        <v>0</v>
      </c>
      <c r="P122" s="9" t="str">
        <f t="shared" ref="P122" si="174">IF(AND($Y$114=""),"",IF(AND(N122=""),"",ROUND(N122*$AA$112%,0)))</f>
        <v/>
      </c>
      <c r="Q122" s="9" t="str">
        <f>IF(AND($Y$114=""),"",IF(AND(C122=""),"",IF(AND(O122=""),"",SUM(O122,P122))))</f>
        <v/>
      </c>
      <c r="R122" s="9" t="str">
        <f t="shared" ref="R122" si="175">IF(AND(N122=""),"",IF(AND(Q122=""),"",N122-Q122))</f>
        <v/>
      </c>
      <c r="S122" s="20"/>
    </row>
    <row r="123" spans="1:25" ht="23.25" customHeight="1">
      <c r="A123" s="153" t="s">
        <v>9</v>
      </c>
      <c r="B123" s="154"/>
      <c r="C123" s="63">
        <f>IF(AND($Y$114=""),"",SUM(C119:C122))</f>
        <v>101600</v>
      </c>
      <c r="D123" s="63">
        <f t="shared" ref="D123:R123" si="176">IF(AND($Y$114=""),"",SUM(D119:D122))</f>
        <v>50800</v>
      </c>
      <c r="E123" s="63">
        <f t="shared" si="176"/>
        <v>9144</v>
      </c>
      <c r="F123" s="63">
        <f t="shared" si="176"/>
        <v>161544</v>
      </c>
      <c r="G123" s="63">
        <f t="shared" si="176"/>
        <v>101600</v>
      </c>
      <c r="H123" s="63">
        <f t="shared" si="176"/>
        <v>46736</v>
      </c>
      <c r="I123" s="63">
        <f t="shared" si="176"/>
        <v>9144</v>
      </c>
      <c r="J123" s="63">
        <f t="shared" si="176"/>
        <v>157480</v>
      </c>
      <c r="K123" s="63">
        <f t="shared" si="176"/>
        <v>0</v>
      </c>
      <c r="L123" s="63">
        <f t="shared" si="176"/>
        <v>4064</v>
      </c>
      <c r="M123" s="63">
        <f t="shared" si="176"/>
        <v>0</v>
      </c>
      <c r="N123" s="63">
        <f t="shared" si="176"/>
        <v>4064</v>
      </c>
      <c r="O123" s="63">
        <f t="shared" si="176"/>
        <v>4064</v>
      </c>
      <c r="P123" s="63">
        <f t="shared" si="176"/>
        <v>0</v>
      </c>
      <c r="Q123" s="63">
        <f t="shared" si="176"/>
        <v>4064</v>
      </c>
      <c r="R123" s="63">
        <f t="shared" si="176"/>
        <v>0</v>
      </c>
      <c r="S123" s="49"/>
    </row>
    <row r="124" spans="1:25" ht="10.5" customHeight="1">
      <c r="A124" s="73"/>
      <c r="B124" s="73"/>
      <c r="C124" s="74"/>
      <c r="D124" s="74"/>
      <c r="E124" s="74"/>
      <c r="F124" s="74"/>
      <c r="G124" s="74"/>
      <c r="H124" s="74"/>
      <c r="I124" s="74"/>
      <c r="J124" s="74"/>
      <c r="K124" s="74"/>
      <c r="L124" s="74"/>
      <c r="M124" s="74"/>
      <c r="N124" s="74"/>
      <c r="O124" s="74"/>
      <c r="P124" s="74"/>
      <c r="Q124" s="74"/>
      <c r="R124" s="74"/>
      <c r="S124" s="75"/>
    </row>
    <row r="125" spans="1:25" ht="23.25" customHeight="1">
      <c r="E125" s="133" t="s">
        <v>10</v>
      </c>
      <c r="F125" s="133"/>
      <c r="G125" s="133"/>
      <c r="H125" s="133"/>
      <c r="I125" s="133"/>
      <c r="J125" s="132" t="str">
        <f>IF(ISNA(VLOOKUP($Y$127,Master!A$8:N$127,2,FALSE)),"",VLOOKUP($Y$127,Master!A$8:AH$127,2,FALSE))</f>
        <v>MANDIP SINGH BHULLAR</v>
      </c>
      <c r="K125" s="132"/>
      <c r="L125" s="132"/>
      <c r="M125" s="132"/>
      <c r="N125" s="132"/>
      <c r="O125" s="60" t="s">
        <v>31</v>
      </c>
      <c r="P125" s="132" t="str">
        <f>IF(ISNA(VLOOKUP($Y$127,Master!A$8:N$127,3,FALSE)),"",VLOOKUP($Y$127,Master!A$8:AH$127,3,FALSE))</f>
        <v>P.T.I. IIIrd</v>
      </c>
      <c r="Q125" s="132"/>
      <c r="R125" s="132"/>
      <c r="S125" s="132"/>
    </row>
    <row r="126" spans="1:25" ht="9" customHeight="1">
      <c r="E126" s="19"/>
      <c r="F126" s="52"/>
      <c r="G126" s="22"/>
      <c r="H126" s="22"/>
      <c r="I126" s="22"/>
      <c r="J126" s="5"/>
      <c r="K126" s="5"/>
      <c r="L126" s="5"/>
      <c r="M126" s="5"/>
      <c r="N126" s="5"/>
      <c r="O126" s="6"/>
      <c r="P126" s="6"/>
    </row>
    <row r="127" spans="1:25" ht="21" customHeight="1">
      <c r="A127" s="8">
        <v>1</v>
      </c>
      <c r="B127" s="23">
        <f>IFERROR(IF(ISNA(VLOOKUP(Y127,Master!A$8:N$127,8,FALSE)),"",VLOOKUP($Y127,Master!A$8:AH$127,8,FALSE)),"")</f>
        <v>45292</v>
      </c>
      <c r="C127" s="9">
        <f>IFERROR(IF(ISNA(VLOOKUP($Y$127,Master!A$8:N$127,5,FALSE)),"",VLOOKUP($Y$127,Master!A$8:AH$127,5,FALSE)),"")</f>
        <v>35800</v>
      </c>
      <c r="D127" s="9">
        <f>IF(AND(C127=""),"",IF(AND($Y$127=""),"",ROUND(C127*Master!C$5%,0)))</f>
        <v>17900</v>
      </c>
      <c r="E127" s="9">
        <f>IF(AND(C127=""),"",IF(AND($Y$127=""),"",ROUND(C127*Master!H$5%,0)))</f>
        <v>3222</v>
      </c>
      <c r="F127" s="9">
        <f t="shared" ref="F127:F129" si="177">IF(AND(C127=""),"",SUM(C127:E127))</f>
        <v>56922</v>
      </c>
      <c r="G127" s="9">
        <f>IFERROR(IF(ISNA(VLOOKUP($Y$127,Master!A$8:N$127,5,FALSE)),"",VLOOKUP($Y$127,Master!A$8:AH$127,5,FALSE)),"")</f>
        <v>35800</v>
      </c>
      <c r="H127" s="9">
        <f>IF(AND(G127=""),"",IF(AND($Y$127=""),"",ROUND(G127*Master!C$4%,0)))</f>
        <v>16468</v>
      </c>
      <c r="I127" s="9">
        <f>IF(AND(G127=""),"",IF(AND($Y$127=""),"",ROUND(G127*Master!H$4%,0)))</f>
        <v>3222</v>
      </c>
      <c r="J127" s="9">
        <f t="shared" ref="J127:J129" si="178">IF(AND(C127=""),"",SUM(G127:I127))</f>
        <v>55490</v>
      </c>
      <c r="K127" s="9">
        <f t="shared" ref="K127" si="179">IF(AND(C127=""),"",IF(AND(G127=""),"",C127-G127))</f>
        <v>0</v>
      </c>
      <c r="L127" s="9">
        <f>IF(AND(D127=""),"",IF(AND(H127=""),"",D127-H127))</f>
        <v>1432</v>
      </c>
      <c r="M127" s="9">
        <f t="shared" ref="M127:M129" si="180">IF(AND(E127=""),"",IF(AND(I127=""),"",E127-I127))</f>
        <v>0</v>
      </c>
      <c r="N127" s="9">
        <f t="shared" ref="N127:N129" si="181">IF(AND(F127=""),"",IF(AND(J127=""),"",F127-J127))</f>
        <v>1432</v>
      </c>
      <c r="O127" s="9">
        <f>IF(AND(C127=""),"",N127-P127)</f>
        <v>1432</v>
      </c>
      <c r="P127" s="9">
        <f>IF(AND($Y$127=""),"",IF(AND(N127=""),"",ROUND(N127*$X$128%,0)))</f>
        <v>0</v>
      </c>
      <c r="Q127" s="9">
        <f>IF(AND($Y$127=""),"",IF(AND(C127=""),"",IF(AND(O127=""),"",SUM(O127,P127))))</f>
        <v>1432</v>
      </c>
      <c r="R127" s="9">
        <f>IF(AND(N127=""),"",IF(AND(Q127=""),"",N127-Q127))</f>
        <v>0</v>
      </c>
      <c r="S127" s="20"/>
      <c r="X127" s="61" t="s">
        <v>49</v>
      </c>
      <c r="Y127" s="64">
        <f>IF(AND(Master!B18="",Master!E18=""),"",11)</f>
        <v>11</v>
      </c>
    </row>
    <row r="128" spans="1:25" ht="21" customHeight="1">
      <c r="A128" s="8">
        <v>2</v>
      </c>
      <c r="B128" s="23">
        <f>IFERROR(DATE(YEAR(B127),MONTH(B127)+1,DAY(B127)),"")</f>
        <v>45323</v>
      </c>
      <c r="C128" s="9">
        <f>IF(AND($Y$127=""),"",C127)</f>
        <v>35800</v>
      </c>
      <c r="D128" s="9">
        <f>IF(AND(C128=""),"",IF(AND($Y$127=""),"",ROUND(C128*Master!C$5%,0)))</f>
        <v>17900</v>
      </c>
      <c r="E128" s="9">
        <f>IF(AND(C128=""),"",IF(AND($Y$127=""),"",ROUND(C128*Master!H$5%,0)))</f>
        <v>3222</v>
      </c>
      <c r="F128" s="9">
        <f t="shared" si="177"/>
        <v>56922</v>
      </c>
      <c r="G128" s="9">
        <f>IF(C128="","",IF(AND($Y$127=""),"",G127))</f>
        <v>35800</v>
      </c>
      <c r="H128" s="9">
        <f>IF(AND(G128=""),"",IF(AND($Y$127=""),"",ROUND(G128*Master!C$4%,0)))</f>
        <v>16468</v>
      </c>
      <c r="I128" s="9">
        <f>IF(AND(G128=""),"",IF(AND($Y$127=""),"",ROUND(G128*Master!H$4%,0)))</f>
        <v>3222</v>
      </c>
      <c r="J128" s="9">
        <f t="shared" si="178"/>
        <v>55490</v>
      </c>
      <c r="K128" s="9">
        <f>IF(AND(C128=""),"",IF(AND(G128=""),"",C128-G128))</f>
        <v>0</v>
      </c>
      <c r="L128" s="9">
        <f t="shared" ref="L128:L129" si="182">IF(AND(D128=""),"",IF(AND(H128=""),"",D128-H128))</f>
        <v>1432</v>
      </c>
      <c r="M128" s="9">
        <f t="shared" si="180"/>
        <v>0</v>
      </c>
      <c r="N128" s="9">
        <f t="shared" si="181"/>
        <v>1432</v>
      </c>
      <c r="O128" s="9">
        <f t="shared" ref="O128" si="183">IF(AND(C128=""),"",N128-P128)</f>
        <v>1432</v>
      </c>
      <c r="P128" s="9">
        <f t="shared" ref="P128:P129" si="184">IF(AND($Y$127=""),"",IF(AND(N128=""),"",ROUND(N128*$X$128%,0)))</f>
        <v>0</v>
      </c>
      <c r="Q128" s="9">
        <f>IF(AND($Y$127=""),"",IF(AND(C128=""),"",IF(AND(O128=""),"",SUM(O128,P128))))</f>
        <v>1432</v>
      </c>
      <c r="R128" s="9">
        <f t="shared" ref="R128:R129" si="185">IF(AND(N128=""),"",IF(AND(Q128=""),"",N128-Q128))</f>
        <v>0</v>
      </c>
      <c r="S128" s="20"/>
      <c r="X128" s="4">
        <f>IF(ISNA(VLOOKUP($Y$127,Master!A$8:N$127,7,FALSE)),"",VLOOKUP($Y$127,Master!A$8:AH$127,7,FALSE))</f>
        <v>0</v>
      </c>
    </row>
    <row r="129" spans="1:25" ht="21" customHeight="1">
      <c r="A129" s="8">
        <v>3</v>
      </c>
      <c r="B129" s="23">
        <f>IFERROR(DATE(YEAR(B128),MONTH(B128)+1,DAY(B128)),"")</f>
        <v>45352</v>
      </c>
      <c r="C129" s="9"/>
      <c r="D129" s="9" t="str">
        <f>IF(AND(C129=""),"",IF(AND($Y$127=""),"",ROUND(C129*Master!C$5%,0)))</f>
        <v/>
      </c>
      <c r="E129" s="9" t="str">
        <f>IF(AND(C129=""),"",IF(AND($Y$127=""),"",ROUND(C129*Master!H$5%,0)))</f>
        <v/>
      </c>
      <c r="F129" s="9" t="str">
        <f t="shared" si="177"/>
        <v/>
      </c>
      <c r="G129" s="9" t="str">
        <f t="shared" ref="G129:G130" si="186">IF(C129="","",IF(AND($Y$127=""),"",G128))</f>
        <v/>
      </c>
      <c r="H129" s="9" t="str">
        <f>IF(AND(G129=""),"",IF(AND($Y$127=""),"",ROUND(G129*Master!C$4%,0)))</f>
        <v/>
      </c>
      <c r="I129" s="9" t="str">
        <f>IF(AND(G129=""),"",IF(AND($Y$127=""),"",ROUND(G129*Master!H$4%,0)))</f>
        <v/>
      </c>
      <c r="J129" s="9" t="str">
        <f t="shared" si="178"/>
        <v/>
      </c>
      <c r="K129" s="9" t="str">
        <f t="shared" ref="K129" si="187">IF(AND(C129=""),"",IF(AND(G129=""),"",C129-G129))</f>
        <v/>
      </c>
      <c r="L129" s="9" t="str">
        <f t="shared" si="182"/>
        <v/>
      </c>
      <c r="M129" s="9" t="str">
        <f t="shared" si="180"/>
        <v/>
      </c>
      <c r="N129" s="9" t="str">
        <f t="shared" si="181"/>
        <v/>
      </c>
      <c r="O129" s="9">
        <v>0</v>
      </c>
      <c r="P129" s="9" t="str">
        <f t="shared" si="184"/>
        <v/>
      </c>
      <c r="Q129" s="9" t="str">
        <f>IF(AND($Y$127=""),"",IF(AND(C129=""),"",IF(AND(O129=""),"",SUM(O129,P129))))</f>
        <v/>
      </c>
      <c r="R129" s="9" t="str">
        <f t="shared" si="185"/>
        <v/>
      </c>
      <c r="S129" s="20"/>
    </row>
    <row r="130" spans="1:25" ht="21" customHeight="1">
      <c r="A130" s="8">
        <v>4</v>
      </c>
      <c r="B130" s="23">
        <f>IFERROR(DATE(YEAR(B129),MONTH(B129)+1,DAY(B129)),"")</f>
        <v>45383</v>
      </c>
      <c r="C130" s="9"/>
      <c r="D130" s="9" t="str">
        <f>IF(AND(C130=""),"",IF(AND($Y$127=""),"",ROUND(C130*Master!C$5%,0)))</f>
        <v/>
      </c>
      <c r="E130" s="9" t="str">
        <f>IF(AND(C130=""),"",IF(AND($Y$127=""),"",ROUND(C130*Master!H$5%,0)))</f>
        <v/>
      </c>
      <c r="F130" s="9" t="str">
        <f t="shared" ref="F130" si="188">IF(AND(C130=""),"",SUM(C130:E130))</f>
        <v/>
      </c>
      <c r="G130" s="9" t="str">
        <f t="shared" si="186"/>
        <v/>
      </c>
      <c r="H130" s="9" t="str">
        <f>IF(AND(G130=""),"",IF(AND($Y$127=""),"",ROUND(G130*Master!C$4%,0)))</f>
        <v/>
      </c>
      <c r="I130" s="9" t="str">
        <f>IF(AND(G130=""),"",IF(AND($Y$127=""),"",ROUND(G130*Master!H$4%,0)))</f>
        <v/>
      </c>
      <c r="J130" s="9" t="str">
        <f t="shared" ref="J130" si="189">IF(AND(C130=""),"",SUM(G130:I130))</f>
        <v/>
      </c>
      <c r="K130" s="9" t="str">
        <f t="shared" ref="K130" si="190">IF(AND(C130=""),"",IF(AND(G130=""),"",C130-G130))</f>
        <v/>
      </c>
      <c r="L130" s="9" t="str">
        <f t="shared" ref="L130" si="191">IF(AND(D130=""),"",IF(AND(H130=""),"",D130-H130))</f>
        <v/>
      </c>
      <c r="M130" s="9" t="str">
        <f t="shared" ref="M130" si="192">IF(AND(E130=""),"",IF(AND(I130=""),"",E130-I130))</f>
        <v/>
      </c>
      <c r="N130" s="9" t="str">
        <f t="shared" ref="N130" si="193">IF(AND(F130=""),"",IF(AND(J130=""),"",F130-J130))</f>
        <v/>
      </c>
      <c r="O130" s="9">
        <v>0</v>
      </c>
      <c r="P130" s="9" t="str">
        <f t="shared" ref="P130" si="194">IF(AND($Y$127=""),"",IF(AND(N130=""),"",ROUND(N130*$X$128%,0)))</f>
        <v/>
      </c>
      <c r="Q130" s="9" t="str">
        <f>IF(AND($Y$127=""),"",IF(AND(C130=""),"",IF(AND(O130=""),"",SUM(O130,P130))))</f>
        <v/>
      </c>
      <c r="R130" s="9" t="str">
        <f t="shared" ref="R130" si="195">IF(AND(N130=""),"",IF(AND(Q130=""),"",N130-Q130))</f>
        <v/>
      </c>
      <c r="S130" s="20"/>
    </row>
    <row r="131" spans="1:25" ht="30.75" customHeight="1">
      <c r="A131" s="153" t="s">
        <v>9</v>
      </c>
      <c r="B131" s="154"/>
      <c r="C131" s="63">
        <f>IF(AND($Y$127=""),"",SUM(C127:C130))</f>
        <v>71600</v>
      </c>
      <c r="D131" s="63">
        <f t="shared" ref="D131:R131" si="196">IF(AND($Y$127=""),"",SUM(D127:D130))</f>
        <v>35800</v>
      </c>
      <c r="E131" s="63">
        <f t="shared" si="196"/>
        <v>6444</v>
      </c>
      <c r="F131" s="63">
        <f t="shared" si="196"/>
        <v>113844</v>
      </c>
      <c r="G131" s="63">
        <f t="shared" si="196"/>
        <v>71600</v>
      </c>
      <c r="H131" s="63">
        <f t="shared" si="196"/>
        <v>32936</v>
      </c>
      <c r="I131" s="63">
        <f t="shared" si="196"/>
        <v>6444</v>
      </c>
      <c r="J131" s="63">
        <f t="shared" si="196"/>
        <v>110980</v>
      </c>
      <c r="K131" s="63">
        <f t="shared" si="196"/>
        <v>0</v>
      </c>
      <c r="L131" s="63">
        <f t="shared" si="196"/>
        <v>2864</v>
      </c>
      <c r="M131" s="63">
        <f t="shared" si="196"/>
        <v>0</v>
      </c>
      <c r="N131" s="63">
        <f t="shared" si="196"/>
        <v>2864</v>
      </c>
      <c r="O131" s="63">
        <f t="shared" si="196"/>
        <v>2864</v>
      </c>
      <c r="P131" s="63">
        <f t="shared" si="196"/>
        <v>0</v>
      </c>
      <c r="Q131" s="63">
        <f t="shared" si="196"/>
        <v>2864</v>
      </c>
      <c r="R131" s="63">
        <f t="shared" si="196"/>
        <v>0</v>
      </c>
      <c r="S131" s="49"/>
    </row>
    <row r="132" spans="1:25" ht="11.25" customHeight="1">
      <c r="A132" s="73"/>
      <c r="B132" s="73"/>
      <c r="C132" s="74"/>
      <c r="D132" s="74"/>
      <c r="E132" s="74"/>
      <c r="F132" s="74"/>
      <c r="G132" s="74"/>
      <c r="H132" s="74"/>
      <c r="I132" s="74"/>
      <c r="J132" s="74"/>
      <c r="K132" s="74"/>
      <c r="L132" s="74"/>
      <c r="M132" s="74"/>
      <c r="N132" s="74"/>
      <c r="O132" s="74"/>
      <c r="P132" s="74"/>
      <c r="Q132" s="74"/>
      <c r="R132" s="74"/>
      <c r="S132" s="75"/>
    </row>
    <row r="133" spans="1:25" ht="23.25" customHeight="1">
      <c r="E133" s="133" t="s">
        <v>10</v>
      </c>
      <c r="F133" s="133"/>
      <c r="G133" s="133"/>
      <c r="H133" s="133"/>
      <c r="I133" s="133"/>
      <c r="J133" s="132" t="str">
        <f>IF(ISNA(VLOOKUP($Y$135,Master!A$8:N$127,2,FALSE)),"",VLOOKUP($Y$135,Master!A$8:AH$127,2,FALSE))</f>
        <v>LALIT KUMAR</v>
      </c>
      <c r="K133" s="132"/>
      <c r="L133" s="132"/>
      <c r="M133" s="132"/>
      <c r="N133" s="132"/>
      <c r="O133" s="60" t="s">
        <v>31</v>
      </c>
      <c r="P133" s="132" t="str">
        <f>IF(ISNA(VLOOKUP($Y$135,Master!A$8:N$127,3,FALSE)),"",VLOOKUP($Y$135,Master!A$8:AH$127,3,FALSE))</f>
        <v>P.T.I. IInd</v>
      </c>
      <c r="Q133" s="132"/>
      <c r="R133" s="132"/>
      <c r="S133" s="132"/>
    </row>
    <row r="134" spans="1:25" ht="9" customHeight="1">
      <c r="E134" s="19"/>
      <c r="F134" s="52"/>
      <c r="G134" s="22"/>
      <c r="H134" s="22"/>
      <c r="I134" s="22"/>
      <c r="J134" s="5"/>
      <c r="K134" s="5"/>
      <c r="L134" s="5"/>
      <c r="M134" s="5"/>
      <c r="N134" s="5"/>
      <c r="O134" s="6"/>
      <c r="P134" s="6"/>
    </row>
    <row r="135" spans="1:25" ht="21" customHeight="1">
      <c r="A135" s="8">
        <v>1</v>
      </c>
      <c r="B135" s="23">
        <f>IFERROR(IF(ISNA(VLOOKUP(Y135,Master!A$8:N$127,8,FALSE)),"",VLOOKUP($Y135,Master!A$8:AH$127,8,FALSE)),"")</f>
        <v>45292</v>
      </c>
      <c r="C135" s="9">
        <f>IFERROR(IF(ISNA(VLOOKUP($Y$135,Master!A$8:N$127,5,FALSE)),"",VLOOKUP($Y$135,Master!A$8:AH$127,5,FALSE)),"")</f>
        <v>45100</v>
      </c>
      <c r="D135" s="9">
        <f>IF(AND(C135=""),"",IF(AND($Y$135=""),"",ROUND(C135*Master!C$5%,0)))</f>
        <v>22550</v>
      </c>
      <c r="E135" s="9">
        <f>IF(AND(C135=""),"",IF(AND($Y$135=""),"",ROUND(C135*Master!H$5%,0)))</f>
        <v>4059</v>
      </c>
      <c r="F135" s="9">
        <f t="shared" ref="F135:F137" si="197">IF(AND(C135=""),"",SUM(C135:E135))</f>
        <v>71709</v>
      </c>
      <c r="G135" s="9">
        <f>IFERROR(IF(ISNA(VLOOKUP($Y$135,Master!A$8:N$127,5,FALSE)),"",VLOOKUP($Y$135,Master!A$8:AH$127,5,FALSE)),"")</f>
        <v>45100</v>
      </c>
      <c r="H135" s="9">
        <f>IF(AND(G135=""),"",IF(AND($Y$135=""),"",ROUND(G135*Master!C$4%,0)))</f>
        <v>20746</v>
      </c>
      <c r="I135" s="9">
        <f>IF(AND(G135=""),"",IF(AND($Y$135=""),"",ROUND(G135*Master!H$4%,0)))</f>
        <v>4059</v>
      </c>
      <c r="J135" s="9">
        <f t="shared" ref="J135:J137" si="198">IF(AND(C135=""),"",SUM(G135:I135))</f>
        <v>69905</v>
      </c>
      <c r="K135" s="9">
        <f t="shared" ref="K135:K137" si="199">IF(AND(C135=""),"",IF(AND(G135=""),"",C135-G135))</f>
        <v>0</v>
      </c>
      <c r="L135" s="9">
        <f t="shared" ref="L135:L137" si="200">IF(AND(D135=""),"",IF(AND(H135=""),"",D135-H135))</f>
        <v>1804</v>
      </c>
      <c r="M135" s="9">
        <f t="shared" ref="M135:M137" si="201">IF(AND(E135=""),"",IF(AND(I135=""),"",E135-I135))</f>
        <v>0</v>
      </c>
      <c r="N135" s="9">
        <f t="shared" ref="N135:N137" si="202">IF(AND(F135=""),"",IF(AND(J135=""),"",F135-J135))</f>
        <v>1804</v>
      </c>
      <c r="O135" s="9">
        <f>IF(AND(C135=""),"",N135-P135)</f>
        <v>1804</v>
      </c>
      <c r="P135" s="9">
        <f>IF(AND($Y$135=""),"",IF(AND(N135=""),"",ROUND(N135*$X$136%,0)))</f>
        <v>0</v>
      </c>
      <c r="Q135" s="9">
        <f>IF(AND($Y$135=""),"",IF(AND(C135=""),"",IF(AND(O135=""),"",SUM(O135,P135))))</f>
        <v>1804</v>
      </c>
      <c r="R135" s="9">
        <f>IF(AND(N135=""),"",IF(AND(Q135=""),"",N135-Q135))</f>
        <v>0</v>
      </c>
      <c r="S135" s="20"/>
      <c r="X135" s="61" t="s">
        <v>49</v>
      </c>
      <c r="Y135" s="64">
        <f>IF(AND(Master!B19="",Master!E19=""),"",12)</f>
        <v>12</v>
      </c>
    </row>
    <row r="136" spans="1:25" ht="21" customHeight="1">
      <c r="A136" s="8">
        <v>2</v>
      </c>
      <c r="B136" s="23">
        <f>IFERROR(DATE(YEAR(B135),MONTH(B135)+1,DAY(B135)),"")</f>
        <v>45323</v>
      </c>
      <c r="C136" s="9">
        <f>IF(AND($Y$135=""),"",C135)</f>
        <v>45100</v>
      </c>
      <c r="D136" s="9">
        <f>IF(AND(C136=""),"",IF(AND($Y$135=""),"",ROUND(C136*Master!C$5%,0)))</f>
        <v>22550</v>
      </c>
      <c r="E136" s="9">
        <f>IF(AND(C136=""),"",IF(AND($Y$135=""),"",ROUND(C136*Master!H$5%,0)))</f>
        <v>4059</v>
      </c>
      <c r="F136" s="9">
        <f t="shared" si="197"/>
        <v>71709</v>
      </c>
      <c r="G136" s="9">
        <f>IF(C136="","",IF(AND($Y$135=""),"",G135))</f>
        <v>45100</v>
      </c>
      <c r="H136" s="9">
        <f>IF(AND(G136=""),"",IF(AND($Y$135=""),"",ROUND(G136*Master!C$4%,0)))</f>
        <v>20746</v>
      </c>
      <c r="I136" s="9">
        <f>IF(AND(G136=""),"",IF(AND($Y$135=""),"",ROUND(G136*Master!H$4%,0)))</f>
        <v>4059</v>
      </c>
      <c r="J136" s="9">
        <f t="shared" si="198"/>
        <v>69905</v>
      </c>
      <c r="K136" s="9">
        <f t="shared" si="199"/>
        <v>0</v>
      </c>
      <c r="L136" s="9">
        <f t="shared" si="200"/>
        <v>1804</v>
      </c>
      <c r="M136" s="9">
        <f t="shared" si="201"/>
        <v>0</v>
      </c>
      <c r="N136" s="9">
        <f t="shared" si="202"/>
        <v>1804</v>
      </c>
      <c r="O136" s="9">
        <f t="shared" ref="O136" si="203">IF(AND(C136=""),"",N136-P136)</f>
        <v>1804</v>
      </c>
      <c r="P136" s="9">
        <f t="shared" ref="P136:P137" si="204">IF(AND($Y$135=""),"",IF(AND(N136=""),"",ROUND(N136*$X$136%,0)))</f>
        <v>0</v>
      </c>
      <c r="Q136" s="9">
        <f>IF(AND($Y$135=""),"",IF(AND(C136=""),"",IF(AND(O136=""),"",SUM(O136,P136))))</f>
        <v>1804</v>
      </c>
      <c r="R136" s="9">
        <f t="shared" ref="R136:R137" si="205">IF(AND(N136=""),"",IF(AND(Q136=""),"",N136-Q136))</f>
        <v>0</v>
      </c>
      <c r="S136" s="20"/>
      <c r="X136" s="4">
        <f>IF(ISNA(VLOOKUP($Y$135,Master!A$8:N$127,7,FALSE)),"",VLOOKUP($Y$135,Master!A$8:AH$127,7,FALSE))</f>
        <v>0</v>
      </c>
    </row>
    <row r="137" spans="1:25" ht="21" customHeight="1">
      <c r="A137" s="8">
        <v>3</v>
      </c>
      <c r="B137" s="23">
        <f>IFERROR(DATE(YEAR(B136),MONTH(B136)+1,DAY(B136)),"")</f>
        <v>45352</v>
      </c>
      <c r="C137" s="9"/>
      <c r="D137" s="9" t="str">
        <f>IF(AND(C137=""),"",IF(AND($Y$135=""),"",ROUND(C137*Master!C$5%,0)))</f>
        <v/>
      </c>
      <c r="E137" s="9" t="str">
        <f>IF(AND(C137=""),"",IF(AND($Y$135=""),"",ROUND(C137*Master!H$5%,0)))</f>
        <v/>
      </c>
      <c r="F137" s="9" t="str">
        <f t="shared" si="197"/>
        <v/>
      </c>
      <c r="G137" s="9" t="str">
        <f t="shared" ref="G137:G138" si="206">IF(C137="","",IF(AND($Y$135=""),"",G136))</f>
        <v/>
      </c>
      <c r="H137" s="9" t="str">
        <f>IF(AND(G137=""),"",IF(AND($Y$135=""),"",ROUND(G137*Master!C$4%,0)))</f>
        <v/>
      </c>
      <c r="I137" s="9" t="str">
        <f>IF(AND(G137=""),"",IF(AND($Y$135=""),"",ROUND(G137*Master!H$4%,0)))</f>
        <v/>
      </c>
      <c r="J137" s="9" t="str">
        <f t="shared" si="198"/>
        <v/>
      </c>
      <c r="K137" s="9" t="str">
        <f t="shared" si="199"/>
        <v/>
      </c>
      <c r="L137" s="9" t="str">
        <f t="shared" si="200"/>
        <v/>
      </c>
      <c r="M137" s="9" t="str">
        <f t="shared" si="201"/>
        <v/>
      </c>
      <c r="N137" s="9" t="str">
        <f t="shared" si="202"/>
        <v/>
      </c>
      <c r="O137" s="9">
        <v>0</v>
      </c>
      <c r="P137" s="9" t="str">
        <f t="shared" si="204"/>
        <v/>
      </c>
      <c r="Q137" s="9" t="str">
        <f>IF(AND($Y$135=""),"",IF(AND(C137=""),"",IF(AND(O137=""),"",SUM(O137,P137))))</f>
        <v/>
      </c>
      <c r="R137" s="9" t="str">
        <f t="shared" si="205"/>
        <v/>
      </c>
      <c r="S137" s="20"/>
    </row>
    <row r="138" spans="1:25" ht="21" customHeight="1">
      <c r="A138" s="8">
        <v>4</v>
      </c>
      <c r="B138" s="23">
        <f>IFERROR(DATE(YEAR(B137),MONTH(B137)+1,DAY(B137)),"")</f>
        <v>45383</v>
      </c>
      <c r="C138" s="9"/>
      <c r="D138" s="9" t="str">
        <f>IF(AND(C138=""),"",IF(AND($Y$135=""),"",ROUND(C138*Master!C$5%,0)))</f>
        <v/>
      </c>
      <c r="E138" s="9" t="str">
        <f>IF(AND(C138=""),"",IF(AND($Y$135=""),"",ROUND(C138*Master!H$5%,0)))</f>
        <v/>
      </c>
      <c r="F138" s="9" t="str">
        <f t="shared" ref="F138" si="207">IF(AND(C138=""),"",SUM(C138:E138))</f>
        <v/>
      </c>
      <c r="G138" s="9" t="str">
        <f t="shared" si="206"/>
        <v/>
      </c>
      <c r="H138" s="9" t="str">
        <f>IF(AND(G138=""),"",IF(AND($Y$135=""),"",ROUND(G138*Master!C$4%,0)))</f>
        <v/>
      </c>
      <c r="I138" s="9" t="str">
        <f>IF(AND(G138=""),"",IF(AND($Y$135=""),"",ROUND(G138*Master!H$4%,0)))</f>
        <v/>
      </c>
      <c r="J138" s="9" t="str">
        <f t="shared" ref="J138" si="208">IF(AND(C138=""),"",SUM(G138:I138))</f>
        <v/>
      </c>
      <c r="K138" s="9" t="str">
        <f t="shared" ref="K138" si="209">IF(AND(C138=""),"",IF(AND(G138=""),"",C138-G138))</f>
        <v/>
      </c>
      <c r="L138" s="9" t="str">
        <f t="shared" ref="L138" si="210">IF(AND(D138=""),"",IF(AND(H138=""),"",D138-H138))</f>
        <v/>
      </c>
      <c r="M138" s="9" t="str">
        <f t="shared" ref="M138" si="211">IF(AND(E138=""),"",IF(AND(I138=""),"",E138-I138))</f>
        <v/>
      </c>
      <c r="N138" s="9" t="str">
        <f t="shared" ref="N138" si="212">IF(AND(F138=""),"",IF(AND(J138=""),"",F138-J138))</f>
        <v/>
      </c>
      <c r="O138" s="9">
        <v>0</v>
      </c>
      <c r="P138" s="9" t="str">
        <f t="shared" ref="P138" si="213">IF(AND($Y$135=""),"",IF(AND(N138=""),"",ROUND(N138*$X$136%,0)))</f>
        <v/>
      </c>
      <c r="Q138" s="9" t="str">
        <f>IF(AND($Y$135=""),"",IF(AND(C138=""),"",IF(AND(O138=""),"",SUM(O138,P138))))</f>
        <v/>
      </c>
      <c r="R138" s="9" t="str">
        <f t="shared" ref="R138" si="214">IF(AND(N138=""),"",IF(AND(Q138=""),"",N138-Q138))</f>
        <v/>
      </c>
      <c r="S138" s="20"/>
    </row>
    <row r="139" spans="1:25" ht="30.75" customHeight="1">
      <c r="A139" s="153" t="s">
        <v>9</v>
      </c>
      <c r="B139" s="154"/>
      <c r="C139" s="63">
        <f>IF(AND($Y$135=""),"",SUM(C135:C138))</f>
        <v>90200</v>
      </c>
      <c r="D139" s="63">
        <f t="shared" ref="D139:R139" si="215">IF(AND($Y$135=""),"",SUM(D135:D138))</f>
        <v>45100</v>
      </c>
      <c r="E139" s="63">
        <f t="shared" si="215"/>
        <v>8118</v>
      </c>
      <c r="F139" s="63">
        <f t="shared" si="215"/>
        <v>143418</v>
      </c>
      <c r="G139" s="63">
        <f t="shared" si="215"/>
        <v>90200</v>
      </c>
      <c r="H139" s="63">
        <f t="shared" si="215"/>
        <v>41492</v>
      </c>
      <c r="I139" s="63">
        <f t="shared" si="215"/>
        <v>8118</v>
      </c>
      <c r="J139" s="63">
        <f t="shared" si="215"/>
        <v>139810</v>
      </c>
      <c r="K139" s="63">
        <f t="shared" si="215"/>
        <v>0</v>
      </c>
      <c r="L139" s="63">
        <f t="shared" si="215"/>
        <v>3608</v>
      </c>
      <c r="M139" s="63">
        <f t="shared" si="215"/>
        <v>0</v>
      </c>
      <c r="N139" s="63">
        <f t="shared" si="215"/>
        <v>3608</v>
      </c>
      <c r="O139" s="63">
        <f t="shared" si="215"/>
        <v>3608</v>
      </c>
      <c r="P139" s="63">
        <f t="shared" si="215"/>
        <v>0</v>
      </c>
      <c r="Q139" s="63">
        <f t="shared" si="215"/>
        <v>3608</v>
      </c>
      <c r="R139" s="63">
        <f t="shared" si="215"/>
        <v>0</v>
      </c>
      <c r="S139" s="49"/>
    </row>
    <row r="140" spans="1:25" ht="30.75" customHeight="1">
      <c r="A140" s="73"/>
      <c r="B140" s="73"/>
      <c r="C140" s="74"/>
      <c r="D140" s="74"/>
      <c r="E140" s="74"/>
      <c r="F140" s="74"/>
      <c r="G140" s="74"/>
      <c r="H140" s="74"/>
      <c r="I140" s="74"/>
      <c r="J140" s="74"/>
      <c r="K140" s="74"/>
      <c r="L140" s="74"/>
      <c r="M140" s="74"/>
      <c r="N140" s="74"/>
      <c r="O140" s="74"/>
      <c r="P140" s="74"/>
      <c r="Q140" s="74"/>
      <c r="R140" s="74"/>
      <c r="S140" s="75"/>
    </row>
    <row r="141" spans="1:25" ht="18.75">
      <c r="A141" s="21"/>
      <c r="B141" s="58"/>
      <c r="C141" s="58"/>
      <c r="D141" s="58"/>
      <c r="E141" s="58"/>
      <c r="F141" s="58"/>
      <c r="G141" s="58"/>
      <c r="H141" s="59"/>
      <c r="I141" s="59"/>
      <c r="J141" s="59"/>
      <c r="K141" s="66"/>
      <c r="L141" s="66"/>
      <c r="M141" s="66"/>
      <c r="N141" s="66"/>
      <c r="O141" s="138" t="s">
        <v>42</v>
      </c>
      <c r="P141" s="138"/>
      <c r="Q141" s="138"/>
      <c r="R141" s="138"/>
      <c r="S141" s="138"/>
    </row>
    <row r="142" spans="1:25" ht="18.75">
      <c r="A142" s="1"/>
      <c r="B142" s="24" t="s">
        <v>19</v>
      </c>
      <c r="C142" s="139"/>
      <c r="D142" s="139"/>
      <c r="E142" s="139"/>
      <c r="F142" s="139"/>
      <c r="G142" s="139"/>
      <c r="H142" s="25"/>
      <c r="I142" s="143" t="s">
        <v>20</v>
      </c>
      <c r="J142" s="143"/>
      <c r="K142" s="141"/>
      <c r="L142" s="141"/>
      <c r="M142" s="141"/>
      <c r="O142" s="138"/>
      <c r="P142" s="138"/>
      <c r="Q142" s="138"/>
      <c r="R142" s="138"/>
      <c r="S142" s="138"/>
    </row>
    <row r="143" spans="1:25" ht="18.75">
      <c r="A143" s="1"/>
      <c r="B143" s="140" t="s">
        <v>21</v>
      </c>
      <c r="C143" s="140"/>
      <c r="D143" s="140"/>
      <c r="E143" s="140"/>
      <c r="F143" s="140"/>
      <c r="G143" s="140"/>
      <c r="H143" s="140"/>
      <c r="I143" s="27"/>
      <c r="J143" s="26"/>
      <c r="K143" s="26"/>
      <c r="L143" s="26"/>
      <c r="M143" s="26"/>
    </row>
    <row r="144" spans="1:25" ht="18.75">
      <c r="A144" s="22">
        <v>1</v>
      </c>
      <c r="B144" s="142" t="s">
        <v>22</v>
      </c>
      <c r="C144" s="142"/>
      <c r="D144" s="142"/>
      <c r="E144" s="142"/>
      <c r="F144" s="142"/>
      <c r="G144" s="142"/>
      <c r="H144" s="142"/>
      <c r="I144" s="28"/>
      <c r="J144" s="26"/>
      <c r="K144" s="26"/>
      <c r="L144" s="26"/>
      <c r="M144" s="26"/>
    </row>
    <row r="145" spans="1:27" ht="18.75">
      <c r="A145" s="2">
        <v>2</v>
      </c>
      <c r="B145" s="142" t="s">
        <v>23</v>
      </c>
      <c r="C145" s="142"/>
      <c r="D145" s="142"/>
      <c r="E145" s="142"/>
      <c r="F145" s="142"/>
      <c r="G145" s="132"/>
      <c r="H145" s="132"/>
      <c r="I145" s="132"/>
      <c r="J145" s="132"/>
      <c r="K145" s="132"/>
      <c r="L145" s="132"/>
      <c r="M145" s="132"/>
    </row>
    <row r="146" spans="1:27" ht="18.75">
      <c r="A146" s="3">
        <v>3</v>
      </c>
      <c r="B146" s="142" t="s">
        <v>24</v>
      </c>
      <c r="C146" s="142"/>
      <c r="D146" s="142"/>
      <c r="E146" s="29"/>
      <c r="F146" s="28"/>
      <c r="G146" s="28"/>
      <c r="H146" s="30"/>
      <c r="I146" s="31"/>
      <c r="J146" s="26"/>
      <c r="K146" s="26"/>
      <c r="L146" s="26"/>
      <c r="M146" s="26"/>
    </row>
    <row r="147" spans="1:27" ht="15.75">
      <c r="O147" s="138" t="s">
        <v>42</v>
      </c>
      <c r="P147" s="138"/>
      <c r="Q147" s="138"/>
      <c r="R147" s="138"/>
      <c r="S147" s="138"/>
    </row>
    <row r="149" spans="1:27" ht="18" customHeight="1">
      <c r="A149" s="148" t="str">
        <f>A112</f>
        <v xml:space="preserve">DA (46% to 50%) Drawn Statement  </v>
      </c>
      <c r="B149" s="148"/>
      <c r="C149" s="148"/>
      <c r="D149" s="148"/>
      <c r="E149" s="148"/>
      <c r="F149" s="148"/>
      <c r="G149" s="148"/>
      <c r="H149" s="148"/>
      <c r="I149" s="148"/>
      <c r="J149" s="148"/>
      <c r="K149" s="148"/>
      <c r="L149" s="148"/>
      <c r="M149" s="148"/>
      <c r="N149" s="148"/>
      <c r="O149" s="148"/>
      <c r="P149" s="148"/>
      <c r="Q149" s="148"/>
      <c r="R149" s="148"/>
      <c r="S149" s="148"/>
      <c r="W149" s="4">
        <f>IF(ISNA(VLOOKUP($Y$3,Master!A$8:N$127,4,FALSE)),"",VLOOKUP($Y$3,Master!A$8:AH$127,4,FALSE))</f>
        <v>2</v>
      </c>
      <c r="X149" s="4" t="str">
        <f>IF(ISNA(VLOOKUP($Y$3,Master!A$8:N$127,6,FALSE)),"",VLOOKUP($Y$3,Master!A$8:AH$127,6,FALSE))</f>
        <v>GPF-2004</v>
      </c>
      <c r="Y149" s="4" t="s">
        <v>45</v>
      </c>
      <c r="Z149" s="4" t="s">
        <v>18</v>
      </c>
      <c r="AA149" s="4">
        <f>IF(ISNA(VLOOKUP($Y$151,Master!A$8:N$127,7,FALSE)),"",VLOOKUP($Y$151,Master!A$8:AH$127,7,FALSE))</f>
        <v>0</v>
      </c>
    </row>
    <row r="150" spans="1:27" ht="18">
      <c r="A150" s="131" t="str">
        <f>IF(AND(Master!C139=""),"",CONCATENATE("Office Of  ",Master!C139))</f>
        <v/>
      </c>
      <c r="B150" s="131"/>
      <c r="C150" s="131"/>
      <c r="D150" s="131"/>
      <c r="E150" s="131"/>
      <c r="F150" s="131"/>
      <c r="G150" s="131"/>
      <c r="H150" s="131"/>
      <c r="I150" s="131"/>
      <c r="J150" s="131"/>
      <c r="K150" s="131"/>
      <c r="L150" s="131"/>
      <c r="M150" s="131"/>
      <c r="N150" s="131"/>
      <c r="O150" s="131"/>
      <c r="P150" s="131"/>
      <c r="Q150" s="131"/>
      <c r="R150" s="131"/>
      <c r="S150" s="131"/>
      <c r="X150" s="4">
        <f>IF(ISNA(VLOOKUP($Y$3,Master!A$8:N$127,8,FALSE)),"",VLOOKUP($Y$3,Master!A$8:AH$127,8,FALSE))</f>
        <v>45292</v>
      </c>
      <c r="Y150" s="4" t="s">
        <v>43</v>
      </c>
    </row>
    <row r="151" spans="1:27" ht="18.75">
      <c r="E151" s="133" t="s">
        <v>10</v>
      </c>
      <c r="F151" s="133"/>
      <c r="G151" s="133"/>
      <c r="H151" s="133"/>
      <c r="I151" s="133"/>
      <c r="J151" s="132" t="str">
        <f>IF(ISNA(VLOOKUP($Y$151,Master!A$8:N$127,2,FALSE)),"",VLOOKUP($Y$151,Master!A$8:AH$127,2,FALSE))</f>
        <v>SAMPAT RAJ</v>
      </c>
      <c r="K151" s="132"/>
      <c r="L151" s="132"/>
      <c r="M151" s="132"/>
      <c r="N151" s="132"/>
      <c r="O151" s="60" t="s">
        <v>31</v>
      </c>
      <c r="P151" s="132" t="str">
        <f>IF(ISNA(VLOOKUP($Y$151,Master!A$8:N$127,3,FALSE)),"",VLOOKUP($Y$151,Master!A$8:AH$127,3,FALSE))</f>
        <v>Sr. Teacher</v>
      </c>
      <c r="Q151" s="132"/>
      <c r="R151" s="132"/>
      <c r="S151" s="132"/>
      <c r="X151" s="61" t="s">
        <v>49</v>
      </c>
      <c r="Y151" s="64">
        <f>IF(AND(Master!B20="",Master!E20=""),"",13)</f>
        <v>13</v>
      </c>
    </row>
    <row r="152" spans="1:27" ht="8.25" customHeight="1">
      <c r="E152" s="19"/>
      <c r="F152" s="52"/>
      <c r="G152" s="22"/>
      <c r="H152" s="22"/>
      <c r="I152" s="22"/>
      <c r="J152" s="5"/>
      <c r="K152" s="5"/>
      <c r="L152" s="5"/>
      <c r="M152" s="5"/>
      <c r="N152" s="5"/>
      <c r="O152" s="6"/>
      <c r="P152" s="6"/>
    </row>
    <row r="153" spans="1:27" ht="24.75" customHeight="1">
      <c r="A153" s="157" t="s">
        <v>0</v>
      </c>
      <c r="B153" s="158" t="s">
        <v>3</v>
      </c>
      <c r="C153" s="159" t="s">
        <v>5</v>
      </c>
      <c r="D153" s="159"/>
      <c r="E153" s="159"/>
      <c r="F153" s="159"/>
      <c r="G153" s="159" t="s">
        <v>6</v>
      </c>
      <c r="H153" s="159"/>
      <c r="I153" s="159"/>
      <c r="J153" s="159"/>
      <c r="K153" s="159" t="s">
        <v>7</v>
      </c>
      <c r="L153" s="159"/>
      <c r="M153" s="159"/>
      <c r="N153" s="159"/>
      <c r="O153" s="149" t="s">
        <v>8</v>
      </c>
      <c r="P153" s="150"/>
      <c r="Q153" s="151"/>
      <c r="R153" s="162" t="s">
        <v>54</v>
      </c>
      <c r="S153" s="162" t="s">
        <v>40</v>
      </c>
    </row>
    <row r="154" spans="1:27" ht="69" customHeight="1">
      <c r="A154" s="157"/>
      <c r="B154" s="158"/>
      <c r="C154" s="54" t="s">
        <v>29</v>
      </c>
      <c r="D154" s="55" t="s">
        <v>1</v>
      </c>
      <c r="E154" s="56" t="s">
        <v>2</v>
      </c>
      <c r="F154" s="54" t="s">
        <v>46</v>
      </c>
      <c r="G154" s="54" t="s">
        <v>29</v>
      </c>
      <c r="H154" s="55" t="s">
        <v>1</v>
      </c>
      <c r="I154" s="56" t="s">
        <v>2</v>
      </c>
      <c r="J154" s="54" t="s">
        <v>47</v>
      </c>
      <c r="K154" s="54" t="s">
        <v>4</v>
      </c>
      <c r="L154" s="55" t="s">
        <v>1</v>
      </c>
      <c r="M154" s="56" t="s">
        <v>2</v>
      </c>
      <c r="N154" s="57" t="s">
        <v>48</v>
      </c>
      <c r="O154" s="53" t="s">
        <v>69</v>
      </c>
      <c r="P154" s="65" t="s">
        <v>41</v>
      </c>
      <c r="Q154" s="57" t="s">
        <v>53</v>
      </c>
      <c r="R154" s="162"/>
      <c r="S154" s="162"/>
    </row>
    <row r="155" spans="1:27" ht="18" customHeight="1">
      <c r="A155" s="7">
        <v>1</v>
      </c>
      <c r="B155" s="7">
        <v>2</v>
      </c>
      <c r="C155" s="7">
        <v>3</v>
      </c>
      <c r="D155" s="7">
        <v>4</v>
      </c>
      <c r="E155" s="7">
        <v>5</v>
      </c>
      <c r="F155" s="7">
        <v>6</v>
      </c>
      <c r="G155" s="7">
        <v>7</v>
      </c>
      <c r="H155" s="7">
        <v>8</v>
      </c>
      <c r="I155" s="7">
        <v>9</v>
      </c>
      <c r="J155" s="7">
        <v>10</v>
      </c>
      <c r="K155" s="7">
        <v>11</v>
      </c>
      <c r="L155" s="7">
        <v>12</v>
      </c>
      <c r="M155" s="7">
        <v>13</v>
      </c>
      <c r="N155" s="7">
        <v>14</v>
      </c>
      <c r="O155" s="7">
        <v>15</v>
      </c>
      <c r="P155" s="7">
        <v>17</v>
      </c>
      <c r="Q155" s="7">
        <v>18</v>
      </c>
      <c r="R155" s="7">
        <v>19</v>
      </c>
      <c r="S155" s="7">
        <v>20</v>
      </c>
    </row>
    <row r="156" spans="1:27" ht="21" customHeight="1">
      <c r="A156" s="8">
        <v>1</v>
      </c>
      <c r="B156" s="23">
        <f>IFERROR(IF(ISNA(VLOOKUP(Y151,Master!A$8:N$127,8,FALSE)),"",VLOOKUP($Y151,Master!A$8:AH$127,8,FALSE)),"")</f>
        <v>45292</v>
      </c>
      <c r="C156" s="9">
        <f>IFERROR(IF(ISNA(VLOOKUP(Y151,Master!A$8:N$127,5,FALSE)),"",VLOOKUP($Y$151,Master!A$8:AH$127,5,FALSE)),"")</f>
        <v>67200</v>
      </c>
      <c r="D156" s="9">
        <f>IF(AND(C156=""),"",IF(AND($Y$151=""),"",ROUND(C156*Master!C$5%,0)))</f>
        <v>33600</v>
      </c>
      <c r="E156" s="9">
        <f>IF(AND(C156=""),"",IF(AND($Y$151=""),"",ROUND(C156*Master!H$5%,0)))</f>
        <v>6048</v>
      </c>
      <c r="F156" s="9">
        <f t="shared" ref="F156" si="216">IF(AND(C156=""),"",SUM(C156:E156))</f>
        <v>106848</v>
      </c>
      <c r="G156" s="9">
        <f>IFERROR(IF(ISNA(VLOOKUP($Y$151,Master!A$8:N$127,5,FALSE)),"",VLOOKUP($Y$151,Master!A$8:AH$127,5,FALSE)),"")</f>
        <v>67200</v>
      </c>
      <c r="H156" s="9">
        <f>IF(AND(G156=""),"",IF(AND($Y$151=""),"",ROUND(G156*Master!C$4%,0)))</f>
        <v>30912</v>
      </c>
      <c r="I156" s="9">
        <f>IF(AND(G156=""),"",IF(AND($Y$151=""),"",ROUND(G156*Master!H$4%,0)))</f>
        <v>6048</v>
      </c>
      <c r="J156" s="9">
        <f t="shared" ref="J156:J157" si="217">IF(AND(C156=""),"",SUM(G156:I156))</f>
        <v>104160</v>
      </c>
      <c r="K156" s="9">
        <f t="shared" ref="K156:K158" si="218">IF(AND(C156=""),"",IF(AND(G156=""),"",C156-G156))</f>
        <v>0</v>
      </c>
      <c r="L156" s="9">
        <f t="shared" ref="L156:L158" si="219">IF(AND(D156=""),"",IF(AND(H156=""),"",D156-H156))</f>
        <v>2688</v>
      </c>
      <c r="M156" s="9">
        <f t="shared" ref="M156:M157" si="220">IF(AND(E156=""),"",IF(AND(I156=""),"",E156-I156))</f>
        <v>0</v>
      </c>
      <c r="N156" s="9">
        <f t="shared" ref="N156:N157" si="221">IF(AND(F156=""),"",IF(AND(J156=""),"",F156-J156))</f>
        <v>2688</v>
      </c>
      <c r="O156" s="9">
        <f>IF(AND(C156=""),"",N156-P156)</f>
        <v>2688</v>
      </c>
      <c r="P156" s="9">
        <f>IF(AND($Y$151=""),"",IF(AND(N156=""),"",ROUND(N156*AA$149%,0)))</f>
        <v>0</v>
      </c>
      <c r="Q156" s="9">
        <f>IF(AND($Y$151=""),"",IF(AND(C156=""),"",IF(AND(O156=""),"",SUM(O156,P156))))</f>
        <v>2688</v>
      </c>
      <c r="R156" s="9">
        <f>IF(AND(N156=""),"",IF(AND(Q156=""),"",N156-Q156))</f>
        <v>0</v>
      </c>
      <c r="S156" s="20"/>
    </row>
    <row r="157" spans="1:27" ht="21" customHeight="1">
      <c r="A157" s="8">
        <v>2</v>
      </c>
      <c r="B157" s="23">
        <f>IFERROR(DATE(YEAR(B156),MONTH(B156)+1,DAY(B156)),"")</f>
        <v>45323</v>
      </c>
      <c r="C157" s="9">
        <f>IF(AND($Y$151=""),"",C156)</f>
        <v>67200</v>
      </c>
      <c r="D157" s="9">
        <f>IF(AND(C157=""),"",IF(AND($Y$151=""),"",ROUND(C157*Master!C$5%,0)))</f>
        <v>33600</v>
      </c>
      <c r="E157" s="9">
        <f>IF(AND(C157=""),"",IF(AND($Y$151=""),"",ROUND(C157*Master!H$5%,0)))</f>
        <v>6048</v>
      </c>
      <c r="F157" s="9">
        <f>IF(AND(C157=""),"",SUM(C157:E157))</f>
        <v>106848</v>
      </c>
      <c r="G157" s="9">
        <f>IF(C157="","",IF(AND($Y$151=""),"",G156))</f>
        <v>67200</v>
      </c>
      <c r="H157" s="9">
        <f>IF(AND(G157=""),"",IF(AND($Y$151=""),"",ROUND(G157*Master!C$4%,0)))</f>
        <v>30912</v>
      </c>
      <c r="I157" s="9">
        <f>IF(AND(G157=""),"",IF(AND($Y$151=""),"",ROUND(G157*Master!H$4%,0)))</f>
        <v>6048</v>
      </c>
      <c r="J157" s="9">
        <f t="shared" si="217"/>
        <v>104160</v>
      </c>
      <c r="K157" s="9">
        <f t="shared" si="218"/>
        <v>0</v>
      </c>
      <c r="L157" s="9">
        <f t="shared" si="219"/>
        <v>2688</v>
      </c>
      <c r="M157" s="9">
        <f t="shared" si="220"/>
        <v>0</v>
      </c>
      <c r="N157" s="9">
        <f t="shared" si="221"/>
        <v>2688</v>
      </c>
      <c r="O157" s="9">
        <f t="shared" ref="O157" si="222">IF(AND(C157=""),"",N157-P157)</f>
        <v>2688</v>
      </c>
      <c r="P157" s="9">
        <f t="shared" ref="P157:P158" si="223">IF(AND($Y$151=""),"",IF(AND(N157=""),"",ROUND(N157*AA$149%,0)))</f>
        <v>0</v>
      </c>
      <c r="Q157" s="9">
        <f>IF(AND($Y$151=""),"",IF(AND(C157=""),"",IF(AND(O157=""),"",SUM(O157,P157))))</f>
        <v>2688</v>
      </c>
      <c r="R157" s="9">
        <f t="shared" ref="R157:R158" si="224">IF(AND(N157=""),"",IF(AND(Q157=""),"",N157-Q157))</f>
        <v>0</v>
      </c>
      <c r="S157" s="20"/>
    </row>
    <row r="158" spans="1:27" ht="21" customHeight="1">
      <c r="A158" s="8">
        <v>3</v>
      </c>
      <c r="B158" s="23">
        <f>IFERROR(DATE(YEAR(B157),MONTH(B157)+1,DAY(B157)),"")</f>
        <v>45352</v>
      </c>
      <c r="C158" s="9"/>
      <c r="D158" s="9" t="str">
        <f>IF(AND(C158=""),"",IF(AND($Y$151=""),"",ROUND(C158*Master!C$5%,0)))</f>
        <v/>
      </c>
      <c r="E158" s="9" t="str">
        <f>IF(AND(C158=""),"",IF(AND($Y$151=""),"",ROUND(C158*Master!H$5%,0)))</f>
        <v/>
      </c>
      <c r="F158" s="9" t="str">
        <f t="shared" ref="F158" si="225">IF(AND(C158=""),"",SUM(C158:E158))</f>
        <v/>
      </c>
      <c r="G158" s="9" t="str">
        <f t="shared" ref="G158:G159" si="226">IF(C158="","",IF(AND($Y$151=""),"",G157))</f>
        <v/>
      </c>
      <c r="H158" s="9" t="str">
        <f>IF(AND(G158=""),"",IF(AND($Y$151=""),"",ROUND(G158*Master!C$4%,0)))</f>
        <v/>
      </c>
      <c r="I158" s="9" t="str">
        <f>IF(AND(G158=""),"",IF(AND($Y$151=""),"",ROUND(G158*Master!H$4%,0)))</f>
        <v/>
      </c>
      <c r="J158" s="9" t="str">
        <f>IF(AND(C158=""),"",SUM(G158:I158))</f>
        <v/>
      </c>
      <c r="K158" s="9" t="str">
        <f t="shared" si="218"/>
        <v/>
      </c>
      <c r="L158" s="9" t="str">
        <f t="shared" si="219"/>
        <v/>
      </c>
      <c r="M158" s="9" t="str">
        <f>IF(AND(E158=""),"",IF(AND(I158=""),"",E158-I158))</f>
        <v/>
      </c>
      <c r="N158" s="9" t="str">
        <f>IF(AND(F158=""),"",IF(AND(J158=""),"",F158-J158))</f>
        <v/>
      </c>
      <c r="O158" s="9">
        <v>0</v>
      </c>
      <c r="P158" s="9" t="str">
        <f t="shared" si="223"/>
        <v/>
      </c>
      <c r="Q158" s="9" t="str">
        <f>IF(AND($Y$151=""),"",IF(AND(C158=""),"",IF(AND(O158=""),"",SUM(O158,P158))))</f>
        <v/>
      </c>
      <c r="R158" s="9" t="str">
        <f t="shared" si="224"/>
        <v/>
      </c>
      <c r="S158" s="20"/>
    </row>
    <row r="159" spans="1:27" ht="21" customHeight="1">
      <c r="A159" s="8">
        <v>4</v>
      </c>
      <c r="B159" s="23">
        <f>IFERROR(DATE(YEAR(B158),MONTH(B158)+1,DAY(B158)),"")</f>
        <v>45383</v>
      </c>
      <c r="C159" s="9"/>
      <c r="D159" s="9" t="str">
        <f>IF(AND(C159=""),"",IF(AND($Y$151=""),"",ROUND(C159*Master!C$5%,0)))</f>
        <v/>
      </c>
      <c r="E159" s="9" t="str">
        <f>IF(AND(C159=""),"",IF(AND($Y$151=""),"",ROUND(C159*Master!H$5%,0)))</f>
        <v/>
      </c>
      <c r="F159" s="9" t="str">
        <f t="shared" ref="F159" si="227">IF(AND(C159=""),"",SUM(C159:E159))</f>
        <v/>
      </c>
      <c r="G159" s="9" t="str">
        <f t="shared" si="226"/>
        <v/>
      </c>
      <c r="H159" s="9" t="str">
        <f>IF(AND(G159=""),"",IF(AND($Y$151=""),"",ROUND(G159*Master!C$4%,0)))</f>
        <v/>
      </c>
      <c r="I159" s="9" t="str">
        <f>IF(AND(G159=""),"",IF(AND($Y$151=""),"",ROUND(G159*Master!H$4%,0)))</f>
        <v/>
      </c>
      <c r="J159" s="9" t="str">
        <f>IF(AND(C159=""),"",SUM(G159:I159))</f>
        <v/>
      </c>
      <c r="K159" s="9" t="str">
        <f t="shared" ref="K159" si="228">IF(AND(C159=""),"",IF(AND(G159=""),"",C159-G159))</f>
        <v/>
      </c>
      <c r="L159" s="9" t="str">
        <f t="shared" ref="L159" si="229">IF(AND(D159=""),"",IF(AND(H159=""),"",D159-H159))</f>
        <v/>
      </c>
      <c r="M159" s="9" t="str">
        <f>IF(AND(E159=""),"",IF(AND(I159=""),"",E159-I159))</f>
        <v/>
      </c>
      <c r="N159" s="9" t="str">
        <f>IF(AND(F159=""),"",IF(AND(J159=""),"",F159-J159))</f>
        <v/>
      </c>
      <c r="O159" s="9">
        <v>0</v>
      </c>
      <c r="P159" s="9" t="str">
        <f t="shared" ref="P159" si="230">IF(AND($Y$151=""),"",IF(AND(N159=""),"",ROUND(N159*AA$149%,0)))</f>
        <v/>
      </c>
      <c r="Q159" s="9" t="str">
        <f>IF(AND($Y$151=""),"",IF(AND(C159=""),"",IF(AND(O159=""),"",SUM(O159,P159))))</f>
        <v/>
      </c>
      <c r="R159" s="9" t="str">
        <f t="shared" ref="R159" si="231">IF(AND(N159=""),"",IF(AND(Q159=""),"",N159-Q159))</f>
        <v/>
      </c>
      <c r="S159" s="20"/>
    </row>
    <row r="160" spans="1:27" ht="23.25" customHeight="1">
      <c r="A160" s="153" t="s">
        <v>9</v>
      </c>
      <c r="B160" s="154"/>
      <c r="C160" s="63">
        <f>IF(AND($Y$151=""),"",SUM(C156:C159))</f>
        <v>134400</v>
      </c>
      <c r="D160" s="63">
        <f t="shared" ref="D160:R160" si="232">IF(AND($Y$151=""),"",SUM(D156:D159))</f>
        <v>67200</v>
      </c>
      <c r="E160" s="63">
        <f t="shared" si="232"/>
        <v>12096</v>
      </c>
      <c r="F160" s="63">
        <f t="shared" si="232"/>
        <v>213696</v>
      </c>
      <c r="G160" s="63">
        <f t="shared" si="232"/>
        <v>134400</v>
      </c>
      <c r="H160" s="63">
        <f t="shared" si="232"/>
        <v>61824</v>
      </c>
      <c r="I160" s="63">
        <f t="shared" si="232"/>
        <v>12096</v>
      </c>
      <c r="J160" s="63">
        <f t="shared" si="232"/>
        <v>208320</v>
      </c>
      <c r="K160" s="63">
        <f t="shared" si="232"/>
        <v>0</v>
      </c>
      <c r="L160" s="63">
        <f t="shared" si="232"/>
        <v>5376</v>
      </c>
      <c r="M160" s="63">
        <f t="shared" si="232"/>
        <v>0</v>
      </c>
      <c r="N160" s="63">
        <f t="shared" si="232"/>
        <v>5376</v>
      </c>
      <c r="O160" s="63">
        <f t="shared" si="232"/>
        <v>5376</v>
      </c>
      <c r="P160" s="63">
        <f t="shared" si="232"/>
        <v>0</v>
      </c>
      <c r="Q160" s="63">
        <f t="shared" si="232"/>
        <v>5376</v>
      </c>
      <c r="R160" s="63">
        <f t="shared" si="232"/>
        <v>0</v>
      </c>
      <c r="S160" s="49"/>
    </row>
    <row r="161" spans="1:25" ht="10.5" customHeight="1">
      <c r="A161" s="73"/>
      <c r="B161" s="73"/>
      <c r="C161" s="74"/>
      <c r="D161" s="74"/>
      <c r="E161" s="74"/>
      <c r="F161" s="74"/>
      <c r="G161" s="74"/>
      <c r="H161" s="74"/>
      <c r="I161" s="74"/>
      <c r="J161" s="74"/>
      <c r="K161" s="74"/>
      <c r="L161" s="74"/>
      <c r="M161" s="74"/>
      <c r="N161" s="74"/>
      <c r="O161" s="74"/>
      <c r="P161" s="74"/>
      <c r="Q161" s="74"/>
      <c r="R161" s="74"/>
      <c r="S161" s="75"/>
    </row>
    <row r="162" spans="1:25" ht="23.25" customHeight="1">
      <c r="E162" s="133" t="s">
        <v>10</v>
      </c>
      <c r="F162" s="133"/>
      <c r="G162" s="133"/>
      <c r="H162" s="133"/>
      <c r="I162" s="133"/>
      <c r="J162" s="132" t="str">
        <f>IF(ISNA(VLOOKUP($Y$164,Master!A$8:N$127,2,FALSE)),"",VLOOKUP($Y$164,Master!A$8:AH$127,2,FALSE))</f>
        <v>BAHADURRAM</v>
      </c>
      <c r="K162" s="132"/>
      <c r="L162" s="132"/>
      <c r="M162" s="132"/>
      <c r="N162" s="132"/>
      <c r="O162" s="60" t="s">
        <v>31</v>
      </c>
      <c r="P162" s="132" t="str">
        <f>IF(ISNA(VLOOKUP($Y$164,Master!A$8:N$127,3,FALSE)),"",VLOOKUP($Y$164,Master!A$8:AH$127,3,FALSE))</f>
        <v>UDC</v>
      </c>
      <c r="Q162" s="132"/>
      <c r="R162" s="132"/>
      <c r="S162" s="132"/>
    </row>
    <row r="163" spans="1:25" ht="9" customHeight="1">
      <c r="E163" s="19"/>
      <c r="F163" s="52"/>
      <c r="G163" s="22"/>
      <c r="H163" s="22"/>
      <c r="I163" s="22"/>
      <c r="J163" s="5"/>
      <c r="K163" s="5"/>
      <c r="L163" s="5"/>
      <c r="M163" s="5"/>
      <c r="N163" s="5"/>
      <c r="O163" s="6"/>
      <c r="P163" s="6"/>
    </row>
    <row r="164" spans="1:25" ht="21" customHeight="1">
      <c r="A164" s="8">
        <v>1</v>
      </c>
      <c r="B164" s="23">
        <f>IFERROR(IF(ISNA(VLOOKUP(Y164,Master!A$8:N$127,8,FALSE)),"",VLOOKUP($Y164,Master!A$8:AH$127,8,FALSE)),"")</f>
        <v>45292</v>
      </c>
      <c r="C164" s="9">
        <f>IFERROR(IF(ISNA(VLOOKUP($Y$164,Master!A$8:N$127,5,FALSE)),"",VLOOKUP($Y$164,Master!A$8:AH$127,5,FALSE)),"")</f>
        <v>38000</v>
      </c>
      <c r="D164" s="9">
        <f>IF(AND(C164=""),"",IF(AND($Y$164=""),"",ROUND(C164*Master!C$5%,0)))</f>
        <v>19000</v>
      </c>
      <c r="E164" s="9">
        <f>IF(AND(C164=""),"",IF(AND($Y$164=""),"",ROUND(C164*Master!H$5%,0)))</f>
        <v>3420</v>
      </c>
      <c r="F164" s="9">
        <f t="shared" ref="F164:F166" si="233">IF(AND(C164=""),"",SUM(C164:E164))</f>
        <v>60420</v>
      </c>
      <c r="G164" s="9">
        <f>IFERROR(IF(ISNA(VLOOKUP($Y$164,Master!A$8:N$127,5,FALSE)),"",VLOOKUP($Y$164,Master!A$8:AH$127,5,FALSE)),"")</f>
        <v>38000</v>
      </c>
      <c r="H164" s="9">
        <f>IF(AND(G164=""),"",IF(AND($Y$164=""),"",ROUND(G164*Master!C$4%,0)))</f>
        <v>17480</v>
      </c>
      <c r="I164" s="9">
        <f>IF(AND(G164=""),"",IF(AND($Y$164=""),"",ROUND(G164*Master!H$4%,0)))</f>
        <v>3420</v>
      </c>
      <c r="J164" s="9">
        <f t="shared" ref="J164:J166" si="234">IF(AND(C164=""),"",SUM(G164:I164))</f>
        <v>58900</v>
      </c>
      <c r="K164" s="9">
        <f t="shared" ref="K164" si="235">IF(AND(C164=""),"",IF(AND(G164=""),"",C164-G164))</f>
        <v>0</v>
      </c>
      <c r="L164" s="9">
        <f>IF(AND(D164=""),"",IF(AND(H164=""),"",D164-H164))</f>
        <v>1520</v>
      </c>
      <c r="M164" s="9">
        <f t="shared" ref="M164:M166" si="236">IF(AND(E164=""),"",IF(AND(I164=""),"",E164-I164))</f>
        <v>0</v>
      </c>
      <c r="N164" s="9">
        <f t="shared" ref="N164:N166" si="237">IF(AND(F164=""),"",IF(AND(J164=""),"",F164-J164))</f>
        <v>1520</v>
      </c>
      <c r="O164" s="9">
        <f>IF(AND(C164=""),"",N164-P164)</f>
        <v>1520</v>
      </c>
      <c r="P164" s="9">
        <f>IF(AND($Y$164=""),"",IF(AND(N164=""),"",ROUND(N164*$X$165%,0)))</f>
        <v>0</v>
      </c>
      <c r="Q164" s="9">
        <f>IF(AND($Y$164=""),"",IF(AND(C164=""),"",IF(AND(O164=""),"",SUM(O164,P164))))</f>
        <v>1520</v>
      </c>
      <c r="R164" s="9">
        <f>IF(AND(N164=""),"",IF(AND(Q164=""),"",N164-Q164))</f>
        <v>0</v>
      </c>
      <c r="S164" s="20"/>
      <c r="X164" s="61" t="s">
        <v>49</v>
      </c>
      <c r="Y164" s="64">
        <f>IF(AND(Master!B21="",Master!E21=""),"",14)</f>
        <v>14</v>
      </c>
    </row>
    <row r="165" spans="1:25" ht="21" customHeight="1">
      <c r="A165" s="8">
        <v>2</v>
      </c>
      <c r="B165" s="23">
        <f>IFERROR(DATE(YEAR(B164),MONTH(B164)+1,DAY(B164)),"")</f>
        <v>45323</v>
      </c>
      <c r="C165" s="9">
        <f>IF(AND($Y$164=""),"",C164)</f>
        <v>38000</v>
      </c>
      <c r="D165" s="9">
        <f>IF(AND(C165=""),"",IF(AND($Y$164=""),"",ROUND(C165*Master!C$5%,0)))</f>
        <v>19000</v>
      </c>
      <c r="E165" s="9">
        <f>IF(AND(C165=""),"",IF(AND($Y$164=""),"",ROUND(C165*Master!H$5%,0)))</f>
        <v>3420</v>
      </c>
      <c r="F165" s="9">
        <f t="shared" si="233"/>
        <v>60420</v>
      </c>
      <c r="G165" s="9">
        <f>IF(C165="","",IF(AND($Y$164=""),"",G164))</f>
        <v>38000</v>
      </c>
      <c r="H165" s="9">
        <f>IF(AND(G165=""),"",IF(AND($Y$164=""),"",ROUND(G165*Master!C$4%,0)))</f>
        <v>17480</v>
      </c>
      <c r="I165" s="9">
        <f>IF(AND(G165=""),"",IF(AND($Y$164=""),"",ROUND(G165*Master!H$4%,0)))</f>
        <v>3420</v>
      </c>
      <c r="J165" s="9">
        <f t="shared" si="234"/>
        <v>58900</v>
      </c>
      <c r="K165" s="9">
        <f>IF(AND(C165=""),"",IF(AND(G165=""),"",C165-G165))</f>
        <v>0</v>
      </c>
      <c r="L165" s="9">
        <f t="shared" ref="L165:L166" si="238">IF(AND(D165=""),"",IF(AND(H165=""),"",D165-H165))</f>
        <v>1520</v>
      </c>
      <c r="M165" s="9">
        <f t="shared" si="236"/>
        <v>0</v>
      </c>
      <c r="N165" s="9">
        <f t="shared" si="237"/>
        <v>1520</v>
      </c>
      <c r="O165" s="9">
        <f t="shared" ref="O165" si="239">IF(AND(C165=""),"",N165-P165)</f>
        <v>1520</v>
      </c>
      <c r="P165" s="9">
        <f t="shared" ref="P165:P166" si="240">IF(AND($Y$164=""),"",IF(AND(N165=""),"",ROUND(N165*$X$165%,0)))</f>
        <v>0</v>
      </c>
      <c r="Q165" s="9">
        <f>IF(AND($Y$164=""),"",IF(AND(C165=""),"",IF(AND(O165=""),"",SUM(O165,P165))))</f>
        <v>1520</v>
      </c>
      <c r="R165" s="9">
        <f t="shared" ref="R165:R166" si="241">IF(AND(N165=""),"",IF(AND(Q165=""),"",N165-Q165))</f>
        <v>0</v>
      </c>
      <c r="S165" s="20"/>
      <c r="X165" s="4">
        <f>IF(ISNA(VLOOKUP($Y$164,Master!A$8:N$127,7,FALSE)),"",VLOOKUP($Y$164,Master!A$8:AH$127,7,FALSE))</f>
        <v>0</v>
      </c>
    </row>
    <row r="166" spans="1:25" ht="21" customHeight="1">
      <c r="A166" s="8">
        <v>3</v>
      </c>
      <c r="B166" s="23">
        <f>IFERROR(DATE(YEAR(B165),MONTH(B165)+1,DAY(B165)),"")</f>
        <v>45352</v>
      </c>
      <c r="C166" s="9"/>
      <c r="D166" s="9" t="str">
        <f>IF(AND(C166=""),"",IF(AND($Y$164=""),"",ROUND(C166*Master!C$5%,0)))</f>
        <v/>
      </c>
      <c r="E166" s="9" t="str">
        <f>IF(AND(C166=""),"",IF(AND($Y$164=""),"",ROUND(C166*Master!H$5%,0)))</f>
        <v/>
      </c>
      <c r="F166" s="9" t="str">
        <f t="shared" si="233"/>
        <v/>
      </c>
      <c r="G166" s="9" t="str">
        <f t="shared" ref="G166:G167" si="242">IF(C166="","",IF(AND($Y$164=""),"",G165))</f>
        <v/>
      </c>
      <c r="H166" s="9" t="str">
        <f>IF(AND(G166=""),"",IF(AND($Y$164=""),"",ROUND(G166*Master!C$4%,0)))</f>
        <v/>
      </c>
      <c r="I166" s="9" t="str">
        <f>IF(AND(G166=""),"",IF(AND($Y$164=""),"",ROUND(G166*Master!H$4%,0)))</f>
        <v/>
      </c>
      <c r="J166" s="9" t="str">
        <f t="shared" si="234"/>
        <v/>
      </c>
      <c r="K166" s="9" t="str">
        <f t="shared" ref="K166" si="243">IF(AND(C166=""),"",IF(AND(G166=""),"",C166-G166))</f>
        <v/>
      </c>
      <c r="L166" s="9" t="str">
        <f t="shared" si="238"/>
        <v/>
      </c>
      <c r="M166" s="9" t="str">
        <f t="shared" si="236"/>
        <v/>
      </c>
      <c r="N166" s="9" t="str">
        <f t="shared" si="237"/>
        <v/>
      </c>
      <c r="O166" s="9">
        <v>0</v>
      </c>
      <c r="P166" s="9" t="str">
        <f t="shared" si="240"/>
        <v/>
      </c>
      <c r="Q166" s="9" t="str">
        <f>IF(AND($Y$164=""),"",IF(AND(C166=""),"",IF(AND(O166=""),"",SUM(O166,P166))))</f>
        <v/>
      </c>
      <c r="R166" s="9" t="str">
        <f t="shared" si="241"/>
        <v/>
      </c>
      <c r="S166" s="20"/>
    </row>
    <row r="167" spans="1:25" ht="21" customHeight="1">
      <c r="A167" s="8">
        <v>4</v>
      </c>
      <c r="B167" s="23">
        <f>IFERROR(DATE(YEAR(B166),MONTH(B166)+1,DAY(B166)),"")</f>
        <v>45383</v>
      </c>
      <c r="C167" s="9"/>
      <c r="D167" s="9" t="str">
        <f>IF(AND(C167=""),"",IF(AND($Y$164=""),"",ROUND(C167*Master!C$5%,0)))</f>
        <v/>
      </c>
      <c r="E167" s="9" t="str">
        <f>IF(AND(C167=""),"",IF(AND($Y$164=""),"",ROUND(C167*Master!H$5%,0)))</f>
        <v/>
      </c>
      <c r="F167" s="9" t="str">
        <f t="shared" ref="F167" si="244">IF(AND(C167=""),"",SUM(C167:E167))</f>
        <v/>
      </c>
      <c r="G167" s="9" t="str">
        <f t="shared" si="242"/>
        <v/>
      </c>
      <c r="H167" s="9" t="str">
        <f>IF(AND(G167=""),"",IF(AND($Y$164=""),"",ROUND(G167*Master!C$4%,0)))</f>
        <v/>
      </c>
      <c r="I167" s="9" t="str">
        <f>IF(AND(G167=""),"",IF(AND($Y$164=""),"",ROUND(G167*Master!H$4%,0)))</f>
        <v/>
      </c>
      <c r="J167" s="9" t="str">
        <f t="shared" ref="J167" si="245">IF(AND(C167=""),"",SUM(G167:I167))</f>
        <v/>
      </c>
      <c r="K167" s="9" t="str">
        <f t="shared" ref="K167" si="246">IF(AND(C167=""),"",IF(AND(G167=""),"",C167-G167))</f>
        <v/>
      </c>
      <c r="L167" s="9" t="str">
        <f t="shared" ref="L167" si="247">IF(AND(D167=""),"",IF(AND(H167=""),"",D167-H167))</f>
        <v/>
      </c>
      <c r="M167" s="9" t="str">
        <f t="shared" ref="M167" si="248">IF(AND(E167=""),"",IF(AND(I167=""),"",E167-I167))</f>
        <v/>
      </c>
      <c r="N167" s="9" t="str">
        <f t="shared" ref="N167" si="249">IF(AND(F167=""),"",IF(AND(J167=""),"",F167-J167))</f>
        <v/>
      </c>
      <c r="O167" s="9">
        <v>0</v>
      </c>
      <c r="P167" s="9" t="str">
        <f t="shared" ref="P167" si="250">IF(AND($Y$164=""),"",IF(AND(N167=""),"",ROUND(N167*$X$165%,0)))</f>
        <v/>
      </c>
      <c r="Q167" s="9" t="str">
        <f>IF(AND($Y$164=""),"",IF(AND(C167=""),"",IF(AND(O167=""),"",SUM(O167,P167))))</f>
        <v/>
      </c>
      <c r="R167" s="9" t="str">
        <f t="shared" ref="R167" si="251">IF(AND(N167=""),"",IF(AND(Q167=""),"",N167-Q167))</f>
        <v/>
      </c>
      <c r="S167" s="20"/>
    </row>
    <row r="168" spans="1:25" ht="30.75" customHeight="1">
      <c r="A168" s="153" t="s">
        <v>9</v>
      </c>
      <c r="B168" s="154"/>
      <c r="C168" s="63">
        <f>IF(AND($Y$164=""),"",SUM(C164:C167))</f>
        <v>76000</v>
      </c>
      <c r="D168" s="63">
        <f t="shared" ref="D168:R168" si="252">IF(AND($Y$164=""),"",SUM(D164:D167))</f>
        <v>38000</v>
      </c>
      <c r="E168" s="63">
        <f t="shared" si="252"/>
        <v>6840</v>
      </c>
      <c r="F168" s="63">
        <f t="shared" si="252"/>
        <v>120840</v>
      </c>
      <c r="G168" s="63">
        <f t="shared" si="252"/>
        <v>76000</v>
      </c>
      <c r="H168" s="63">
        <f t="shared" si="252"/>
        <v>34960</v>
      </c>
      <c r="I168" s="63">
        <f t="shared" si="252"/>
        <v>6840</v>
      </c>
      <c r="J168" s="63">
        <f t="shared" si="252"/>
        <v>117800</v>
      </c>
      <c r="K168" s="63">
        <f t="shared" si="252"/>
        <v>0</v>
      </c>
      <c r="L168" s="63">
        <f t="shared" si="252"/>
        <v>3040</v>
      </c>
      <c r="M168" s="63">
        <f t="shared" si="252"/>
        <v>0</v>
      </c>
      <c r="N168" s="63">
        <f t="shared" si="252"/>
        <v>3040</v>
      </c>
      <c r="O168" s="63">
        <f t="shared" si="252"/>
        <v>3040</v>
      </c>
      <c r="P168" s="63">
        <f t="shared" si="252"/>
        <v>0</v>
      </c>
      <c r="Q168" s="63">
        <f t="shared" si="252"/>
        <v>3040</v>
      </c>
      <c r="R168" s="63">
        <f t="shared" si="252"/>
        <v>0</v>
      </c>
      <c r="S168" s="49"/>
    </row>
    <row r="169" spans="1:25" ht="11.25" customHeight="1">
      <c r="A169" s="73"/>
      <c r="B169" s="73"/>
      <c r="C169" s="74"/>
      <c r="D169" s="74"/>
      <c r="E169" s="74"/>
      <c r="F169" s="74"/>
      <c r="G169" s="74"/>
      <c r="H169" s="74"/>
      <c r="I169" s="74"/>
      <c r="J169" s="74"/>
      <c r="K169" s="74"/>
      <c r="L169" s="74"/>
      <c r="M169" s="74"/>
      <c r="N169" s="74"/>
      <c r="O169" s="74"/>
      <c r="P169" s="74"/>
      <c r="Q169" s="74"/>
      <c r="R169" s="74"/>
      <c r="S169" s="75"/>
    </row>
    <row r="170" spans="1:25" ht="23.25" customHeight="1">
      <c r="E170" s="133" t="s">
        <v>10</v>
      </c>
      <c r="F170" s="133"/>
      <c r="G170" s="133"/>
      <c r="H170" s="133"/>
      <c r="I170" s="133"/>
      <c r="J170" s="132" t="str">
        <f>IF(ISNA(VLOOKUP($Y$172,Master!A$8:N$127,2,FALSE)),"",VLOOKUP($Y$172,Master!A$8:AH$127,2,FALSE))</f>
        <v xml:space="preserve">HEMANT </v>
      </c>
      <c r="K170" s="132"/>
      <c r="L170" s="132"/>
      <c r="M170" s="132"/>
      <c r="N170" s="132"/>
      <c r="O170" s="60" t="s">
        <v>31</v>
      </c>
      <c r="P170" s="132" t="str">
        <f>IF(ISNA(VLOOKUP($Y$172,Master!A$8:N$127,3,FALSE)),"",VLOOKUP($Y$172,Master!A$8:AH$127,3,FALSE))</f>
        <v>LDC</v>
      </c>
      <c r="Q170" s="132"/>
      <c r="R170" s="132"/>
      <c r="S170" s="132"/>
    </row>
    <row r="171" spans="1:25" ht="9" customHeight="1">
      <c r="E171" s="19"/>
      <c r="F171" s="52"/>
      <c r="G171" s="22"/>
      <c r="H171" s="22"/>
      <c r="I171" s="22"/>
      <c r="J171" s="5"/>
      <c r="K171" s="5"/>
      <c r="L171" s="5"/>
      <c r="M171" s="5"/>
      <c r="N171" s="5"/>
      <c r="O171" s="6"/>
      <c r="P171" s="6"/>
    </row>
    <row r="172" spans="1:25" ht="21" customHeight="1">
      <c r="A172" s="8">
        <v>1</v>
      </c>
      <c r="B172" s="23">
        <f>IFERROR(IF(ISNA(VLOOKUP(Y172,Master!A$8:N$127,8,FALSE)),"",VLOOKUP($Y172,Master!A$8:AH$127,8,FALSE)),"")</f>
        <v>45292</v>
      </c>
      <c r="C172" s="9">
        <f>IFERROR(IF(ISNA(VLOOKUP($Y$172,Master!A$8:N$127,5,FALSE)),"",VLOOKUP($Y$172,Master!A$8:AH$127,5,FALSE)),"")</f>
        <v>36900</v>
      </c>
      <c r="D172" s="9">
        <f>IF(AND(C172=""),"",IF(AND($Y$172=""),"",ROUND(C172*Master!C$5%,0)))</f>
        <v>18450</v>
      </c>
      <c r="E172" s="9">
        <f>IF(AND(C172=""),"",IF(AND($Y$172=""),"",ROUND(C172*Master!H$5%,0)))</f>
        <v>3321</v>
      </c>
      <c r="F172" s="9">
        <f t="shared" ref="F172:F174" si="253">IF(AND(C172=""),"",SUM(C172:E172))</f>
        <v>58671</v>
      </c>
      <c r="G172" s="9">
        <f>IFERROR(IF(ISNA(VLOOKUP($Y$172,Master!A$8:N$127,5,FALSE)),"",VLOOKUP($Y$172,Master!A$8:AH$127,5,FALSE)),"")</f>
        <v>36900</v>
      </c>
      <c r="H172" s="9">
        <f>IF(AND(G172=""),"",IF(AND($Y$172=""),"",ROUND(G172*Master!C$4%,0)))</f>
        <v>16974</v>
      </c>
      <c r="I172" s="9">
        <f>IF(AND(G172=""),"",IF(AND($Y$172=""),"",ROUND(G172*Master!H$4%,0)))</f>
        <v>3321</v>
      </c>
      <c r="J172" s="9">
        <f t="shared" ref="J172:J174" si="254">IF(AND(C172=""),"",SUM(G172:I172))</f>
        <v>57195</v>
      </c>
      <c r="K172" s="9">
        <f t="shared" ref="K172:K174" si="255">IF(AND(C172=""),"",IF(AND(G172=""),"",C172-G172))</f>
        <v>0</v>
      </c>
      <c r="L172" s="9">
        <f t="shared" ref="L172:L174" si="256">IF(AND(D172=""),"",IF(AND(H172=""),"",D172-H172))</f>
        <v>1476</v>
      </c>
      <c r="M172" s="9">
        <f t="shared" ref="M172:M174" si="257">IF(AND(E172=""),"",IF(AND(I172=""),"",E172-I172))</f>
        <v>0</v>
      </c>
      <c r="N172" s="9">
        <f t="shared" ref="N172:N174" si="258">IF(AND(F172=""),"",IF(AND(J172=""),"",F172-J172))</f>
        <v>1476</v>
      </c>
      <c r="O172" s="9">
        <f>IF(AND(C172=""),"",N172-P172)</f>
        <v>1476</v>
      </c>
      <c r="P172" s="9">
        <f>IF(AND($Y$172=""),"",IF(AND(N172=""),"",ROUND(N172*$X$173%,0)))</f>
        <v>0</v>
      </c>
      <c r="Q172" s="9">
        <f>IF(AND($Y$172=""),"",IF(AND(C172=""),"",IF(AND(O172=""),"",SUM(O172,P172))))</f>
        <v>1476</v>
      </c>
      <c r="R172" s="9">
        <f>IF(AND(N172=""),"",IF(AND(Q172=""),"",N172-Q172))</f>
        <v>0</v>
      </c>
      <c r="S172" s="20"/>
      <c r="X172" s="61" t="s">
        <v>49</v>
      </c>
      <c r="Y172" s="64">
        <f>IF(AND(Master!B22="",Master!E22=""),"",15)</f>
        <v>15</v>
      </c>
    </row>
    <row r="173" spans="1:25" ht="21" customHeight="1">
      <c r="A173" s="8">
        <v>2</v>
      </c>
      <c r="B173" s="23">
        <f>IFERROR(DATE(YEAR(B172),MONTH(B172)+1,DAY(B172)),"")</f>
        <v>45323</v>
      </c>
      <c r="C173" s="9">
        <f>IF(AND($Y$172=""),"",C172)</f>
        <v>36900</v>
      </c>
      <c r="D173" s="9">
        <f>IF(AND(C173=""),"",IF(AND($Y$172=""),"",ROUND(C173*Master!C$5%,0)))</f>
        <v>18450</v>
      </c>
      <c r="E173" s="9">
        <f>IF(AND(C173=""),"",IF(AND($Y$172=""),"",ROUND(C173*Master!H$5%,0)))</f>
        <v>3321</v>
      </c>
      <c r="F173" s="9">
        <f t="shared" si="253"/>
        <v>58671</v>
      </c>
      <c r="G173" s="9">
        <f>IF(C173="","",IF(AND($Y$172=""),"",G172))</f>
        <v>36900</v>
      </c>
      <c r="H173" s="9">
        <f>IF(AND(G173=""),"",IF(AND($Y$172=""),"",ROUND(G173*Master!C$4%,0)))</f>
        <v>16974</v>
      </c>
      <c r="I173" s="9">
        <f>IF(AND(G173=""),"",IF(AND($Y$172=""),"",ROUND(G173*Master!H$4%,0)))</f>
        <v>3321</v>
      </c>
      <c r="J173" s="9">
        <f t="shared" si="254"/>
        <v>57195</v>
      </c>
      <c r="K173" s="9">
        <f t="shared" si="255"/>
        <v>0</v>
      </c>
      <c r="L173" s="9">
        <f t="shared" si="256"/>
        <v>1476</v>
      </c>
      <c r="M173" s="9">
        <f t="shared" si="257"/>
        <v>0</v>
      </c>
      <c r="N173" s="9">
        <f t="shared" si="258"/>
        <v>1476</v>
      </c>
      <c r="O173" s="9">
        <f t="shared" ref="O173" si="259">IF(AND(C173=""),"",N173-P173)</f>
        <v>1476</v>
      </c>
      <c r="P173" s="9">
        <f t="shared" ref="P173:P174" si="260">IF(AND($Y$172=""),"",IF(AND(N173=""),"",ROUND(N173*$X$173%,0)))</f>
        <v>0</v>
      </c>
      <c r="Q173" s="9">
        <f>IF(AND($Y$172=""),"",IF(AND(C173=""),"",IF(AND(O173=""),"",SUM(O173,P173))))</f>
        <v>1476</v>
      </c>
      <c r="R173" s="9">
        <f t="shared" ref="R173:R174" si="261">IF(AND(N173=""),"",IF(AND(Q173=""),"",N173-Q173))</f>
        <v>0</v>
      </c>
      <c r="S173" s="20"/>
      <c r="X173" s="4">
        <f>IF(ISNA(VLOOKUP($Y$172,Master!A$8:N$127,7,FALSE)),"",VLOOKUP($Y$172,Master!A$8:AH$127,7,FALSE))</f>
        <v>0</v>
      </c>
    </row>
    <row r="174" spans="1:25" ht="21" customHeight="1">
      <c r="A174" s="8">
        <v>3</v>
      </c>
      <c r="B174" s="23">
        <f>IFERROR(DATE(YEAR(B173),MONTH(B173)+1,DAY(B173)),"")</f>
        <v>45352</v>
      </c>
      <c r="C174" s="9"/>
      <c r="D174" s="9" t="str">
        <f>IF(AND(C174=""),"",IF(AND($Y$172=""),"",ROUND(C174*Master!C$5%,0)))</f>
        <v/>
      </c>
      <c r="E174" s="9" t="str">
        <f>IF(AND(C174=""),"",IF(AND($Y$172=""),"",ROUND(C174*Master!H$5%,0)))</f>
        <v/>
      </c>
      <c r="F174" s="9" t="str">
        <f t="shared" si="253"/>
        <v/>
      </c>
      <c r="G174" s="9" t="str">
        <f>IF(C174="","",IF(AND($Y$172=""),"",G173))</f>
        <v/>
      </c>
      <c r="H174" s="9" t="str">
        <f>IF(AND(G174=""),"",IF(AND($Y$172=""),"",ROUND(G174*Master!C$4%,0)))</f>
        <v/>
      </c>
      <c r="I174" s="9" t="str">
        <f>IF(AND(G174=""),"",IF(AND($Y$172=""),"",ROUND(G174*Master!H$4%,0)))</f>
        <v/>
      </c>
      <c r="J174" s="9" t="str">
        <f t="shared" si="254"/>
        <v/>
      </c>
      <c r="K174" s="9" t="str">
        <f t="shared" si="255"/>
        <v/>
      </c>
      <c r="L174" s="9" t="str">
        <f t="shared" si="256"/>
        <v/>
      </c>
      <c r="M174" s="9" t="str">
        <f t="shared" si="257"/>
        <v/>
      </c>
      <c r="N174" s="9" t="str">
        <f t="shared" si="258"/>
        <v/>
      </c>
      <c r="O174" s="9">
        <v>0</v>
      </c>
      <c r="P174" s="9" t="str">
        <f t="shared" si="260"/>
        <v/>
      </c>
      <c r="Q174" s="9" t="str">
        <f>IF(AND($Y$172=""),"",IF(AND(C174=""),"",IF(AND(O174=""),"",SUM(O174,P174))))</f>
        <v/>
      </c>
      <c r="R174" s="9" t="str">
        <f t="shared" si="261"/>
        <v/>
      </c>
      <c r="S174" s="20"/>
    </row>
    <row r="175" spans="1:25" ht="21" customHeight="1">
      <c r="A175" s="8">
        <v>4</v>
      </c>
      <c r="B175" s="23">
        <f>IFERROR(DATE(YEAR(B174),MONTH(B174)+1,DAY(B174)),"")</f>
        <v>45383</v>
      </c>
      <c r="C175" s="9"/>
      <c r="D175" s="9" t="str">
        <f>IF(AND(C175=""),"",IF(AND($Y$172=""),"",ROUND(C175*Master!C$5%,0)))</f>
        <v/>
      </c>
      <c r="E175" s="9" t="str">
        <f>IF(AND(C175=""),"",IF(AND($Y$172=""),"",ROUND(C175*Master!H$5%,0)))</f>
        <v/>
      </c>
      <c r="F175" s="9" t="str">
        <f t="shared" ref="F175" si="262">IF(AND(C175=""),"",SUM(C175:E175))</f>
        <v/>
      </c>
      <c r="G175" s="9" t="str">
        <f>IF(C175="","",IF(AND($Y$172=""),"",G174))</f>
        <v/>
      </c>
      <c r="H175" s="9" t="str">
        <f>IF(AND(G175=""),"",IF(AND($Y$172=""),"",ROUND(G175*Master!C$4%,0)))</f>
        <v/>
      </c>
      <c r="I175" s="9" t="str">
        <f>IF(AND(G175=""),"",IF(AND($Y$172=""),"",ROUND(G175*Master!H$4%,0)))</f>
        <v/>
      </c>
      <c r="J175" s="9" t="str">
        <f t="shared" ref="J175" si="263">IF(AND(C175=""),"",SUM(G175:I175))</f>
        <v/>
      </c>
      <c r="K175" s="9" t="str">
        <f t="shared" ref="K175" si="264">IF(AND(C175=""),"",IF(AND(G175=""),"",C175-G175))</f>
        <v/>
      </c>
      <c r="L175" s="9" t="str">
        <f t="shared" ref="L175" si="265">IF(AND(D175=""),"",IF(AND(H175=""),"",D175-H175))</f>
        <v/>
      </c>
      <c r="M175" s="9" t="str">
        <f t="shared" ref="M175" si="266">IF(AND(E175=""),"",IF(AND(I175=""),"",E175-I175))</f>
        <v/>
      </c>
      <c r="N175" s="9" t="str">
        <f t="shared" ref="N175" si="267">IF(AND(F175=""),"",IF(AND(J175=""),"",F175-J175))</f>
        <v/>
      </c>
      <c r="O175" s="9">
        <v>0</v>
      </c>
      <c r="P175" s="9" t="str">
        <f t="shared" ref="P175" si="268">IF(AND($Y$172=""),"",IF(AND(N175=""),"",ROUND(N175*$X$173%,0)))</f>
        <v/>
      </c>
      <c r="Q175" s="9" t="str">
        <f>IF(AND($Y$172=""),"",IF(AND(C175=""),"",IF(AND(O175=""),"",SUM(O175,P175))))</f>
        <v/>
      </c>
      <c r="R175" s="9" t="str">
        <f t="shared" ref="R175" si="269">IF(AND(N175=""),"",IF(AND(Q175=""),"",N175-Q175))</f>
        <v/>
      </c>
      <c r="S175" s="20"/>
    </row>
    <row r="176" spans="1:25" ht="30.75" customHeight="1">
      <c r="A176" s="153" t="s">
        <v>9</v>
      </c>
      <c r="B176" s="154"/>
      <c r="C176" s="63">
        <f>IF(AND($Y$172=""),"",SUM(C172:C175))</f>
        <v>73800</v>
      </c>
      <c r="D176" s="63">
        <f t="shared" ref="D176:R176" si="270">IF(AND($Y$172=""),"",SUM(D172:D175))</f>
        <v>36900</v>
      </c>
      <c r="E176" s="63">
        <f t="shared" si="270"/>
        <v>6642</v>
      </c>
      <c r="F176" s="63">
        <f t="shared" si="270"/>
        <v>117342</v>
      </c>
      <c r="G176" s="63">
        <f t="shared" si="270"/>
        <v>73800</v>
      </c>
      <c r="H176" s="63">
        <f t="shared" si="270"/>
        <v>33948</v>
      </c>
      <c r="I176" s="63">
        <f t="shared" si="270"/>
        <v>6642</v>
      </c>
      <c r="J176" s="63">
        <f t="shared" si="270"/>
        <v>114390</v>
      </c>
      <c r="K176" s="63">
        <f t="shared" si="270"/>
        <v>0</v>
      </c>
      <c r="L176" s="63">
        <f t="shared" si="270"/>
        <v>2952</v>
      </c>
      <c r="M176" s="63">
        <f t="shared" si="270"/>
        <v>0</v>
      </c>
      <c r="N176" s="63">
        <f t="shared" si="270"/>
        <v>2952</v>
      </c>
      <c r="O176" s="63">
        <f t="shared" si="270"/>
        <v>2952</v>
      </c>
      <c r="P176" s="63">
        <f t="shared" si="270"/>
        <v>0</v>
      </c>
      <c r="Q176" s="63">
        <f t="shared" si="270"/>
        <v>2952</v>
      </c>
      <c r="R176" s="63">
        <f t="shared" si="270"/>
        <v>0</v>
      </c>
      <c r="S176" s="49"/>
    </row>
    <row r="177" spans="1:27" ht="30.75" customHeight="1">
      <c r="A177" s="73"/>
      <c r="B177" s="73"/>
      <c r="C177" s="74"/>
      <c r="D177" s="74"/>
      <c r="E177" s="74"/>
      <c r="F177" s="74"/>
      <c r="G177" s="74"/>
      <c r="H177" s="74"/>
      <c r="I177" s="74"/>
      <c r="J177" s="74"/>
      <c r="K177" s="74"/>
      <c r="L177" s="74"/>
      <c r="M177" s="74"/>
      <c r="N177" s="74"/>
      <c r="O177" s="74"/>
      <c r="P177" s="74"/>
      <c r="Q177" s="74"/>
      <c r="R177" s="74"/>
      <c r="S177" s="75"/>
    </row>
    <row r="178" spans="1:27" ht="18.75">
      <c r="A178" s="21"/>
      <c r="B178" s="58"/>
      <c r="C178" s="58"/>
      <c r="D178" s="58"/>
      <c r="E178" s="58"/>
      <c r="F178" s="58"/>
      <c r="G178" s="58"/>
      <c r="H178" s="59"/>
      <c r="I178" s="59"/>
      <c r="J178" s="59"/>
      <c r="K178" s="66"/>
      <c r="L178" s="66"/>
      <c r="M178" s="66"/>
      <c r="N178" s="66"/>
      <c r="O178" s="138" t="s">
        <v>42</v>
      </c>
      <c r="P178" s="138"/>
      <c r="Q178" s="138"/>
      <c r="R178" s="138"/>
      <c r="S178" s="138"/>
    </row>
    <row r="179" spans="1:27" ht="18.75">
      <c r="A179" s="1"/>
      <c r="B179" s="24" t="s">
        <v>19</v>
      </c>
      <c r="C179" s="139"/>
      <c r="D179" s="139"/>
      <c r="E179" s="139"/>
      <c r="F179" s="139"/>
      <c r="G179" s="139"/>
      <c r="H179" s="25"/>
      <c r="I179" s="143" t="s">
        <v>20</v>
      </c>
      <c r="J179" s="143"/>
      <c r="K179" s="141"/>
      <c r="L179" s="141"/>
      <c r="M179" s="141"/>
      <c r="O179" s="138"/>
      <c r="P179" s="138"/>
      <c r="Q179" s="138"/>
      <c r="R179" s="138"/>
      <c r="S179" s="138"/>
    </row>
    <row r="180" spans="1:27" ht="18.75">
      <c r="A180" s="1"/>
      <c r="B180" s="140" t="s">
        <v>21</v>
      </c>
      <c r="C180" s="140"/>
      <c r="D180" s="140"/>
      <c r="E180" s="140"/>
      <c r="F180" s="140"/>
      <c r="G180" s="140"/>
      <c r="H180" s="140"/>
      <c r="I180" s="27"/>
      <c r="J180" s="26"/>
      <c r="K180" s="26"/>
      <c r="L180" s="26"/>
      <c r="M180" s="26"/>
    </row>
    <row r="181" spans="1:27" ht="18.75">
      <c r="A181" s="22">
        <v>1</v>
      </c>
      <c r="B181" s="142" t="s">
        <v>22</v>
      </c>
      <c r="C181" s="142"/>
      <c r="D181" s="142"/>
      <c r="E181" s="142"/>
      <c r="F181" s="142"/>
      <c r="G181" s="142"/>
      <c r="H181" s="142"/>
      <c r="I181" s="28"/>
      <c r="J181" s="26"/>
      <c r="K181" s="26"/>
      <c r="L181" s="26"/>
      <c r="M181" s="26"/>
    </row>
    <row r="182" spans="1:27" ht="18.75">
      <c r="A182" s="2">
        <v>2</v>
      </c>
      <c r="B182" s="142" t="s">
        <v>23</v>
      </c>
      <c r="C182" s="142"/>
      <c r="D182" s="142"/>
      <c r="E182" s="142"/>
      <c r="F182" s="142"/>
      <c r="G182" s="132"/>
      <c r="H182" s="132"/>
      <c r="I182" s="132"/>
      <c r="J182" s="132"/>
      <c r="K182" s="132"/>
      <c r="L182" s="132"/>
      <c r="M182" s="132"/>
    </row>
    <row r="183" spans="1:27" ht="18.75">
      <c r="A183" s="3">
        <v>3</v>
      </c>
      <c r="B183" s="142" t="s">
        <v>24</v>
      </c>
      <c r="C183" s="142"/>
      <c r="D183" s="142"/>
      <c r="E183" s="29"/>
      <c r="F183" s="28"/>
      <c r="G183" s="28"/>
      <c r="H183" s="30"/>
      <c r="I183" s="31"/>
      <c r="J183" s="26"/>
      <c r="K183" s="26"/>
      <c r="L183" s="26"/>
      <c r="M183" s="26"/>
    </row>
    <row r="184" spans="1:27" ht="15.75">
      <c r="O184" s="138" t="s">
        <v>42</v>
      </c>
      <c r="P184" s="138"/>
      <c r="Q184" s="138"/>
      <c r="R184" s="138"/>
      <c r="S184" s="138"/>
    </row>
    <row r="186" spans="1:27" ht="18" customHeight="1">
      <c r="A186" s="148" t="str">
        <f>A149</f>
        <v xml:space="preserve">DA (46% to 50%) Drawn Statement  </v>
      </c>
      <c r="B186" s="148"/>
      <c r="C186" s="148"/>
      <c r="D186" s="148"/>
      <c r="E186" s="148"/>
      <c r="F186" s="148"/>
      <c r="G186" s="148"/>
      <c r="H186" s="148"/>
      <c r="I186" s="148"/>
      <c r="J186" s="148"/>
      <c r="K186" s="148"/>
      <c r="L186" s="148"/>
      <c r="M186" s="148"/>
      <c r="N186" s="148"/>
      <c r="O186" s="148"/>
      <c r="P186" s="148"/>
      <c r="Q186" s="148"/>
      <c r="R186" s="148"/>
      <c r="S186" s="148"/>
      <c r="W186" s="4">
        <f>IF(ISNA(VLOOKUP($Y$3,Master!A$8:N$127,4,FALSE)),"",VLOOKUP($Y$3,Master!A$8:AH$127,4,FALSE))</f>
        <v>2</v>
      </c>
      <c r="X186" s="4" t="str">
        <f>IF(ISNA(VLOOKUP($Y$3,Master!A$8:N$127,6,FALSE)),"",VLOOKUP($Y$3,Master!A$8:AH$127,6,FALSE))</f>
        <v>GPF-2004</v>
      </c>
      <c r="Y186" s="4" t="s">
        <v>45</v>
      </c>
      <c r="Z186" s="4" t="s">
        <v>18</v>
      </c>
      <c r="AA186" s="4" t="str">
        <f>IF(ISNA(VLOOKUP($Y$188,Master!A$8:N$127,7,FALSE)),"",VLOOKUP($Y$188,Master!A$8:AH$127,7,FALSE))</f>
        <v/>
      </c>
    </row>
    <row r="187" spans="1:27" ht="18">
      <c r="A187" s="131" t="str">
        <f>IF(AND(Master!C173=""),"",CONCATENATE("Office Of  ",Master!C173))</f>
        <v/>
      </c>
      <c r="B187" s="131"/>
      <c r="C187" s="131"/>
      <c r="D187" s="131"/>
      <c r="E187" s="131"/>
      <c r="F187" s="131"/>
      <c r="G187" s="131"/>
      <c r="H187" s="131"/>
      <c r="I187" s="131"/>
      <c r="J187" s="131"/>
      <c r="K187" s="131"/>
      <c r="L187" s="131"/>
      <c r="M187" s="131"/>
      <c r="N187" s="131"/>
      <c r="O187" s="131"/>
      <c r="P187" s="131"/>
      <c r="Q187" s="131"/>
      <c r="R187" s="131"/>
      <c r="S187" s="131"/>
      <c r="X187" s="4">
        <f>IF(ISNA(VLOOKUP($Y$3,Master!A$8:N$127,8,FALSE)),"",VLOOKUP($Y$3,Master!A$8:AH$127,8,FALSE))</f>
        <v>45292</v>
      </c>
      <c r="Y187" s="4" t="s">
        <v>43</v>
      </c>
    </row>
    <row r="188" spans="1:27" ht="18.75">
      <c r="E188" s="133" t="s">
        <v>10</v>
      </c>
      <c r="F188" s="133"/>
      <c r="G188" s="133"/>
      <c r="H188" s="133"/>
      <c r="I188" s="133"/>
      <c r="J188" s="132" t="str">
        <f>IF(ISNA(VLOOKUP($Y$188,Master!A$8:N$127,2,FALSE)),"",VLOOKUP($Y$188,Master!A$8:AH$127,2,FALSE))</f>
        <v/>
      </c>
      <c r="K188" s="132"/>
      <c r="L188" s="132"/>
      <c r="M188" s="132"/>
      <c r="N188" s="132"/>
      <c r="O188" s="60" t="s">
        <v>31</v>
      </c>
      <c r="P188" s="132" t="str">
        <f>IF(ISNA(VLOOKUP($Y$188,Master!A$8:N$127,3,FALSE)),"",VLOOKUP($Y$188,Master!A$8:AH$127,3,FALSE))</f>
        <v/>
      </c>
      <c r="Q188" s="132"/>
      <c r="R188" s="132"/>
      <c r="S188" s="132"/>
      <c r="X188" s="61" t="s">
        <v>49</v>
      </c>
      <c r="Y188" s="64" t="str">
        <f>IF(AND(Master!B23="",Master!E23=""),"",16)</f>
        <v/>
      </c>
    </row>
    <row r="189" spans="1:27" ht="8.25" customHeight="1">
      <c r="E189" s="19"/>
      <c r="F189" s="52"/>
      <c r="G189" s="22"/>
      <c r="H189" s="22"/>
      <c r="I189" s="22"/>
      <c r="J189" s="5"/>
      <c r="K189" s="5"/>
      <c r="L189" s="5"/>
      <c r="M189" s="5"/>
      <c r="N189" s="5"/>
      <c r="O189" s="6"/>
      <c r="P189" s="6"/>
    </row>
    <row r="190" spans="1:27" ht="24.75" customHeight="1">
      <c r="A190" s="157" t="s">
        <v>0</v>
      </c>
      <c r="B190" s="158" t="s">
        <v>3</v>
      </c>
      <c r="C190" s="159" t="s">
        <v>5</v>
      </c>
      <c r="D190" s="159"/>
      <c r="E190" s="159"/>
      <c r="F190" s="159"/>
      <c r="G190" s="159" t="s">
        <v>6</v>
      </c>
      <c r="H190" s="159"/>
      <c r="I190" s="159"/>
      <c r="J190" s="159"/>
      <c r="K190" s="159" t="s">
        <v>7</v>
      </c>
      <c r="L190" s="159"/>
      <c r="M190" s="159"/>
      <c r="N190" s="159"/>
      <c r="O190" s="149" t="s">
        <v>8</v>
      </c>
      <c r="P190" s="150"/>
      <c r="Q190" s="151"/>
      <c r="R190" s="162" t="s">
        <v>54</v>
      </c>
      <c r="S190" s="162" t="s">
        <v>40</v>
      </c>
    </row>
    <row r="191" spans="1:27" ht="69" customHeight="1">
      <c r="A191" s="157"/>
      <c r="B191" s="158"/>
      <c r="C191" s="54" t="s">
        <v>29</v>
      </c>
      <c r="D191" s="55" t="s">
        <v>1</v>
      </c>
      <c r="E191" s="56" t="s">
        <v>2</v>
      </c>
      <c r="F191" s="54" t="s">
        <v>46</v>
      </c>
      <c r="G191" s="54" t="s">
        <v>29</v>
      </c>
      <c r="H191" s="55" t="s">
        <v>1</v>
      </c>
      <c r="I191" s="56" t="s">
        <v>2</v>
      </c>
      <c r="J191" s="54" t="s">
        <v>47</v>
      </c>
      <c r="K191" s="54" t="s">
        <v>4</v>
      </c>
      <c r="L191" s="55" t="s">
        <v>1</v>
      </c>
      <c r="M191" s="56" t="s">
        <v>2</v>
      </c>
      <c r="N191" s="57" t="s">
        <v>48</v>
      </c>
      <c r="O191" s="53" t="s">
        <v>69</v>
      </c>
      <c r="P191" s="65" t="s">
        <v>41</v>
      </c>
      <c r="Q191" s="57" t="s">
        <v>53</v>
      </c>
      <c r="R191" s="162"/>
      <c r="S191" s="162"/>
    </row>
    <row r="192" spans="1:27" ht="18" customHeight="1">
      <c r="A192" s="7">
        <v>1</v>
      </c>
      <c r="B192" s="7">
        <v>2</v>
      </c>
      <c r="C192" s="7">
        <v>3</v>
      </c>
      <c r="D192" s="7">
        <v>4</v>
      </c>
      <c r="E192" s="7">
        <v>5</v>
      </c>
      <c r="F192" s="7">
        <v>6</v>
      </c>
      <c r="G192" s="7">
        <v>7</v>
      </c>
      <c r="H192" s="7">
        <v>8</v>
      </c>
      <c r="I192" s="7">
        <v>9</v>
      </c>
      <c r="J192" s="7">
        <v>10</v>
      </c>
      <c r="K192" s="7">
        <v>11</v>
      </c>
      <c r="L192" s="7">
        <v>12</v>
      </c>
      <c r="M192" s="7">
        <v>13</v>
      </c>
      <c r="N192" s="7">
        <v>14</v>
      </c>
      <c r="O192" s="7">
        <v>15</v>
      </c>
      <c r="P192" s="7">
        <v>17</v>
      </c>
      <c r="Q192" s="7">
        <v>18</v>
      </c>
      <c r="R192" s="7">
        <v>19</v>
      </c>
      <c r="S192" s="7">
        <v>20</v>
      </c>
    </row>
    <row r="193" spans="1:25" ht="21" customHeight="1">
      <c r="A193" s="8">
        <v>1</v>
      </c>
      <c r="B193" s="23" t="str">
        <f>IFERROR(IF(ISNA(VLOOKUP(Y188,Master!A$8:N$127,8,FALSE)),"",VLOOKUP($Y188,Master!A$8:AH$127,8,FALSE)),"")</f>
        <v/>
      </c>
      <c r="C193" s="9" t="str">
        <f>IFERROR(IF(ISNA(VLOOKUP(Y188,Master!A$8:N$127,5,FALSE)),"",VLOOKUP($Y$188,Master!A$8:AH$127,5,FALSE)),"")</f>
        <v/>
      </c>
      <c r="D193" s="9" t="str">
        <f>IF(AND(C193=""),"",IF(AND($Y$188=""),"",ROUND(C193*Master!C$5%,0)))</f>
        <v/>
      </c>
      <c r="E193" s="9" t="str">
        <f>IF(AND(C193=""),"",IF(AND($Y$188=""),"",ROUND(C193*Master!H$5%,0)))</f>
        <v/>
      </c>
      <c r="F193" s="9" t="str">
        <f t="shared" ref="F193" si="271">IF(AND(C193=""),"",SUM(C193:E193))</f>
        <v/>
      </c>
      <c r="G193" s="9" t="str">
        <f>IFERROR(IF(ISNA(VLOOKUP($Y$188,Master!A$8:N$127,5,FALSE)),"",VLOOKUP($Y$188,Master!A$8:AH$127,5,FALSE)),"")</f>
        <v/>
      </c>
      <c r="H193" s="9" t="str">
        <f>IF(AND(G193=""),"",IF(AND($Y$188=""),"",ROUND(G193*Master!C$4%,0)))</f>
        <v/>
      </c>
      <c r="I193" s="9" t="str">
        <f>IF(AND(G193=""),"",IF(AND($Y$188=""),"",ROUND(G193*Master!H$4%,0)))</f>
        <v/>
      </c>
      <c r="J193" s="9" t="str">
        <f t="shared" ref="J193:J194" si="272">IF(AND(C193=""),"",SUM(G193:I193))</f>
        <v/>
      </c>
      <c r="K193" s="9" t="str">
        <f t="shared" ref="K193:K195" si="273">IF(AND(C193=""),"",IF(AND(G193=""),"",C193-G193))</f>
        <v/>
      </c>
      <c r="L193" s="9" t="str">
        <f t="shared" ref="L193:L195" si="274">IF(AND(D193=""),"",IF(AND(H193=""),"",D193-H193))</f>
        <v/>
      </c>
      <c r="M193" s="9" t="str">
        <f t="shared" ref="M193:M194" si="275">IF(AND(E193=""),"",IF(AND(I193=""),"",E193-I193))</f>
        <v/>
      </c>
      <c r="N193" s="9" t="str">
        <f t="shared" ref="N193:N194" si="276">IF(AND(F193=""),"",IF(AND(J193=""),"",F193-J193))</f>
        <v/>
      </c>
      <c r="O193" s="9" t="str">
        <f>IF(AND(C193=""),"",N193-P193)</f>
        <v/>
      </c>
      <c r="P193" s="9" t="str">
        <f>IF(AND($Y$188=""),"",IF(AND(N193=""),"",ROUND(N193*AA$186%,0)))</f>
        <v/>
      </c>
      <c r="Q193" s="9" t="str">
        <f>IF(AND($Y$188=""),"",IF(AND(C193=""),"",IF(AND(O193=""),"",SUM(O193,P193))))</f>
        <v/>
      </c>
      <c r="R193" s="9" t="str">
        <f>IF(AND(N193=""),"",IF(AND(Q193=""),"",N193-Q193))</f>
        <v/>
      </c>
      <c r="S193" s="20"/>
    </row>
    <row r="194" spans="1:25" ht="21" customHeight="1">
      <c r="A194" s="8">
        <v>2</v>
      </c>
      <c r="B194" s="23" t="str">
        <f>IFERROR(DATE(YEAR(B193),MONTH(B193)+1,DAY(B193)),"")</f>
        <v/>
      </c>
      <c r="C194" s="9" t="str">
        <f>IF(AND($Y$188=""),"",C193)</f>
        <v/>
      </c>
      <c r="D194" s="9" t="str">
        <f>IF(AND(C194=""),"",IF(AND($Y$188=""),"",ROUND(C194*Master!C$5%,0)))</f>
        <v/>
      </c>
      <c r="E194" s="9" t="str">
        <f>IF(AND(C194=""),"",IF(AND($Y$188=""),"",ROUND(C194*Master!H$5%,0)))</f>
        <v/>
      </c>
      <c r="F194" s="9" t="str">
        <f>IF(AND(C194=""),"",SUM(C194:E194))</f>
        <v/>
      </c>
      <c r="G194" s="9" t="str">
        <f>IF(C194="","",IF(AND($Y$188=""),"",G193))</f>
        <v/>
      </c>
      <c r="H194" s="9" t="str">
        <f>IF(AND(G194=""),"",IF(AND($Y$188=""),"",ROUND(G194*Master!C$4%,0)))</f>
        <v/>
      </c>
      <c r="I194" s="9" t="str">
        <f>IF(AND(G194=""),"",IF(AND($Y$188=""),"",ROUND(G194*Master!H$4%,0)))</f>
        <v/>
      </c>
      <c r="J194" s="9" t="str">
        <f t="shared" si="272"/>
        <v/>
      </c>
      <c r="K194" s="9" t="str">
        <f t="shared" si="273"/>
        <v/>
      </c>
      <c r="L194" s="9" t="str">
        <f t="shared" si="274"/>
        <v/>
      </c>
      <c r="M194" s="9" t="str">
        <f t="shared" si="275"/>
        <v/>
      </c>
      <c r="N194" s="9" t="str">
        <f t="shared" si="276"/>
        <v/>
      </c>
      <c r="O194" s="9" t="str">
        <f t="shared" ref="O194" si="277">IF(AND(C194=""),"",N194-P194)</f>
        <v/>
      </c>
      <c r="P194" s="9" t="str">
        <f t="shared" ref="P194:P195" si="278">IF(AND($Y$188=""),"",IF(AND(N194=""),"",ROUND(N194*AA$186%,0)))</f>
        <v/>
      </c>
      <c r="Q194" s="9" t="str">
        <f>IF(AND($Y$188=""),"",IF(AND(C194=""),"",IF(AND(O194=""),"",SUM(O194,P194))))</f>
        <v/>
      </c>
      <c r="R194" s="9" t="str">
        <f t="shared" ref="R194:R195" si="279">IF(AND(N194=""),"",IF(AND(Q194=""),"",N194-Q194))</f>
        <v/>
      </c>
      <c r="S194" s="20"/>
    </row>
    <row r="195" spans="1:25" ht="21" customHeight="1">
      <c r="A195" s="8">
        <v>3</v>
      </c>
      <c r="B195" s="23"/>
      <c r="C195" s="9" t="str">
        <f>IF(AND($Y$188=""),"",C194)</f>
        <v/>
      </c>
      <c r="D195" s="9" t="str">
        <f>IF(AND(C195=""),"",IF(AND($Y$188=""),"",ROUND(C195*Master!C$5%,0)))</f>
        <v/>
      </c>
      <c r="E195" s="9" t="str">
        <f>IF(AND(C195=""),"",IF(AND($Y$188=""),"",ROUND(C195*Master!H$5%,0)))</f>
        <v/>
      </c>
      <c r="F195" s="9" t="str">
        <f t="shared" ref="F195" si="280">IF(AND(C195=""),"",SUM(C195:E195))</f>
        <v/>
      </c>
      <c r="G195" s="9" t="str">
        <f t="shared" ref="G195:G196" si="281">IF(C195="","",IF(AND($Y$188=""),"",G194))</f>
        <v/>
      </c>
      <c r="H195" s="9" t="str">
        <f>IF(AND(G195=""),"",IF(AND($Y$188=""),"",ROUND(G195*Master!C$4%,0)))</f>
        <v/>
      </c>
      <c r="I195" s="9" t="str">
        <f>IF(AND(G195=""),"",IF(AND($Y$188=""),"",ROUND(G195*Master!H$4%,0)))</f>
        <v/>
      </c>
      <c r="J195" s="9" t="str">
        <f>IF(AND(C195=""),"",SUM(G195:I195))</f>
        <v/>
      </c>
      <c r="K195" s="9" t="str">
        <f t="shared" si="273"/>
        <v/>
      </c>
      <c r="L195" s="9" t="str">
        <f t="shared" si="274"/>
        <v/>
      </c>
      <c r="M195" s="9" t="str">
        <f>IF(AND(E195=""),"",IF(AND(I195=""),"",E195-I195))</f>
        <v/>
      </c>
      <c r="N195" s="9" t="str">
        <f>IF(AND(F195=""),"",IF(AND(J195=""),"",F195-J195))</f>
        <v/>
      </c>
      <c r="O195" s="9">
        <v>0</v>
      </c>
      <c r="P195" s="9" t="str">
        <f t="shared" si="278"/>
        <v/>
      </c>
      <c r="Q195" s="9" t="str">
        <f>IF(AND($Y$188=""),"",IF(AND(C195=""),"",IF(AND(O195=""),"",SUM(O195,P195))))</f>
        <v/>
      </c>
      <c r="R195" s="9" t="str">
        <f t="shared" si="279"/>
        <v/>
      </c>
      <c r="S195" s="20"/>
    </row>
    <row r="196" spans="1:25" ht="21" customHeight="1">
      <c r="A196" s="8">
        <v>4</v>
      </c>
      <c r="B196" s="23"/>
      <c r="C196" s="9" t="str">
        <f>IF(AND($Y$188=""),"",C195)</f>
        <v/>
      </c>
      <c r="D196" s="9" t="str">
        <f>IF(AND(C196=""),"",IF(AND($Y$188=""),"",ROUND(C196*Master!C$5%,0)))</f>
        <v/>
      </c>
      <c r="E196" s="9" t="str">
        <f>IF(AND(C196=""),"",IF(AND($Y$188=""),"",ROUND(C196*Master!H$5%,0)))</f>
        <v/>
      </c>
      <c r="F196" s="9" t="str">
        <f t="shared" ref="F196" si="282">IF(AND(C196=""),"",SUM(C196:E196))</f>
        <v/>
      </c>
      <c r="G196" s="9" t="str">
        <f t="shared" si="281"/>
        <v/>
      </c>
      <c r="H196" s="9" t="str">
        <f>IF(AND(G196=""),"",IF(AND($Y$188=""),"",ROUND(G196*Master!C$4%,0)))</f>
        <v/>
      </c>
      <c r="I196" s="9" t="str">
        <f>IF(AND(G196=""),"",IF(AND($Y$188=""),"",ROUND(G196*Master!H$4%,0)))</f>
        <v/>
      </c>
      <c r="J196" s="9" t="str">
        <f>IF(AND(C196=""),"",SUM(G196:I196))</f>
        <v/>
      </c>
      <c r="K196" s="9" t="str">
        <f t="shared" ref="K196" si="283">IF(AND(C196=""),"",IF(AND(G196=""),"",C196-G196))</f>
        <v/>
      </c>
      <c r="L196" s="9" t="str">
        <f t="shared" ref="L196" si="284">IF(AND(D196=""),"",IF(AND(H196=""),"",D196-H196))</f>
        <v/>
      </c>
      <c r="M196" s="9" t="str">
        <f>IF(AND(E196=""),"",IF(AND(I196=""),"",E196-I196))</f>
        <v/>
      </c>
      <c r="N196" s="9" t="str">
        <f>IF(AND(F196=""),"",IF(AND(J196=""),"",F196-J196))</f>
        <v/>
      </c>
      <c r="O196" s="9">
        <v>0</v>
      </c>
      <c r="P196" s="9" t="str">
        <f t="shared" ref="P196" si="285">IF(AND($Y$188=""),"",IF(AND(N196=""),"",ROUND(N196*AA$186%,0)))</f>
        <v/>
      </c>
      <c r="Q196" s="9" t="str">
        <f>IF(AND($Y$188=""),"",IF(AND(C196=""),"",IF(AND(O196=""),"",SUM(O196,P196))))</f>
        <v/>
      </c>
      <c r="R196" s="9" t="str">
        <f t="shared" ref="R196" si="286">IF(AND(N196=""),"",IF(AND(Q196=""),"",N196-Q196))</f>
        <v/>
      </c>
      <c r="S196" s="20"/>
    </row>
    <row r="197" spans="1:25" ht="23.25" customHeight="1">
      <c r="A197" s="153" t="s">
        <v>9</v>
      </c>
      <c r="B197" s="154"/>
      <c r="C197" s="63" t="str">
        <f>IF(AND($Y$188=""),"",SUM(C193:C196))</f>
        <v/>
      </c>
      <c r="D197" s="63" t="str">
        <f t="shared" ref="D197:R197" si="287">IF(AND($Y$188=""),"",SUM(D193:D196))</f>
        <v/>
      </c>
      <c r="E197" s="63" t="str">
        <f t="shared" si="287"/>
        <v/>
      </c>
      <c r="F197" s="63" t="str">
        <f t="shared" si="287"/>
        <v/>
      </c>
      <c r="G197" s="63" t="str">
        <f t="shared" si="287"/>
        <v/>
      </c>
      <c r="H197" s="63" t="str">
        <f t="shared" si="287"/>
        <v/>
      </c>
      <c r="I197" s="63" t="str">
        <f t="shared" si="287"/>
        <v/>
      </c>
      <c r="J197" s="63" t="str">
        <f t="shared" si="287"/>
        <v/>
      </c>
      <c r="K197" s="63" t="str">
        <f t="shared" si="287"/>
        <v/>
      </c>
      <c r="L197" s="63" t="str">
        <f t="shared" si="287"/>
        <v/>
      </c>
      <c r="M197" s="63" t="str">
        <f t="shared" si="287"/>
        <v/>
      </c>
      <c r="N197" s="63" t="str">
        <f t="shared" si="287"/>
        <v/>
      </c>
      <c r="O197" s="63" t="str">
        <f t="shared" si="287"/>
        <v/>
      </c>
      <c r="P197" s="63" t="str">
        <f t="shared" si="287"/>
        <v/>
      </c>
      <c r="Q197" s="63" t="str">
        <f t="shared" si="287"/>
        <v/>
      </c>
      <c r="R197" s="63" t="str">
        <f t="shared" si="287"/>
        <v/>
      </c>
      <c r="S197" s="49"/>
    </row>
    <row r="198" spans="1:25" ht="10.5" customHeight="1">
      <c r="A198" s="73"/>
      <c r="B198" s="73"/>
      <c r="C198" s="74"/>
      <c r="D198" s="74"/>
      <c r="E198" s="74"/>
      <c r="F198" s="74"/>
      <c r="G198" s="74"/>
      <c r="H198" s="74"/>
      <c r="I198" s="74"/>
      <c r="J198" s="74"/>
      <c r="K198" s="74"/>
      <c r="L198" s="74"/>
      <c r="M198" s="74"/>
      <c r="N198" s="74"/>
      <c r="O198" s="74"/>
      <c r="P198" s="74"/>
      <c r="Q198" s="74"/>
      <c r="R198" s="74"/>
      <c r="S198" s="75"/>
    </row>
    <row r="199" spans="1:25" ht="23.25" customHeight="1">
      <c r="E199" s="133" t="s">
        <v>10</v>
      </c>
      <c r="F199" s="133"/>
      <c r="G199" s="133"/>
      <c r="H199" s="133"/>
      <c r="I199" s="133"/>
      <c r="J199" s="132" t="str">
        <f>IF(ISNA(VLOOKUP($Y$201,Master!A$8:N$127,2,FALSE)),"",VLOOKUP($Y$201,Master!A$8:AH$127,2,FALSE))</f>
        <v/>
      </c>
      <c r="K199" s="132"/>
      <c r="L199" s="132"/>
      <c r="M199" s="132"/>
      <c r="N199" s="132"/>
      <c r="O199" s="60" t="s">
        <v>31</v>
      </c>
      <c r="P199" s="132" t="str">
        <f>IF(ISNA(VLOOKUP($Y$201,Master!A$8:N$127,3,FALSE)),"",VLOOKUP($Y$201,Master!A$8:AH$127,3,FALSE))</f>
        <v/>
      </c>
      <c r="Q199" s="132"/>
      <c r="R199" s="132"/>
      <c r="S199" s="132"/>
    </row>
    <row r="200" spans="1:25" ht="9" customHeight="1">
      <c r="E200" s="19"/>
      <c r="F200" s="52"/>
      <c r="G200" s="22"/>
      <c r="H200" s="22"/>
      <c r="I200" s="22"/>
      <c r="J200" s="5"/>
      <c r="K200" s="5"/>
      <c r="L200" s="5"/>
      <c r="M200" s="5"/>
      <c r="N200" s="5"/>
      <c r="O200" s="6"/>
      <c r="P200" s="6"/>
    </row>
    <row r="201" spans="1:25" ht="21" customHeight="1">
      <c r="A201" s="8">
        <v>1</v>
      </c>
      <c r="B201" s="23" t="str">
        <f>IFERROR(IF(ISNA(VLOOKUP(Y201,Master!A$8:N$127,8,FALSE)),"",VLOOKUP($Y201,Master!A$8:AH$127,8,FALSE)),"")</f>
        <v/>
      </c>
      <c r="C201" s="9" t="str">
        <f>IFERROR(IF(ISNA(VLOOKUP($Y$201,Master!A$8:N$127,5,FALSE)),"",VLOOKUP($Y$201,Master!A$8:AH$127,5,FALSE)),"")</f>
        <v/>
      </c>
      <c r="D201" s="9" t="str">
        <f>IF(AND(C201=""),"",IF(AND($Y$201=""),"",ROUND(C201*Master!C$5%,0)))</f>
        <v/>
      </c>
      <c r="E201" s="9" t="str">
        <f>IF(AND(C201=""),"",IF(AND($Y$201=""),"",ROUND(C201*Master!H$5%,0)))</f>
        <v/>
      </c>
      <c r="F201" s="9" t="str">
        <f t="shared" ref="F201:F203" si="288">IF(AND(C201=""),"",SUM(C201:E201))</f>
        <v/>
      </c>
      <c r="G201" s="9" t="str">
        <f>IFERROR(IF(ISNA(VLOOKUP($Y$201,Master!A$8:N$127,5,FALSE)),"",VLOOKUP($Y$201,Master!A$8:AH$127,5,FALSE)),"")</f>
        <v/>
      </c>
      <c r="H201" s="9" t="str">
        <f>IF(AND(G201=""),"",IF(AND($Y$201=""),"",ROUND(G201*Master!C$4%,0)))</f>
        <v/>
      </c>
      <c r="I201" s="9" t="str">
        <f>IF(AND(G201=""),"",IF(AND($Y$201=""),"",ROUND(G201*Master!H$4%,0)))</f>
        <v/>
      </c>
      <c r="J201" s="9" t="str">
        <f t="shared" ref="J201:J203" si="289">IF(AND(C201=""),"",SUM(G201:I201))</f>
        <v/>
      </c>
      <c r="K201" s="9" t="str">
        <f t="shared" ref="K201" si="290">IF(AND(C201=""),"",IF(AND(G201=""),"",C201-G201))</f>
        <v/>
      </c>
      <c r="L201" s="9" t="str">
        <f>IF(AND(D201=""),"",IF(AND(H201=""),"",D201-H201))</f>
        <v/>
      </c>
      <c r="M201" s="9" t="str">
        <f t="shared" ref="M201:M203" si="291">IF(AND(E201=""),"",IF(AND(I201=""),"",E201-I201))</f>
        <v/>
      </c>
      <c r="N201" s="9" t="str">
        <f t="shared" ref="N201:N203" si="292">IF(AND(F201=""),"",IF(AND(J201=""),"",F201-J201))</f>
        <v/>
      </c>
      <c r="O201" s="9" t="str">
        <f>IF(AND(C201=""),"",N201-P201)</f>
        <v/>
      </c>
      <c r="P201" s="9" t="str">
        <f>IF(AND($Y$201=""),"",IF(AND(N201=""),"",ROUND(N201*$X$202%,0)))</f>
        <v/>
      </c>
      <c r="Q201" s="9" t="str">
        <f>IF(AND($Y$201=""),"",IF(AND(C201=""),"",IF(AND(O201=""),"",SUM(O201,P201))))</f>
        <v/>
      </c>
      <c r="R201" s="9" t="str">
        <f>IF(AND(N201=""),"",IF(AND(Q201=""),"",N201-Q201))</f>
        <v/>
      </c>
      <c r="S201" s="20"/>
      <c r="X201" s="61" t="s">
        <v>49</v>
      </c>
      <c r="Y201" s="64" t="str">
        <f>IF(AND(Master!B24="",Master!E24=""),"",17)</f>
        <v/>
      </c>
    </row>
    <row r="202" spans="1:25" ht="21" customHeight="1">
      <c r="A202" s="8">
        <v>2</v>
      </c>
      <c r="B202" s="23" t="str">
        <f>IFERROR(DATE(YEAR(B201),MONTH(B201)+1,DAY(B201)),"")</f>
        <v/>
      </c>
      <c r="C202" s="9" t="str">
        <f>IF(AND($Y$201=""),"",C201)</f>
        <v/>
      </c>
      <c r="D202" s="9" t="str">
        <f>IF(AND(C202=""),"",IF(AND($Y$201=""),"",ROUND(C202*Master!C$5%,0)))</f>
        <v/>
      </c>
      <c r="E202" s="9" t="str">
        <f>IF(AND(C202=""),"",IF(AND($Y$201=""),"",ROUND(C202*Master!H$5%,0)))</f>
        <v/>
      </c>
      <c r="F202" s="9" t="str">
        <f t="shared" si="288"/>
        <v/>
      </c>
      <c r="G202" s="9" t="str">
        <f>IF(C202="","",IF(AND($Y$201=""),"",G201))</f>
        <v/>
      </c>
      <c r="H202" s="9" t="str">
        <f>IF(AND(G202=""),"",IF(AND($Y$201=""),"",ROUND(G202*Master!C$4%,0)))</f>
        <v/>
      </c>
      <c r="I202" s="9" t="str">
        <f>IF(AND(G202=""),"",IF(AND($Y$201=""),"",ROUND(G202*Master!H$4%,0)))</f>
        <v/>
      </c>
      <c r="J202" s="9" t="str">
        <f t="shared" si="289"/>
        <v/>
      </c>
      <c r="K202" s="9" t="str">
        <f>IF(AND(C202=""),"",IF(AND(G202=""),"",C202-G202))</f>
        <v/>
      </c>
      <c r="L202" s="9" t="str">
        <f t="shared" ref="L202:L203" si="293">IF(AND(D202=""),"",IF(AND(H202=""),"",D202-H202))</f>
        <v/>
      </c>
      <c r="M202" s="9" t="str">
        <f t="shared" si="291"/>
        <v/>
      </c>
      <c r="N202" s="9" t="str">
        <f t="shared" si="292"/>
        <v/>
      </c>
      <c r="O202" s="9" t="str">
        <f t="shared" ref="O202" si="294">IF(AND(C202=""),"",N202-P202)</f>
        <v/>
      </c>
      <c r="P202" s="9" t="str">
        <f t="shared" ref="P202:P203" si="295">IF(AND($Y$201=""),"",IF(AND(N202=""),"",ROUND(N202*$X$202%,0)))</f>
        <v/>
      </c>
      <c r="Q202" s="9" t="str">
        <f>IF(AND($Y$201=""),"",IF(AND(C202=""),"",IF(AND(O202=""),"",SUM(O202,P202))))</f>
        <v/>
      </c>
      <c r="R202" s="9" t="str">
        <f t="shared" ref="R202:R203" si="296">IF(AND(N202=""),"",IF(AND(Q202=""),"",N202-Q202))</f>
        <v/>
      </c>
      <c r="S202" s="20"/>
      <c r="X202" s="4" t="str">
        <f>IF(ISNA(VLOOKUP($Y$201,Master!A$8:N$127,7,FALSE)),"",VLOOKUP($Y$201,Master!A$8:AH$127,7,FALSE))</f>
        <v/>
      </c>
    </row>
    <row r="203" spans="1:25" ht="21" customHeight="1">
      <c r="A203" s="8">
        <v>3</v>
      </c>
      <c r="B203" s="23" t="str">
        <f>IFERROR(DATE(YEAR(B202),MONTH(B202)+1,DAY(B202)),"")</f>
        <v/>
      </c>
      <c r="C203" s="9"/>
      <c r="D203" s="9" t="str">
        <f>IF(AND(C203=""),"",IF(AND($Y$201=""),"",ROUND(C203*Master!C$5%,0)))</f>
        <v/>
      </c>
      <c r="E203" s="9" t="str">
        <f>IF(AND(C203=""),"",IF(AND($Y$201=""),"",ROUND(C203*Master!H$5%,0)))</f>
        <v/>
      </c>
      <c r="F203" s="9" t="str">
        <f t="shared" si="288"/>
        <v/>
      </c>
      <c r="G203" s="9" t="str">
        <f t="shared" ref="G203:G204" si="297">IF(C203="","",IF(AND($Y$201=""),"",G202))</f>
        <v/>
      </c>
      <c r="H203" s="9" t="str">
        <f>IF(AND(G203=""),"",IF(AND($Y$201=""),"",ROUND(G203*Master!C$4%,0)))</f>
        <v/>
      </c>
      <c r="I203" s="9" t="str">
        <f>IF(AND(G203=""),"",IF(AND($Y$201=""),"",ROUND(G203*Master!H$4%,0)))</f>
        <v/>
      </c>
      <c r="J203" s="9" t="str">
        <f t="shared" si="289"/>
        <v/>
      </c>
      <c r="K203" s="9" t="str">
        <f t="shared" ref="K203" si="298">IF(AND(C203=""),"",IF(AND(G203=""),"",C203-G203))</f>
        <v/>
      </c>
      <c r="L203" s="9" t="str">
        <f t="shared" si="293"/>
        <v/>
      </c>
      <c r="M203" s="9" t="str">
        <f t="shared" si="291"/>
        <v/>
      </c>
      <c r="N203" s="9" t="str">
        <f t="shared" si="292"/>
        <v/>
      </c>
      <c r="O203" s="9">
        <v>0</v>
      </c>
      <c r="P203" s="9" t="str">
        <f t="shared" si="295"/>
        <v/>
      </c>
      <c r="Q203" s="9" t="str">
        <f>IF(AND($Y$201=""),"",IF(AND(C203=""),"",IF(AND(O203=""),"",SUM(O203,P203))))</f>
        <v/>
      </c>
      <c r="R203" s="9" t="str">
        <f t="shared" si="296"/>
        <v/>
      </c>
      <c r="S203" s="20"/>
    </row>
    <row r="204" spans="1:25" ht="21" customHeight="1">
      <c r="A204" s="8">
        <v>4</v>
      </c>
      <c r="B204" s="23" t="str">
        <f>IFERROR(DATE(YEAR(B203),MONTH(B203)+1,DAY(B203)),"")</f>
        <v/>
      </c>
      <c r="C204" s="9"/>
      <c r="D204" s="9" t="str">
        <f>IF(AND(C204=""),"",IF(AND($Y$201=""),"",ROUND(C204*Master!C$5%,0)))</f>
        <v/>
      </c>
      <c r="E204" s="9" t="str">
        <f>IF(AND(C204=""),"",IF(AND($Y$201=""),"",ROUND(C204*Master!H$5%,0)))</f>
        <v/>
      </c>
      <c r="F204" s="9" t="str">
        <f t="shared" ref="F204" si="299">IF(AND(C204=""),"",SUM(C204:E204))</f>
        <v/>
      </c>
      <c r="G204" s="9" t="str">
        <f t="shared" si="297"/>
        <v/>
      </c>
      <c r="H204" s="9" t="str">
        <f>IF(AND(G204=""),"",IF(AND($Y$201=""),"",ROUND(G204*Master!C$4%,0)))</f>
        <v/>
      </c>
      <c r="I204" s="9" t="str">
        <f>IF(AND(G204=""),"",IF(AND($Y$201=""),"",ROUND(G204*Master!H$4%,0)))</f>
        <v/>
      </c>
      <c r="J204" s="9" t="str">
        <f t="shared" ref="J204" si="300">IF(AND(C204=""),"",SUM(G204:I204))</f>
        <v/>
      </c>
      <c r="K204" s="9" t="str">
        <f t="shared" ref="K204" si="301">IF(AND(C204=""),"",IF(AND(G204=""),"",C204-G204))</f>
        <v/>
      </c>
      <c r="L204" s="9" t="str">
        <f t="shared" ref="L204" si="302">IF(AND(D204=""),"",IF(AND(H204=""),"",D204-H204))</f>
        <v/>
      </c>
      <c r="M204" s="9" t="str">
        <f t="shared" ref="M204" si="303">IF(AND(E204=""),"",IF(AND(I204=""),"",E204-I204))</f>
        <v/>
      </c>
      <c r="N204" s="9" t="str">
        <f t="shared" ref="N204" si="304">IF(AND(F204=""),"",IF(AND(J204=""),"",F204-J204))</f>
        <v/>
      </c>
      <c r="O204" s="9">
        <v>0</v>
      </c>
      <c r="P204" s="9" t="str">
        <f t="shared" ref="P204" si="305">IF(AND($Y$201=""),"",IF(AND(N204=""),"",ROUND(N204*$X$202%,0)))</f>
        <v/>
      </c>
      <c r="Q204" s="9" t="str">
        <f>IF(AND($Y$201=""),"",IF(AND(C204=""),"",IF(AND(O204=""),"",SUM(O204,P204))))</f>
        <v/>
      </c>
      <c r="R204" s="9" t="str">
        <f t="shared" ref="R204" si="306">IF(AND(N204=""),"",IF(AND(Q204=""),"",N204-Q204))</f>
        <v/>
      </c>
      <c r="S204" s="20"/>
    </row>
    <row r="205" spans="1:25" ht="30.75" customHeight="1">
      <c r="A205" s="153" t="s">
        <v>9</v>
      </c>
      <c r="B205" s="154"/>
      <c r="C205" s="63" t="str">
        <f>IF(AND($Y$201=""),"",SUM(C201:C204))</f>
        <v/>
      </c>
      <c r="D205" s="63" t="str">
        <f t="shared" ref="D205:R205" si="307">IF(AND($Y$201=""),"",SUM(D201:D204))</f>
        <v/>
      </c>
      <c r="E205" s="63" t="str">
        <f t="shared" si="307"/>
        <v/>
      </c>
      <c r="F205" s="63" t="str">
        <f t="shared" si="307"/>
        <v/>
      </c>
      <c r="G205" s="63" t="str">
        <f t="shared" si="307"/>
        <v/>
      </c>
      <c r="H205" s="63" t="str">
        <f t="shared" si="307"/>
        <v/>
      </c>
      <c r="I205" s="63" t="str">
        <f t="shared" si="307"/>
        <v/>
      </c>
      <c r="J205" s="63" t="str">
        <f t="shared" si="307"/>
        <v/>
      </c>
      <c r="K205" s="63" t="str">
        <f t="shared" si="307"/>
        <v/>
      </c>
      <c r="L205" s="63" t="str">
        <f t="shared" si="307"/>
        <v/>
      </c>
      <c r="M205" s="63" t="str">
        <f t="shared" si="307"/>
        <v/>
      </c>
      <c r="N205" s="63" t="str">
        <f t="shared" si="307"/>
        <v/>
      </c>
      <c r="O205" s="63" t="str">
        <f t="shared" si="307"/>
        <v/>
      </c>
      <c r="P205" s="63" t="str">
        <f t="shared" si="307"/>
        <v/>
      </c>
      <c r="Q205" s="63" t="str">
        <f t="shared" si="307"/>
        <v/>
      </c>
      <c r="R205" s="63" t="str">
        <f t="shared" si="307"/>
        <v/>
      </c>
      <c r="S205" s="49"/>
    </row>
    <row r="206" spans="1:25" ht="11.25" customHeight="1">
      <c r="A206" s="73"/>
      <c r="B206" s="73"/>
      <c r="C206" s="74"/>
      <c r="D206" s="74"/>
      <c r="E206" s="74"/>
      <c r="F206" s="74"/>
      <c r="G206" s="74"/>
      <c r="H206" s="74"/>
      <c r="I206" s="74"/>
      <c r="J206" s="74"/>
      <c r="K206" s="74"/>
      <c r="L206" s="74"/>
      <c r="M206" s="74"/>
      <c r="N206" s="74"/>
      <c r="O206" s="74"/>
      <c r="P206" s="74"/>
      <c r="Q206" s="74"/>
      <c r="R206" s="74"/>
      <c r="S206" s="75"/>
    </row>
    <row r="207" spans="1:25" ht="23.25" customHeight="1">
      <c r="E207" s="133" t="s">
        <v>10</v>
      </c>
      <c r="F207" s="133"/>
      <c r="G207" s="133"/>
      <c r="H207" s="133"/>
      <c r="I207" s="133"/>
      <c r="J207" s="132" t="str">
        <f>IF(ISNA(VLOOKUP($Y$209,Master!A$8:N$127,2,FALSE)),"",VLOOKUP($Y$209,Master!A$8:AH$127,2,FALSE))</f>
        <v/>
      </c>
      <c r="K207" s="132"/>
      <c r="L207" s="132"/>
      <c r="M207" s="132"/>
      <c r="N207" s="132"/>
      <c r="O207" s="60" t="s">
        <v>31</v>
      </c>
      <c r="P207" s="132" t="str">
        <f>IF(ISNA(VLOOKUP($Y$209,Master!A$8:N$127,3,FALSE)),"",VLOOKUP($Y$209,Master!A$8:AH$127,3,FALSE))</f>
        <v/>
      </c>
      <c r="Q207" s="132"/>
      <c r="R207" s="132"/>
      <c r="S207" s="132"/>
    </row>
    <row r="208" spans="1:25" ht="9" customHeight="1">
      <c r="E208" s="19"/>
      <c r="F208" s="52"/>
      <c r="G208" s="22"/>
      <c r="H208" s="22"/>
      <c r="I208" s="22"/>
      <c r="J208" s="5"/>
      <c r="K208" s="5"/>
      <c r="L208" s="5"/>
      <c r="M208" s="5"/>
      <c r="N208" s="5"/>
      <c r="O208" s="6"/>
      <c r="P208" s="6"/>
    </row>
    <row r="209" spans="1:27" ht="21" customHeight="1">
      <c r="A209" s="8">
        <v>1</v>
      </c>
      <c r="B209" s="23" t="str">
        <f>IFERROR(IF(ISNA(VLOOKUP(Y209,Master!A$8:N$127,8,FALSE)),"",VLOOKUP($Y209,Master!A$8:AH$127,8,FALSE)),"")</f>
        <v/>
      </c>
      <c r="C209" s="9" t="str">
        <f>IFERROR(IF(ISNA(VLOOKUP($Y$209,Master!A$8:N$127,5,FALSE)),"",VLOOKUP($Y$209,Master!A$8:AH$127,5,FALSE)),"")</f>
        <v/>
      </c>
      <c r="D209" s="9" t="str">
        <f>IF(AND(C209=""),"",IF(AND($Y$209=""),"",ROUND(C209*Master!C$5%,0)))</f>
        <v/>
      </c>
      <c r="E209" s="9" t="str">
        <f>IF(AND(C209=""),"",IF(AND($Y$209=""),"",ROUND(C209*Master!H$5%,0)))</f>
        <v/>
      </c>
      <c r="F209" s="9" t="str">
        <f t="shared" ref="F209:F211" si="308">IF(AND(C209=""),"",SUM(C209:E209))</f>
        <v/>
      </c>
      <c r="G209" s="9" t="str">
        <f>IFERROR(IF(ISNA(VLOOKUP($Y$209,Master!A$8:N$127,5,FALSE)),"",VLOOKUP($Y$209,Master!A$8:AH$127,5,FALSE)),"")</f>
        <v/>
      </c>
      <c r="H209" s="9" t="str">
        <f>IF(AND(G209=""),"",IF(AND($Y$209=""),"",ROUND(G209*Master!C$4%,0)))</f>
        <v/>
      </c>
      <c r="I209" s="9" t="str">
        <f>IF(AND(G209=""),"",IF(AND($Y$209=""),"",ROUND(G209*Master!H$4%,0)))</f>
        <v/>
      </c>
      <c r="J209" s="9" t="str">
        <f t="shared" ref="J209:J211" si="309">IF(AND(C209=""),"",SUM(G209:I209))</f>
        <v/>
      </c>
      <c r="K209" s="9" t="str">
        <f t="shared" ref="K209:K211" si="310">IF(AND(C209=""),"",IF(AND(G209=""),"",C209-G209))</f>
        <v/>
      </c>
      <c r="L209" s="9" t="str">
        <f t="shared" ref="L209:L211" si="311">IF(AND(D209=""),"",IF(AND(H209=""),"",D209-H209))</f>
        <v/>
      </c>
      <c r="M209" s="9" t="str">
        <f t="shared" ref="M209:M211" si="312">IF(AND(E209=""),"",IF(AND(I209=""),"",E209-I209))</f>
        <v/>
      </c>
      <c r="N209" s="9" t="str">
        <f t="shared" ref="N209:N211" si="313">IF(AND(F209=""),"",IF(AND(J209=""),"",F209-J209))</f>
        <v/>
      </c>
      <c r="O209" s="9" t="str">
        <f>IF(AND(C209=""),"",N209-P209)</f>
        <v/>
      </c>
      <c r="P209" s="9" t="str">
        <f>IF(AND($Y$209=""),"",IF(AND(N209=""),"",ROUND(N209*$X$210%,0)))</f>
        <v/>
      </c>
      <c r="Q209" s="9" t="str">
        <f>IF(AND($Y$209=""),"",IF(AND(C209=""),"",IF(AND(O209=""),"",SUM(O209,P209))))</f>
        <v/>
      </c>
      <c r="R209" s="9" t="str">
        <f>IF(AND(N209=""),"",IF(AND(Q209=""),"",N209-Q209))</f>
        <v/>
      </c>
      <c r="S209" s="20"/>
      <c r="X209" s="61" t="s">
        <v>49</v>
      </c>
      <c r="Y209" s="64" t="str">
        <f>IF(AND(Master!B25="",Master!E25=""),"",18)</f>
        <v/>
      </c>
    </row>
    <row r="210" spans="1:27" ht="21" customHeight="1">
      <c r="A210" s="8">
        <v>2</v>
      </c>
      <c r="B210" s="23" t="str">
        <f>IFERROR(DATE(YEAR(B209),MONTH(B209)+1,DAY(B209)),"")</f>
        <v/>
      </c>
      <c r="C210" s="9" t="str">
        <f>IF(AND($Y$209=""),"",C209)</f>
        <v/>
      </c>
      <c r="D210" s="9" t="str">
        <f>IF(AND(C210=""),"",IF(AND($Y$209=""),"",ROUND(C210*Master!C$5%,0)))</f>
        <v/>
      </c>
      <c r="E210" s="9" t="str">
        <f>IF(AND(C210=""),"",IF(AND($Y$209=""),"",ROUND(C210*Master!H$5%,0)))</f>
        <v/>
      </c>
      <c r="F210" s="9" t="str">
        <f t="shared" si="308"/>
        <v/>
      </c>
      <c r="G210" s="9" t="str">
        <f>IF(C210="","",IF(AND($Y$209=""),"",G209))</f>
        <v/>
      </c>
      <c r="H210" s="9" t="str">
        <f>IF(AND(G210=""),"",IF(AND($Y$209=""),"",ROUND(G210*Master!C$4%,0)))</f>
        <v/>
      </c>
      <c r="I210" s="9" t="str">
        <f>IF(AND(G210=""),"",IF(AND($Y$209=""),"",ROUND(G210*Master!H$4%,0)))</f>
        <v/>
      </c>
      <c r="J210" s="9" t="str">
        <f t="shared" si="309"/>
        <v/>
      </c>
      <c r="K210" s="9" t="str">
        <f t="shared" si="310"/>
        <v/>
      </c>
      <c r="L210" s="9" t="str">
        <f t="shared" si="311"/>
        <v/>
      </c>
      <c r="M210" s="9" t="str">
        <f t="shared" si="312"/>
        <v/>
      </c>
      <c r="N210" s="9" t="str">
        <f t="shared" si="313"/>
        <v/>
      </c>
      <c r="O210" s="9" t="str">
        <f t="shared" ref="O210" si="314">IF(AND(C210=""),"",N210-P210)</f>
        <v/>
      </c>
      <c r="P210" s="9" t="str">
        <f t="shared" ref="P210:P211" si="315">IF(AND($Y$209=""),"",IF(AND(N210=""),"",ROUND(N210*$X$210%,0)))</f>
        <v/>
      </c>
      <c r="Q210" s="9" t="str">
        <f>IF(AND($Y$209=""),"",IF(AND(C210=""),"",IF(AND(O210=""),"",SUM(O210,P210))))</f>
        <v/>
      </c>
      <c r="R210" s="9" t="str">
        <f t="shared" ref="R210:R211" si="316">IF(AND(N210=""),"",IF(AND(Q210=""),"",N210-Q210))</f>
        <v/>
      </c>
      <c r="S210" s="20"/>
      <c r="X210" s="4" t="str">
        <f>IF(ISNA(VLOOKUP($Y$209,Master!A$8:N$127,7,FALSE)),"",VLOOKUP($Y$209,Master!A$8:AH$127,7,FALSE))</f>
        <v/>
      </c>
    </row>
    <row r="211" spans="1:27" ht="21" customHeight="1">
      <c r="A211" s="8">
        <v>3</v>
      </c>
      <c r="B211" s="23" t="str">
        <f>IFERROR(DATE(YEAR(B210),MONTH(B210)+1,DAY(B210)),"")</f>
        <v/>
      </c>
      <c r="C211" s="9"/>
      <c r="D211" s="9" t="str">
        <f>IF(AND(C211=""),"",IF(AND($Y$209=""),"",ROUND(C211*Master!C$5%,0)))</f>
        <v/>
      </c>
      <c r="E211" s="9" t="str">
        <f>IF(AND(C211=""),"",IF(AND($Y$209=""),"",ROUND(C211*Master!H$5%,0)))</f>
        <v/>
      </c>
      <c r="F211" s="9" t="str">
        <f t="shared" si="308"/>
        <v/>
      </c>
      <c r="G211" s="9" t="str">
        <f t="shared" ref="G211:G212" si="317">IF(C211="","",IF(AND($Y$209=""),"",G210))</f>
        <v/>
      </c>
      <c r="H211" s="9" t="str">
        <f>IF(AND(G211=""),"",IF(AND($Y$209=""),"",ROUND(G211*Master!C$4%,0)))</f>
        <v/>
      </c>
      <c r="I211" s="9" t="str">
        <f>IF(AND(G211=""),"",IF(AND($Y$209=""),"",ROUND(G211*Master!H$4%,0)))</f>
        <v/>
      </c>
      <c r="J211" s="9" t="str">
        <f t="shared" si="309"/>
        <v/>
      </c>
      <c r="K211" s="9" t="str">
        <f t="shared" si="310"/>
        <v/>
      </c>
      <c r="L211" s="9" t="str">
        <f t="shared" si="311"/>
        <v/>
      </c>
      <c r="M211" s="9" t="str">
        <f t="shared" si="312"/>
        <v/>
      </c>
      <c r="N211" s="9" t="str">
        <f t="shared" si="313"/>
        <v/>
      </c>
      <c r="O211" s="9">
        <v>0</v>
      </c>
      <c r="P211" s="9" t="str">
        <f t="shared" si="315"/>
        <v/>
      </c>
      <c r="Q211" s="9" t="str">
        <f>IF(AND($Y$209=""),"",IF(AND(C211=""),"",IF(AND(O211=""),"",SUM(O211,P211))))</f>
        <v/>
      </c>
      <c r="R211" s="9" t="str">
        <f t="shared" si="316"/>
        <v/>
      </c>
      <c r="S211" s="20"/>
    </row>
    <row r="212" spans="1:27" ht="21" customHeight="1">
      <c r="A212" s="8">
        <v>4</v>
      </c>
      <c r="B212" s="23" t="str">
        <f>IFERROR(DATE(YEAR(B211),MONTH(B211)+1,DAY(B211)),"")</f>
        <v/>
      </c>
      <c r="C212" s="9"/>
      <c r="D212" s="9" t="str">
        <f>IF(AND(C212=""),"",IF(AND($Y$209=""),"",ROUND(C212*Master!C$5%,0)))</f>
        <v/>
      </c>
      <c r="E212" s="9" t="str">
        <f>IF(AND(C212=""),"",IF(AND($Y$209=""),"",ROUND(C212*Master!H$5%,0)))</f>
        <v/>
      </c>
      <c r="F212" s="9" t="str">
        <f t="shared" ref="F212" si="318">IF(AND(C212=""),"",SUM(C212:E212))</f>
        <v/>
      </c>
      <c r="G212" s="9" t="str">
        <f t="shared" si="317"/>
        <v/>
      </c>
      <c r="H212" s="9" t="str">
        <f>IF(AND(G212=""),"",IF(AND($Y$209=""),"",ROUND(G212*Master!C$4%,0)))</f>
        <v/>
      </c>
      <c r="I212" s="9" t="str">
        <f>IF(AND(G212=""),"",IF(AND($Y$209=""),"",ROUND(G212*Master!H$4%,0)))</f>
        <v/>
      </c>
      <c r="J212" s="9" t="str">
        <f t="shared" ref="J212" si="319">IF(AND(C212=""),"",SUM(G212:I212))</f>
        <v/>
      </c>
      <c r="K212" s="9" t="str">
        <f t="shared" ref="K212" si="320">IF(AND(C212=""),"",IF(AND(G212=""),"",C212-G212))</f>
        <v/>
      </c>
      <c r="L212" s="9" t="str">
        <f t="shared" ref="L212" si="321">IF(AND(D212=""),"",IF(AND(H212=""),"",D212-H212))</f>
        <v/>
      </c>
      <c r="M212" s="9" t="str">
        <f t="shared" ref="M212" si="322">IF(AND(E212=""),"",IF(AND(I212=""),"",E212-I212))</f>
        <v/>
      </c>
      <c r="N212" s="9" t="str">
        <f t="shared" ref="N212" si="323">IF(AND(F212=""),"",IF(AND(J212=""),"",F212-J212))</f>
        <v/>
      </c>
      <c r="O212" s="9">
        <v>0</v>
      </c>
      <c r="P212" s="9" t="str">
        <f t="shared" ref="P212" si="324">IF(AND($Y$209=""),"",IF(AND(N212=""),"",ROUND(N212*$X$210%,0)))</f>
        <v/>
      </c>
      <c r="Q212" s="9" t="str">
        <f>IF(AND($Y$209=""),"",IF(AND(C212=""),"",IF(AND(O212=""),"",SUM(O212,P212))))</f>
        <v/>
      </c>
      <c r="R212" s="9" t="str">
        <f t="shared" ref="R212" si="325">IF(AND(N212=""),"",IF(AND(Q212=""),"",N212-Q212))</f>
        <v/>
      </c>
      <c r="S212" s="20"/>
    </row>
    <row r="213" spans="1:27" ht="30.75" customHeight="1">
      <c r="A213" s="153" t="s">
        <v>9</v>
      </c>
      <c r="B213" s="154"/>
      <c r="C213" s="63" t="str">
        <f>IF(AND($Y$209=""),"",SUM(C209:C212))</f>
        <v/>
      </c>
      <c r="D213" s="63" t="str">
        <f t="shared" ref="D213:Q213" si="326">IF(AND($Y$209=""),"",SUM(D209:D212))</f>
        <v/>
      </c>
      <c r="E213" s="63" t="str">
        <f t="shared" si="326"/>
        <v/>
      </c>
      <c r="F213" s="63" t="str">
        <f t="shared" si="326"/>
        <v/>
      </c>
      <c r="G213" s="63" t="str">
        <f t="shared" si="326"/>
        <v/>
      </c>
      <c r="H213" s="63" t="str">
        <f t="shared" si="326"/>
        <v/>
      </c>
      <c r="I213" s="63" t="str">
        <f t="shared" si="326"/>
        <v/>
      </c>
      <c r="J213" s="63" t="str">
        <f t="shared" si="326"/>
        <v/>
      </c>
      <c r="K213" s="63" t="str">
        <f t="shared" si="326"/>
        <v/>
      </c>
      <c r="L213" s="63" t="str">
        <f t="shared" si="326"/>
        <v/>
      </c>
      <c r="M213" s="63" t="str">
        <f t="shared" si="326"/>
        <v/>
      </c>
      <c r="N213" s="63" t="str">
        <f t="shared" si="326"/>
        <v/>
      </c>
      <c r="O213" s="63" t="str">
        <f t="shared" si="326"/>
        <v/>
      </c>
      <c r="P213" s="63" t="str">
        <f t="shared" si="326"/>
        <v/>
      </c>
      <c r="Q213" s="63" t="str">
        <f t="shared" si="326"/>
        <v/>
      </c>
      <c r="R213" s="63" t="str">
        <f>IF(AND($Y$209=""),"",SUM(R209:R212))</f>
        <v/>
      </c>
      <c r="S213" s="49"/>
    </row>
    <row r="214" spans="1:27" ht="30.75" customHeight="1">
      <c r="A214" s="73"/>
      <c r="B214" s="73"/>
      <c r="C214" s="74"/>
      <c r="D214" s="74"/>
      <c r="E214" s="74"/>
      <c r="F214" s="74"/>
      <c r="G214" s="74"/>
      <c r="H214" s="74"/>
      <c r="I214" s="74"/>
      <c r="J214" s="74"/>
      <c r="K214" s="74"/>
      <c r="L214" s="74"/>
      <c r="M214" s="74"/>
      <c r="N214" s="74"/>
      <c r="O214" s="74"/>
      <c r="P214" s="74"/>
      <c r="Q214" s="74"/>
      <c r="R214" s="74"/>
      <c r="S214" s="75"/>
    </row>
    <row r="215" spans="1:27" ht="18.75">
      <c r="A215" s="21"/>
      <c r="B215" s="58"/>
      <c r="C215" s="58"/>
      <c r="D215" s="58"/>
      <c r="E215" s="58"/>
      <c r="F215" s="58"/>
      <c r="G215" s="58"/>
      <c r="H215" s="59"/>
      <c r="I215" s="59"/>
      <c r="J215" s="59"/>
      <c r="K215" s="66"/>
      <c r="L215" s="66"/>
      <c r="M215" s="66"/>
      <c r="N215" s="66"/>
      <c r="O215" s="138" t="s">
        <v>42</v>
      </c>
      <c r="P215" s="138"/>
      <c r="Q215" s="138"/>
      <c r="R215" s="138"/>
      <c r="S215" s="138"/>
    </row>
    <row r="216" spans="1:27" ht="18.75">
      <c r="A216" s="1"/>
      <c r="B216" s="24" t="s">
        <v>19</v>
      </c>
      <c r="C216" s="139"/>
      <c r="D216" s="139"/>
      <c r="E216" s="139"/>
      <c r="F216" s="139"/>
      <c r="G216" s="139"/>
      <c r="H216" s="25"/>
      <c r="I216" s="143" t="s">
        <v>20</v>
      </c>
      <c r="J216" s="143"/>
      <c r="K216" s="141"/>
      <c r="L216" s="141"/>
      <c r="M216" s="141"/>
      <c r="O216" s="138"/>
      <c r="P216" s="138"/>
      <c r="Q216" s="138"/>
      <c r="R216" s="138"/>
      <c r="S216" s="138"/>
    </row>
    <row r="217" spans="1:27" ht="18.75">
      <c r="A217" s="1"/>
      <c r="B217" s="140" t="s">
        <v>21</v>
      </c>
      <c r="C217" s="140"/>
      <c r="D217" s="140"/>
      <c r="E217" s="140"/>
      <c r="F217" s="140"/>
      <c r="G217" s="140"/>
      <c r="H217" s="140"/>
      <c r="I217" s="27"/>
      <c r="J217" s="26"/>
      <c r="K217" s="26"/>
      <c r="L217" s="26"/>
      <c r="M217" s="26"/>
    </row>
    <row r="218" spans="1:27" ht="18.75">
      <c r="A218" s="22">
        <v>1</v>
      </c>
      <c r="B218" s="142" t="s">
        <v>22</v>
      </c>
      <c r="C218" s="142"/>
      <c r="D218" s="142"/>
      <c r="E218" s="142"/>
      <c r="F218" s="142"/>
      <c r="G218" s="142"/>
      <c r="H218" s="142"/>
      <c r="I218" s="28"/>
      <c r="J218" s="26"/>
      <c r="K218" s="26"/>
      <c r="L218" s="26"/>
      <c r="M218" s="26"/>
    </row>
    <row r="219" spans="1:27" ht="18.75">
      <c r="A219" s="2">
        <v>2</v>
      </c>
      <c r="B219" s="142" t="s">
        <v>23</v>
      </c>
      <c r="C219" s="142"/>
      <c r="D219" s="142"/>
      <c r="E219" s="142"/>
      <c r="F219" s="142"/>
      <c r="G219" s="132"/>
      <c r="H219" s="132"/>
      <c r="I219" s="132"/>
      <c r="J219" s="132"/>
      <c r="K219" s="132"/>
      <c r="L219" s="132"/>
      <c r="M219" s="132"/>
    </row>
    <row r="220" spans="1:27" ht="18.75">
      <c r="A220" s="3">
        <v>3</v>
      </c>
      <c r="B220" s="142" t="s">
        <v>24</v>
      </c>
      <c r="C220" s="142"/>
      <c r="D220" s="142"/>
      <c r="E220" s="29"/>
      <c r="F220" s="28"/>
      <c r="G220" s="28"/>
      <c r="H220" s="30"/>
      <c r="I220" s="31"/>
      <c r="J220" s="26"/>
      <c r="K220" s="26"/>
      <c r="L220" s="26"/>
      <c r="M220" s="26"/>
    </row>
    <row r="221" spans="1:27" ht="15.75">
      <c r="O221" s="138" t="s">
        <v>42</v>
      </c>
      <c r="P221" s="138"/>
      <c r="Q221" s="138"/>
      <c r="R221" s="138"/>
      <c r="S221" s="138"/>
    </row>
    <row r="223" spans="1:27" ht="18" customHeight="1">
      <c r="A223" s="148" t="str">
        <f>A186</f>
        <v xml:space="preserve">DA (46% to 50%) Drawn Statement  </v>
      </c>
      <c r="B223" s="148"/>
      <c r="C223" s="148"/>
      <c r="D223" s="148"/>
      <c r="E223" s="148"/>
      <c r="F223" s="148"/>
      <c r="G223" s="148"/>
      <c r="H223" s="148"/>
      <c r="I223" s="148"/>
      <c r="J223" s="148"/>
      <c r="K223" s="148"/>
      <c r="L223" s="148"/>
      <c r="M223" s="148"/>
      <c r="N223" s="148"/>
      <c r="O223" s="148"/>
      <c r="P223" s="148"/>
      <c r="Q223" s="148"/>
      <c r="R223" s="148"/>
      <c r="S223" s="148"/>
      <c r="W223" s="4">
        <f>IF(ISNA(VLOOKUP($Y$3,Master!A$8:N$127,4,FALSE)),"",VLOOKUP($Y$3,Master!A$8:AH$127,4,FALSE))</f>
        <v>2</v>
      </c>
      <c r="X223" s="4" t="str">
        <f>IF(ISNA(VLOOKUP($Y$3,Master!A$8:N$127,6,FALSE)),"",VLOOKUP($Y$3,Master!A$8:AH$127,6,FALSE))</f>
        <v>GPF-2004</v>
      </c>
      <c r="Y223" s="4" t="s">
        <v>45</v>
      </c>
      <c r="Z223" s="4" t="s">
        <v>18</v>
      </c>
      <c r="AA223" s="4" t="str">
        <f>IF(ISNA(VLOOKUP($Y$225,Master!A$8:N$127,7,FALSE)),"",VLOOKUP($Y$225,Master!A$8:AH$127,7,FALSE))</f>
        <v/>
      </c>
    </row>
    <row r="224" spans="1:27" ht="18">
      <c r="A224" s="131" t="str">
        <f>IF(AND(Master!C207=""),"",CONCATENATE("Office Of  ",Master!C207))</f>
        <v/>
      </c>
      <c r="B224" s="131"/>
      <c r="C224" s="131"/>
      <c r="D224" s="131"/>
      <c r="E224" s="131"/>
      <c r="F224" s="131"/>
      <c r="G224" s="131"/>
      <c r="H224" s="131"/>
      <c r="I224" s="131"/>
      <c r="J224" s="131"/>
      <c r="K224" s="131"/>
      <c r="L224" s="131"/>
      <c r="M224" s="131"/>
      <c r="N224" s="131"/>
      <c r="O224" s="131"/>
      <c r="P224" s="131"/>
      <c r="Q224" s="131"/>
      <c r="R224" s="131"/>
      <c r="S224" s="131"/>
      <c r="X224" s="4">
        <f>IF(ISNA(VLOOKUP($Y$3,Master!A$8:N$127,8,FALSE)),"",VLOOKUP($Y$3,Master!A$8:AH$127,8,FALSE))</f>
        <v>45292</v>
      </c>
      <c r="Y224" s="4" t="s">
        <v>43</v>
      </c>
    </row>
    <row r="225" spans="1:25" ht="18.75">
      <c r="E225" s="133" t="s">
        <v>10</v>
      </c>
      <c r="F225" s="133"/>
      <c r="G225" s="133"/>
      <c r="H225" s="133"/>
      <c r="I225" s="133"/>
      <c r="J225" s="132" t="str">
        <f>IF(ISNA(VLOOKUP($Y$225,Master!A$8:N$127,2,FALSE)),"",VLOOKUP($Y$225,Master!A$8:AH$127,2,FALSE))</f>
        <v/>
      </c>
      <c r="K225" s="132"/>
      <c r="L225" s="132"/>
      <c r="M225" s="132"/>
      <c r="N225" s="132"/>
      <c r="O225" s="60" t="s">
        <v>31</v>
      </c>
      <c r="P225" s="132" t="str">
        <f>IF(ISNA(VLOOKUP($Y$225,Master!A$8:N$127,3,FALSE)),"",VLOOKUP($Y$225,Master!A$8:AH$127,3,FALSE))</f>
        <v/>
      </c>
      <c r="Q225" s="132"/>
      <c r="R225" s="132"/>
      <c r="S225" s="132"/>
      <c r="X225" s="61" t="s">
        <v>49</v>
      </c>
      <c r="Y225" s="64" t="str">
        <f>IF(AND(Master!B26="",Master!E26=""),"",19)</f>
        <v/>
      </c>
    </row>
    <row r="226" spans="1:25" ht="8.25" customHeight="1">
      <c r="E226" s="19"/>
      <c r="F226" s="52"/>
      <c r="G226" s="22"/>
      <c r="H226" s="22"/>
      <c r="I226" s="22"/>
      <c r="J226" s="5"/>
      <c r="K226" s="5"/>
      <c r="L226" s="5"/>
      <c r="M226" s="5"/>
      <c r="N226" s="5"/>
      <c r="O226" s="6"/>
      <c r="P226" s="6"/>
    </row>
    <row r="227" spans="1:25" ht="24.75" customHeight="1">
      <c r="A227" s="157" t="s">
        <v>0</v>
      </c>
      <c r="B227" s="158" t="s">
        <v>3</v>
      </c>
      <c r="C227" s="159" t="s">
        <v>5</v>
      </c>
      <c r="D227" s="159"/>
      <c r="E227" s="159"/>
      <c r="F227" s="159"/>
      <c r="G227" s="159" t="s">
        <v>6</v>
      </c>
      <c r="H227" s="159"/>
      <c r="I227" s="159"/>
      <c r="J227" s="159"/>
      <c r="K227" s="159" t="s">
        <v>7</v>
      </c>
      <c r="L227" s="159"/>
      <c r="M227" s="159"/>
      <c r="N227" s="159"/>
      <c r="O227" s="149" t="s">
        <v>8</v>
      </c>
      <c r="P227" s="150"/>
      <c r="Q227" s="151"/>
      <c r="R227" s="162" t="s">
        <v>54</v>
      </c>
      <c r="S227" s="162" t="s">
        <v>40</v>
      </c>
    </row>
    <row r="228" spans="1:25" ht="69" customHeight="1">
      <c r="A228" s="157"/>
      <c r="B228" s="158"/>
      <c r="C228" s="54" t="s">
        <v>29</v>
      </c>
      <c r="D228" s="55" t="s">
        <v>1</v>
      </c>
      <c r="E228" s="56" t="s">
        <v>2</v>
      </c>
      <c r="F228" s="54" t="s">
        <v>46</v>
      </c>
      <c r="G228" s="54" t="s">
        <v>29</v>
      </c>
      <c r="H228" s="55" t="s">
        <v>1</v>
      </c>
      <c r="I228" s="56" t="s">
        <v>2</v>
      </c>
      <c r="J228" s="54" t="s">
        <v>47</v>
      </c>
      <c r="K228" s="54" t="s">
        <v>4</v>
      </c>
      <c r="L228" s="55" t="s">
        <v>1</v>
      </c>
      <c r="M228" s="56" t="s">
        <v>2</v>
      </c>
      <c r="N228" s="57" t="s">
        <v>48</v>
      </c>
      <c r="O228" s="53" t="s">
        <v>69</v>
      </c>
      <c r="P228" s="65" t="s">
        <v>41</v>
      </c>
      <c r="Q228" s="57" t="s">
        <v>53</v>
      </c>
      <c r="R228" s="162"/>
      <c r="S228" s="162"/>
    </row>
    <row r="229" spans="1:25" ht="18" customHeight="1">
      <c r="A229" s="7">
        <v>1</v>
      </c>
      <c r="B229" s="7">
        <v>2</v>
      </c>
      <c r="C229" s="7">
        <v>3</v>
      </c>
      <c r="D229" s="7">
        <v>4</v>
      </c>
      <c r="E229" s="7">
        <v>5</v>
      </c>
      <c r="F229" s="7">
        <v>6</v>
      </c>
      <c r="G229" s="7">
        <v>7</v>
      </c>
      <c r="H229" s="7">
        <v>8</v>
      </c>
      <c r="I229" s="7">
        <v>9</v>
      </c>
      <c r="J229" s="7">
        <v>10</v>
      </c>
      <c r="K229" s="7">
        <v>11</v>
      </c>
      <c r="L229" s="7">
        <v>12</v>
      </c>
      <c r="M229" s="7">
        <v>13</v>
      </c>
      <c r="N229" s="7">
        <v>14</v>
      </c>
      <c r="O229" s="7">
        <v>15</v>
      </c>
      <c r="P229" s="7">
        <v>17</v>
      </c>
      <c r="Q229" s="7">
        <v>18</v>
      </c>
      <c r="R229" s="7">
        <v>19</v>
      </c>
      <c r="S229" s="7">
        <v>20</v>
      </c>
    </row>
    <row r="230" spans="1:25" ht="21" customHeight="1">
      <c r="A230" s="8">
        <v>1</v>
      </c>
      <c r="B230" s="23" t="str">
        <f>IFERROR(IF(ISNA(VLOOKUP(Y225,Master!A$8:N$127,8,FALSE)),"",VLOOKUP($Y225,Master!A$8:AH$127,8,FALSE)),"")</f>
        <v/>
      </c>
      <c r="C230" s="9" t="str">
        <f>IF(ISNA(VLOOKUP(Y225,Master!A$8:N$127,5,FALSE)),"",VLOOKUP($Y$225,Master!A$8:AH$127,5,FALSE))</f>
        <v/>
      </c>
      <c r="D230" s="9" t="str">
        <f>IF(AND(C230=""),"",IF(AND($Y$225=""),"",ROUND(C230*Master!C$5%,0)))</f>
        <v/>
      </c>
      <c r="E230" s="9" t="str">
        <f>IF(AND(C230=""),"",IF(AND($Y$225=""),"",ROUND(C230*Master!H$5%,0)))</f>
        <v/>
      </c>
      <c r="F230" s="9" t="str">
        <f t="shared" ref="F230" si="327">IF(AND(C230=""),"",SUM(C230:E230))</f>
        <v/>
      </c>
      <c r="G230" s="9" t="str">
        <f>IF(ISNA(VLOOKUP($Y$225,Master!A$8:N$127,5,FALSE)),"",VLOOKUP($Y$225,Master!A$8:AH$127,5,FALSE))</f>
        <v/>
      </c>
      <c r="H230" s="9" t="str">
        <f>IF(AND(G230=""),"",IF(AND($Y$225=""),"",ROUND(G230*Master!C$4%,0)))</f>
        <v/>
      </c>
      <c r="I230" s="9" t="str">
        <f>IF(AND(G230=""),"",IF(AND($Y$225=""),"",ROUND(G230*Master!H$4%,0)))</f>
        <v/>
      </c>
      <c r="J230" s="9" t="str">
        <f t="shared" ref="J230:J231" si="328">IF(AND(C230=""),"",SUM(G230:I230))</f>
        <v/>
      </c>
      <c r="K230" s="9" t="str">
        <f t="shared" ref="K230:K232" si="329">IF(AND(C230=""),"",IF(AND(G230=""),"",C230-G230))</f>
        <v/>
      </c>
      <c r="L230" s="9" t="str">
        <f t="shared" ref="L230:L232" si="330">IF(AND(D230=""),"",IF(AND(H230=""),"",D230-H230))</f>
        <v/>
      </c>
      <c r="M230" s="9" t="str">
        <f t="shared" ref="M230:M231" si="331">IF(AND(E230=""),"",IF(AND(I230=""),"",E230-I230))</f>
        <v/>
      </c>
      <c r="N230" s="9" t="str">
        <f t="shared" ref="N230:N231" si="332">IF(AND(F230=""),"",IF(AND(J230=""),"",F230-J230))</f>
        <v/>
      </c>
      <c r="O230" s="9" t="str">
        <f>IF(AND(C230=""),"",N230-P230)</f>
        <v/>
      </c>
      <c r="P230" s="9" t="str">
        <f>IF(AND($Y$225=""),"",IF(AND(N230=""),"",ROUND(N230*AA$223%,0)))</f>
        <v/>
      </c>
      <c r="Q230" s="9" t="str">
        <f>IF(AND($Y$225=""),"",IF(AND(C230=""),"",IF(AND(O230=""),"",SUM(O230,P230))))</f>
        <v/>
      </c>
      <c r="R230" s="9" t="str">
        <f>IF(AND(N230=""),"",IF(AND(Q230=""),"",N230-Q230))</f>
        <v/>
      </c>
      <c r="S230" s="20"/>
    </row>
    <row r="231" spans="1:25" ht="21" customHeight="1">
      <c r="A231" s="8">
        <v>2</v>
      </c>
      <c r="B231" s="23" t="str">
        <f>IFERROR(DATE(YEAR(B230),MONTH(B230)+1,DAY(B230)),"")</f>
        <v/>
      </c>
      <c r="C231" s="9" t="str">
        <f>IF(AND($Y$225=""),"",C230)</f>
        <v/>
      </c>
      <c r="D231" s="9" t="str">
        <f>IF(AND(C231=""),"",IF(AND($Y$225=""),"",ROUND(C231*Master!C$5%,0)))</f>
        <v/>
      </c>
      <c r="E231" s="9" t="str">
        <f>IF(AND(C231=""),"",IF(AND($Y$225=""),"",ROUND(C231*Master!H$5%,0)))</f>
        <v/>
      </c>
      <c r="F231" s="9" t="str">
        <f>IF(AND(C231=""),"",SUM(C231:E231))</f>
        <v/>
      </c>
      <c r="G231" s="9" t="str">
        <f>IF(C231="","",IF(AND($Y$225=""),"",G230))</f>
        <v/>
      </c>
      <c r="H231" s="9" t="str">
        <f>IF(AND(G231=""),"",IF(AND($Y$225=""),"",ROUND(G231*Master!C$4%,0)))</f>
        <v/>
      </c>
      <c r="I231" s="9" t="str">
        <f>IF(AND(G231=""),"",IF(AND($Y$225=""),"",ROUND(G231*Master!H$4%,0)))</f>
        <v/>
      </c>
      <c r="J231" s="9" t="str">
        <f t="shared" si="328"/>
        <v/>
      </c>
      <c r="K231" s="9" t="str">
        <f t="shared" si="329"/>
        <v/>
      </c>
      <c r="L231" s="9" t="str">
        <f t="shared" si="330"/>
        <v/>
      </c>
      <c r="M231" s="9" t="str">
        <f t="shared" si="331"/>
        <v/>
      </c>
      <c r="N231" s="9" t="str">
        <f t="shared" si="332"/>
        <v/>
      </c>
      <c r="O231" s="9" t="str">
        <f t="shared" ref="O231" si="333">IF(AND(C231=""),"",N231-P231)</f>
        <v/>
      </c>
      <c r="P231" s="9" t="str">
        <f t="shared" ref="P231:P232" si="334">IF(AND($Y$225=""),"",IF(AND(N231=""),"",ROUND(N231*AA$223%,0)))</f>
        <v/>
      </c>
      <c r="Q231" s="9" t="str">
        <f>IF(AND($Y$225=""),"",IF(AND(C231=""),"",IF(AND(O231=""),"",SUM(O231,P231))))</f>
        <v/>
      </c>
      <c r="R231" s="9" t="str">
        <f t="shared" ref="R231:R232" si="335">IF(AND(N231=""),"",IF(AND(Q231=""),"",N231-Q231))</f>
        <v/>
      </c>
      <c r="S231" s="20"/>
    </row>
    <row r="232" spans="1:25" ht="21" customHeight="1">
      <c r="A232" s="8">
        <v>3</v>
      </c>
      <c r="B232" s="23" t="str">
        <f>IFERROR(DATE(YEAR(B231),MONTH(B231)+1,DAY(B231)),"")</f>
        <v/>
      </c>
      <c r="C232" s="9"/>
      <c r="D232" s="9" t="str">
        <f>IF(AND(C232=""),"",IF(AND($Y$225=""),"",ROUND(C232*Master!C$5%,0)))</f>
        <v/>
      </c>
      <c r="E232" s="9" t="str">
        <f>IF(AND(C232=""),"",IF(AND($Y$225=""),"",ROUND(C232*Master!H$5%,0)))</f>
        <v/>
      </c>
      <c r="F232" s="9" t="str">
        <f t="shared" ref="F232" si="336">IF(AND(C232=""),"",SUM(C232:E232))</f>
        <v/>
      </c>
      <c r="G232" s="9" t="str">
        <f t="shared" ref="G232:G233" si="337">IF(C232="","",IF(AND($Y$225=""),"",G231))</f>
        <v/>
      </c>
      <c r="H232" s="9" t="str">
        <f>IF(AND(G232=""),"",IF(AND($Y$225=""),"",ROUND(G232*Master!C$4%,0)))</f>
        <v/>
      </c>
      <c r="I232" s="9" t="str">
        <f>IF(AND(G232=""),"",IF(AND($Y$225=""),"",ROUND(G232*Master!H$4%,0)))</f>
        <v/>
      </c>
      <c r="J232" s="9" t="str">
        <f>IF(AND(C232=""),"",SUM(G232:I232))</f>
        <v/>
      </c>
      <c r="K232" s="9" t="str">
        <f t="shared" si="329"/>
        <v/>
      </c>
      <c r="L232" s="9" t="str">
        <f t="shared" si="330"/>
        <v/>
      </c>
      <c r="M232" s="9" t="str">
        <f>IF(AND(E232=""),"",IF(AND(I232=""),"",E232-I232))</f>
        <v/>
      </c>
      <c r="N232" s="9" t="str">
        <f>IF(AND(F232=""),"",IF(AND(J232=""),"",F232-J232))</f>
        <v/>
      </c>
      <c r="O232" s="9">
        <v>0</v>
      </c>
      <c r="P232" s="9" t="str">
        <f t="shared" si="334"/>
        <v/>
      </c>
      <c r="Q232" s="9" t="str">
        <f>IF(AND($Y$225=""),"",IF(AND(C232=""),"",IF(AND(O232=""),"",SUM(O232,P232))))</f>
        <v/>
      </c>
      <c r="R232" s="9" t="str">
        <f t="shared" si="335"/>
        <v/>
      </c>
      <c r="S232" s="20"/>
    </row>
    <row r="233" spans="1:25" ht="21" customHeight="1">
      <c r="A233" s="8">
        <v>4</v>
      </c>
      <c r="B233" s="23" t="str">
        <f>IFERROR(DATE(YEAR(B232),MONTH(B232)+1,DAY(B232)),"")</f>
        <v/>
      </c>
      <c r="C233" s="9"/>
      <c r="D233" s="9" t="str">
        <f>IF(AND(C233=""),"",IF(AND($Y$225=""),"",ROUND(C233*Master!C$5%,0)))</f>
        <v/>
      </c>
      <c r="E233" s="9" t="str">
        <f>IF(AND(C233=""),"",IF(AND($Y$225=""),"",ROUND(C233*Master!H$5%,0)))</f>
        <v/>
      </c>
      <c r="F233" s="9" t="str">
        <f t="shared" ref="F233" si="338">IF(AND(C233=""),"",SUM(C233:E233))</f>
        <v/>
      </c>
      <c r="G233" s="9" t="str">
        <f t="shared" si="337"/>
        <v/>
      </c>
      <c r="H233" s="9" t="str">
        <f>IF(AND(G233=""),"",IF(AND($Y$225=""),"",ROUND(G233*Master!C$4%,0)))</f>
        <v/>
      </c>
      <c r="I233" s="9" t="str">
        <f>IF(AND(G233=""),"",IF(AND($Y$225=""),"",ROUND(G233*Master!H$4%,0)))</f>
        <v/>
      </c>
      <c r="J233" s="9" t="str">
        <f>IF(AND(C233=""),"",SUM(G233:I233))</f>
        <v/>
      </c>
      <c r="K233" s="9" t="str">
        <f t="shared" ref="K233" si="339">IF(AND(C233=""),"",IF(AND(G233=""),"",C233-G233))</f>
        <v/>
      </c>
      <c r="L233" s="9" t="str">
        <f t="shared" ref="L233" si="340">IF(AND(D233=""),"",IF(AND(H233=""),"",D233-H233))</f>
        <v/>
      </c>
      <c r="M233" s="9" t="str">
        <f>IF(AND(E233=""),"",IF(AND(I233=""),"",E233-I233))</f>
        <v/>
      </c>
      <c r="N233" s="9" t="str">
        <f>IF(AND(F233=""),"",IF(AND(J233=""),"",F233-J233))</f>
        <v/>
      </c>
      <c r="O233" s="9">
        <v>0</v>
      </c>
      <c r="P233" s="9" t="str">
        <f t="shared" ref="P233" si="341">IF(AND($Y$225=""),"",IF(AND(N233=""),"",ROUND(N233*AA$223%,0)))</f>
        <v/>
      </c>
      <c r="Q233" s="9" t="str">
        <f>IF(AND($Y$225=""),"",IF(AND(C233=""),"",IF(AND(O233=""),"",SUM(O233,P233))))</f>
        <v/>
      </c>
      <c r="R233" s="9" t="str">
        <f t="shared" ref="R233" si="342">IF(AND(N233=""),"",IF(AND(Q233=""),"",N233-Q233))</f>
        <v/>
      </c>
      <c r="S233" s="20"/>
    </row>
    <row r="234" spans="1:25" ht="23.25" customHeight="1">
      <c r="A234" s="153" t="s">
        <v>9</v>
      </c>
      <c r="B234" s="154"/>
      <c r="C234" s="63" t="str">
        <f>IF(AND($Y$225=""),"",SUM(C230:C233))</f>
        <v/>
      </c>
      <c r="D234" s="63" t="str">
        <f t="shared" ref="D234:R234" si="343">IF(AND($Y$225=""),"",SUM(D230:D233))</f>
        <v/>
      </c>
      <c r="E234" s="63" t="str">
        <f t="shared" si="343"/>
        <v/>
      </c>
      <c r="F234" s="63" t="str">
        <f t="shared" si="343"/>
        <v/>
      </c>
      <c r="G234" s="63" t="str">
        <f t="shared" si="343"/>
        <v/>
      </c>
      <c r="H234" s="63" t="str">
        <f t="shared" si="343"/>
        <v/>
      </c>
      <c r="I234" s="63" t="str">
        <f t="shared" si="343"/>
        <v/>
      </c>
      <c r="J234" s="63" t="str">
        <f t="shared" si="343"/>
        <v/>
      </c>
      <c r="K234" s="63" t="str">
        <f t="shared" si="343"/>
        <v/>
      </c>
      <c r="L234" s="63" t="str">
        <f t="shared" si="343"/>
        <v/>
      </c>
      <c r="M234" s="63" t="str">
        <f t="shared" si="343"/>
        <v/>
      </c>
      <c r="N234" s="63" t="str">
        <f t="shared" si="343"/>
        <v/>
      </c>
      <c r="O234" s="63" t="str">
        <f t="shared" si="343"/>
        <v/>
      </c>
      <c r="P234" s="63" t="str">
        <f t="shared" si="343"/>
        <v/>
      </c>
      <c r="Q234" s="63" t="str">
        <f t="shared" si="343"/>
        <v/>
      </c>
      <c r="R234" s="63" t="str">
        <f t="shared" si="343"/>
        <v/>
      </c>
      <c r="S234" s="49"/>
    </row>
    <row r="235" spans="1:25" ht="10.5" customHeight="1">
      <c r="A235" s="73"/>
      <c r="B235" s="73"/>
      <c r="C235" s="74"/>
      <c r="D235" s="74"/>
      <c r="E235" s="74"/>
      <c r="F235" s="74"/>
      <c r="G235" s="74"/>
      <c r="H235" s="74"/>
      <c r="I235" s="74"/>
      <c r="J235" s="74"/>
      <c r="K235" s="74"/>
      <c r="L235" s="74"/>
      <c r="M235" s="74"/>
      <c r="N235" s="74"/>
      <c r="O235" s="74"/>
      <c r="P235" s="74"/>
      <c r="Q235" s="74"/>
      <c r="R235" s="74"/>
      <c r="S235" s="75"/>
    </row>
    <row r="236" spans="1:25" ht="23.25" customHeight="1">
      <c r="E236" s="133" t="s">
        <v>10</v>
      </c>
      <c r="F236" s="133"/>
      <c r="G236" s="133"/>
      <c r="H236" s="133"/>
      <c r="I236" s="133"/>
      <c r="J236" s="132" t="str">
        <f>IF(ISNA(VLOOKUP($Y$238,Master!A$8:N$127,2,FALSE)),"",VLOOKUP($Y$238,Master!A$8:AH$127,2,FALSE))</f>
        <v/>
      </c>
      <c r="K236" s="132"/>
      <c r="L236" s="132"/>
      <c r="M236" s="132"/>
      <c r="N236" s="132"/>
      <c r="O236" s="60" t="s">
        <v>31</v>
      </c>
      <c r="P236" s="132" t="str">
        <f>IF(ISNA(VLOOKUP($Y$238,Master!A$8:N$127,3,FALSE)),"",VLOOKUP($Y$238,Master!A$8:AH$127,3,FALSE))</f>
        <v/>
      </c>
      <c r="Q236" s="132"/>
      <c r="R236" s="132"/>
      <c r="S236" s="132"/>
    </row>
    <row r="237" spans="1:25" ht="9" customHeight="1">
      <c r="E237" s="19"/>
      <c r="F237" s="52"/>
      <c r="G237" s="22"/>
      <c r="H237" s="22"/>
      <c r="I237" s="22"/>
      <c r="J237" s="5"/>
      <c r="K237" s="5"/>
      <c r="L237" s="5"/>
      <c r="M237" s="5"/>
      <c r="N237" s="5"/>
      <c r="O237" s="6"/>
      <c r="P237" s="6"/>
    </row>
    <row r="238" spans="1:25" ht="21" customHeight="1">
      <c r="A238" s="8">
        <v>1</v>
      </c>
      <c r="B238" s="23" t="str">
        <f>IFERROR(IF(ISNA(VLOOKUP(Y238,Master!A$8:N$127,8,FALSE)),"",VLOOKUP($Y238,Master!A$8:AH$127,8,FALSE)),"")</f>
        <v/>
      </c>
      <c r="C238" s="9" t="str">
        <f>IF(ISNA(VLOOKUP($Y$238,Master!A$8:N$127,5,FALSE)),"",VLOOKUP($Y$238,Master!A$8:AH$127,5,FALSE))</f>
        <v/>
      </c>
      <c r="D238" s="9" t="str">
        <f>IF(AND(C238=""),"",IF(AND($Y$238=""),"",ROUND(C238*Master!C$5%,0)))</f>
        <v/>
      </c>
      <c r="E238" s="9" t="str">
        <f>IF(AND(C238=""),"",IF(AND($Y$238=""),"",ROUND(C238*Master!H$5%,0)))</f>
        <v/>
      </c>
      <c r="F238" s="9" t="str">
        <f t="shared" ref="F238:F240" si="344">IF(AND(C238=""),"",SUM(C238:E238))</f>
        <v/>
      </c>
      <c r="G238" s="9" t="str">
        <f>IF(ISNA(VLOOKUP($Y$238,Master!A$8:N$127,5,FALSE)),"",VLOOKUP($Y$238,Master!A$8:AH$127,5,FALSE))</f>
        <v/>
      </c>
      <c r="H238" s="9" t="str">
        <f>IF(AND(G238=""),"",IF(AND($Y$238=""),"",ROUND(G238*Master!C$4%,0)))</f>
        <v/>
      </c>
      <c r="I238" s="9" t="str">
        <f>IF(AND(G238=""),"",IF(AND($Y$238=""),"",ROUND(G238*Master!H$4%,0)))</f>
        <v/>
      </c>
      <c r="J238" s="9" t="str">
        <f t="shared" ref="J238:J240" si="345">IF(AND(C238=""),"",SUM(G238:I238))</f>
        <v/>
      </c>
      <c r="K238" s="9" t="str">
        <f t="shared" ref="K238" si="346">IF(AND(C238=""),"",IF(AND(G238=""),"",C238-G238))</f>
        <v/>
      </c>
      <c r="L238" s="9" t="str">
        <f>IF(AND(D238=""),"",IF(AND(H238=""),"",D238-H238))</f>
        <v/>
      </c>
      <c r="M238" s="9" t="str">
        <f t="shared" ref="M238:M240" si="347">IF(AND(E238=""),"",IF(AND(I238=""),"",E238-I238))</f>
        <v/>
      </c>
      <c r="N238" s="9" t="str">
        <f t="shared" ref="N238:N240" si="348">IF(AND(F238=""),"",IF(AND(J238=""),"",F238-J238))</f>
        <v/>
      </c>
      <c r="O238" s="9" t="str">
        <f>IF(AND(C238=""),"",N238-P238)</f>
        <v/>
      </c>
      <c r="P238" s="9" t="str">
        <f>IF(AND($Y$238=""),"",IF(AND(N238=""),"",ROUND(N238*$X$239%,0)))</f>
        <v/>
      </c>
      <c r="Q238" s="9" t="str">
        <f>IF(AND($Y$238=""),"",IF(AND(C238=""),"",IF(AND(O238=""),"",SUM(O238,P238))))</f>
        <v/>
      </c>
      <c r="R238" s="9" t="str">
        <f>IF(AND(N238=""),"",IF(AND(Q238=""),"",N238-Q238))</f>
        <v/>
      </c>
      <c r="S238" s="20"/>
      <c r="X238" s="61" t="s">
        <v>49</v>
      </c>
      <c r="Y238" s="64" t="str">
        <f>IF(AND(Master!B27="",Master!E27=""),"",20)</f>
        <v/>
      </c>
    </row>
    <row r="239" spans="1:25" ht="21" customHeight="1">
      <c r="A239" s="8">
        <v>2</v>
      </c>
      <c r="B239" s="23" t="str">
        <f>IFERROR(DATE(YEAR(B238),MONTH(B238)+1,DAY(B238)),"")</f>
        <v/>
      </c>
      <c r="C239" s="9" t="str">
        <f>IF(AND($Y$238=""),"",C238)</f>
        <v/>
      </c>
      <c r="D239" s="9" t="str">
        <f>IF(AND(C239=""),"",IF(AND($Y$238=""),"",ROUND(C239*Master!C$5%,0)))</f>
        <v/>
      </c>
      <c r="E239" s="9" t="str">
        <f>IF(AND(C239=""),"",IF(AND($Y$238=""),"",ROUND(C239*Master!H$5%,0)))</f>
        <v/>
      </c>
      <c r="F239" s="9" t="str">
        <f t="shared" si="344"/>
        <v/>
      </c>
      <c r="G239" s="9" t="str">
        <f>IF(C239="","",IF(AND($Y$238=""),"",G238))</f>
        <v/>
      </c>
      <c r="H239" s="9" t="str">
        <f>IF(AND(G239=""),"",IF(AND($Y$238=""),"",ROUND(G239*Master!C$4%,0)))</f>
        <v/>
      </c>
      <c r="I239" s="9" t="str">
        <f>IF(AND(G239=""),"",IF(AND($Y$238=""),"",ROUND(G239*Master!H$4%,0)))</f>
        <v/>
      </c>
      <c r="J239" s="9" t="str">
        <f t="shared" si="345"/>
        <v/>
      </c>
      <c r="K239" s="9" t="str">
        <f>IF(AND(C239=""),"",IF(AND(G239=""),"",C239-G239))</f>
        <v/>
      </c>
      <c r="L239" s="9" t="str">
        <f t="shared" ref="L239:L240" si="349">IF(AND(D239=""),"",IF(AND(H239=""),"",D239-H239))</f>
        <v/>
      </c>
      <c r="M239" s="9" t="str">
        <f t="shared" si="347"/>
        <v/>
      </c>
      <c r="N239" s="9" t="str">
        <f t="shared" si="348"/>
        <v/>
      </c>
      <c r="O239" s="9" t="str">
        <f t="shared" ref="O239" si="350">IF(AND(C239=""),"",N239-P239)</f>
        <v/>
      </c>
      <c r="P239" s="9" t="str">
        <f t="shared" ref="P239:P240" si="351">IF(AND($Y$238=""),"",IF(AND(N239=""),"",ROUND(N239*$X$239%,0)))</f>
        <v/>
      </c>
      <c r="Q239" s="9" t="str">
        <f>IF(AND($Y$238=""),"",IF(AND(C239=""),"",IF(AND(O239=""),"",SUM(O239,P239))))</f>
        <v/>
      </c>
      <c r="R239" s="9" t="str">
        <f t="shared" ref="R239:R240" si="352">IF(AND(N239=""),"",IF(AND(Q239=""),"",N239-Q239))</f>
        <v/>
      </c>
      <c r="S239" s="20"/>
      <c r="X239" s="4" t="str">
        <f>IF(ISNA(VLOOKUP($Y$238,Master!A$8:N$127,7,FALSE)),"",VLOOKUP($Y$238,Master!A$8:AH$127,7,FALSE))</f>
        <v/>
      </c>
    </row>
    <row r="240" spans="1:25" ht="21" customHeight="1">
      <c r="A240" s="8">
        <v>3</v>
      </c>
      <c r="B240" s="23" t="str">
        <f>IFERROR(DATE(YEAR(B239),MONTH(B239)+1,DAY(B239)),"")</f>
        <v/>
      </c>
      <c r="C240" s="9"/>
      <c r="D240" s="9" t="str">
        <f>IF(AND(C240=""),"",IF(AND($Y$238=""),"",ROUND(C240*Master!C$5%,0)))</f>
        <v/>
      </c>
      <c r="E240" s="9" t="str">
        <f>IF(AND(C240=""),"",IF(AND($Y$238=""),"",ROUND(C240*Master!H$5%,0)))</f>
        <v/>
      </c>
      <c r="F240" s="9" t="str">
        <f t="shared" si="344"/>
        <v/>
      </c>
      <c r="G240" s="9" t="str">
        <f t="shared" ref="G240:G241" si="353">IF(C240="","",IF(AND($Y$238=""),"",G239))</f>
        <v/>
      </c>
      <c r="H240" s="9" t="str">
        <f>IF(AND(G240=""),"",IF(AND($Y$238=""),"",ROUND(G240*Master!C$4%,0)))</f>
        <v/>
      </c>
      <c r="I240" s="9" t="str">
        <f>IF(AND(G240=""),"",IF(AND($Y$238=""),"",ROUND(G240*Master!H$4%,0)))</f>
        <v/>
      </c>
      <c r="J240" s="9" t="str">
        <f t="shared" si="345"/>
        <v/>
      </c>
      <c r="K240" s="9" t="str">
        <f t="shared" ref="K240" si="354">IF(AND(C240=""),"",IF(AND(G240=""),"",C240-G240))</f>
        <v/>
      </c>
      <c r="L240" s="9" t="str">
        <f t="shared" si="349"/>
        <v/>
      </c>
      <c r="M240" s="9" t="str">
        <f t="shared" si="347"/>
        <v/>
      </c>
      <c r="N240" s="9" t="str">
        <f t="shared" si="348"/>
        <v/>
      </c>
      <c r="O240" s="9">
        <v>0</v>
      </c>
      <c r="P240" s="9" t="str">
        <f t="shared" si="351"/>
        <v/>
      </c>
      <c r="Q240" s="9" t="str">
        <f>IF(AND($Y$238=""),"",IF(AND(C240=""),"",IF(AND(O240=""),"",SUM(O240,P240))))</f>
        <v/>
      </c>
      <c r="R240" s="9" t="str">
        <f t="shared" si="352"/>
        <v/>
      </c>
      <c r="S240" s="20"/>
    </row>
    <row r="241" spans="1:25" ht="21" customHeight="1">
      <c r="A241" s="8">
        <v>4</v>
      </c>
      <c r="B241" s="23" t="str">
        <f>IFERROR(DATE(YEAR(B240),MONTH(B240)+1,DAY(B240)),"")</f>
        <v/>
      </c>
      <c r="C241" s="9"/>
      <c r="D241" s="9" t="str">
        <f>IF(AND(C241=""),"",IF(AND($Y$238=""),"",ROUND(C241*Master!C$5%,0)))</f>
        <v/>
      </c>
      <c r="E241" s="9" t="str">
        <f>IF(AND(C241=""),"",IF(AND($Y$238=""),"",ROUND(C241*Master!H$5%,0)))</f>
        <v/>
      </c>
      <c r="F241" s="9" t="str">
        <f t="shared" ref="F241" si="355">IF(AND(C241=""),"",SUM(C241:E241))</f>
        <v/>
      </c>
      <c r="G241" s="9" t="str">
        <f t="shared" si="353"/>
        <v/>
      </c>
      <c r="H241" s="9" t="str">
        <f>IF(AND(G241=""),"",IF(AND($Y$238=""),"",ROUND(G241*Master!C$4%,0)))</f>
        <v/>
      </c>
      <c r="I241" s="9" t="str">
        <f>IF(AND(G241=""),"",IF(AND($Y$238=""),"",ROUND(G241*Master!H$4%,0)))</f>
        <v/>
      </c>
      <c r="J241" s="9" t="str">
        <f t="shared" ref="J241" si="356">IF(AND(C241=""),"",SUM(G241:I241))</f>
        <v/>
      </c>
      <c r="K241" s="9" t="str">
        <f t="shared" ref="K241" si="357">IF(AND(C241=""),"",IF(AND(G241=""),"",C241-G241))</f>
        <v/>
      </c>
      <c r="L241" s="9" t="str">
        <f t="shared" ref="L241" si="358">IF(AND(D241=""),"",IF(AND(H241=""),"",D241-H241))</f>
        <v/>
      </c>
      <c r="M241" s="9" t="str">
        <f t="shared" ref="M241" si="359">IF(AND(E241=""),"",IF(AND(I241=""),"",E241-I241))</f>
        <v/>
      </c>
      <c r="N241" s="9" t="str">
        <f t="shared" ref="N241" si="360">IF(AND(F241=""),"",IF(AND(J241=""),"",F241-J241))</f>
        <v/>
      </c>
      <c r="O241" s="9">
        <v>0</v>
      </c>
      <c r="P241" s="9" t="str">
        <f t="shared" ref="P241" si="361">IF(AND($Y$238=""),"",IF(AND(N241=""),"",ROUND(N241*$X$239%,0)))</f>
        <v/>
      </c>
      <c r="Q241" s="9" t="str">
        <f>IF(AND($Y$238=""),"",IF(AND(C241=""),"",IF(AND(O241=""),"",SUM(O241,P241))))</f>
        <v/>
      </c>
      <c r="R241" s="9" t="str">
        <f t="shared" ref="R241" si="362">IF(AND(N241=""),"",IF(AND(Q241=""),"",N241-Q241))</f>
        <v/>
      </c>
      <c r="S241" s="20"/>
    </row>
    <row r="242" spans="1:25" ht="30.75" customHeight="1">
      <c r="A242" s="153" t="s">
        <v>9</v>
      </c>
      <c r="B242" s="154"/>
      <c r="C242" s="63" t="str">
        <f>IF(AND($Y$238=""),"",SUM(C238:C241))</f>
        <v/>
      </c>
      <c r="D242" s="63" t="str">
        <f t="shared" ref="D242:Q242" si="363">IF(AND($Y$238=""),"",SUM(D238:D241))</f>
        <v/>
      </c>
      <c r="E242" s="63" t="str">
        <f t="shared" si="363"/>
        <v/>
      </c>
      <c r="F242" s="63" t="str">
        <f t="shared" si="363"/>
        <v/>
      </c>
      <c r="G242" s="63" t="str">
        <f t="shared" si="363"/>
        <v/>
      </c>
      <c r="H242" s="63" t="str">
        <f t="shared" si="363"/>
        <v/>
      </c>
      <c r="I242" s="63" t="str">
        <f t="shared" si="363"/>
        <v/>
      </c>
      <c r="J242" s="63" t="str">
        <f t="shared" si="363"/>
        <v/>
      </c>
      <c r="K242" s="63" t="str">
        <f t="shared" si="363"/>
        <v/>
      </c>
      <c r="L242" s="63" t="str">
        <f t="shared" si="363"/>
        <v/>
      </c>
      <c r="M242" s="63" t="str">
        <f t="shared" si="363"/>
        <v/>
      </c>
      <c r="N242" s="63" t="str">
        <f t="shared" si="363"/>
        <v/>
      </c>
      <c r="O242" s="63" t="str">
        <f t="shared" si="363"/>
        <v/>
      </c>
      <c r="P242" s="63" t="str">
        <f t="shared" si="363"/>
        <v/>
      </c>
      <c r="Q242" s="63" t="str">
        <f t="shared" si="363"/>
        <v/>
      </c>
      <c r="R242" s="63" t="str">
        <f>IF(AND($Y$238=""),"",SUM(R238:R241))</f>
        <v/>
      </c>
      <c r="S242" s="49"/>
    </row>
    <row r="243" spans="1:25" ht="11.25" customHeight="1">
      <c r="A243" s="73"/>
      <c r="B243" s="73"/>
      <c r="C243" s="74"/>
      <c r="D243" s="74"/>
      <c r="E243" s="74"/>
      <c r="F243" s="74"/>
      <c r="G243" s="74"/>
      <c r="H243" s="74"/>
      <c r="I243" s="74"/>
      <c r="J243" s="74"/>
      <c r="K243" s="74"/>
      <c r="L243" s="74"/>
      <c r="M243" s="74"/>
      <c r="N243" s="74"/>
      <c r="O243" s="74"/>
      <c r="P243" s="74"/>
      <c r="Q243" s="74"/>
      <c r="R243" s="74"/>
      <c r="S243" s="75"/>
    </row>
    <row r="244" spans="1:25" ht="23.25" customHeight="1">
      <c r="E244" s="133" t="s">
        <v>10</v>
      </c>
      <c r="F244" s="133"/>
      <c r="G244" s="133"/>
      <c r="H244" s="133"/>
      <c r="I244" s="133"/>
      <c r="J244" s="132" t="str">
        <f>IF(ISNA(VLOOKUP($Y$246,Master!A$8:N$127,2,FALSE)),"",VLOOKUP($Y$246,Master!A$8:AH$127,2,FALSE))</f>
        <v/>
      </c>
      <c r="K244" s="132"/>
      <c r="L244" s="132"/>
      <c r="M244" s="132"/>
      <c r="N244" s="132"/>
      <c r="O244" s="60" t="s">
        <v>31</v>
      </c>
      <c r="P244" s="132" t="str">
        <f>IF(ISNA(VLOOKUP($Y$246,Master!A$8:N$127,3,FALSE)),"",VLOOKUP($Y$246,Master!A$8:AH$127,3,FALSE))</f>
        <v/>
      </c>
      <c r="Q244" s="132"/>
      <c r="R244" s="132"/>
      <c r="S244" s="132"/>
    </row>
    <row r="245" spans="1:25" ht="9" customHeight="1">
      <c r="E245" s="19"/>
      <c r="F245" s="52"/>
      <c r="G245" s="22"/>
      <c r="H245" s="22"/>
      <c r="I245" s="22"/>
      <c r="J245" s="5"/>
      <c r="K245" s="5"/>
      <c r="L245" s="5"/>
      <c r="M245" s="5"/>
      <c r="N245" s="5"/>
      <c r="O245" s="6"/>
      <c r="P245" s="6"/>
    </row>
    <row r="246" spans="1:25" ht="21" customHeight="1">
      <c r="A246" s="8">
        <v>1</v>
      </c>
      <c r="B246" s="23" t="str">
        <f>IFERROR(IF(ISNA(VLOOKUP(Y246,Master!A$8:N$127,8,FALSE)),"",VLOOKUP($Y246,Master!A$8:AH$127,8,FALSE)),"")</f>
        <v/>
      </c>
      <c r="C246" s="9" t="str">
        <f>IF(ISNA(VLOOKUP($Y$246,Master!A$8:N$127,5,FALSE)),"",VLOOKUP($Y$246,Master!A$8:AH$127,5,FALSE))</f>
        <v/>
      </c>
      <c r="D246" s="9" t="str">
        <f>IF(AND(C246=""),"",IF(AND($Y$246=""),"",ROUND(C246*Master!C$5%,0)))</f>
        <v/>
      </c>
      <c r="E246" s="9" t="str">
        <f>IF(AND(C246=""),"",IF(AND($Y$246=""),"",ROUND(C246*Master!H$5%,0)))</f>
        <v/>
      </c>
      <c r="F246" s="9" t="str">
        <f t="shared" ref="F246:F248" si="364">IF(AND(C246=""),"",SUM(C246:E246))</f>
        <v/>
      </c>
      <c r="G246" s="9" t="str">
        <f>IF(ISNA(VLOOKUP($Y$246,Master!A$8:N$127,5,FALSE)),"",VLOOKUP($Y$246,Master!A$8:AH$127,5,FALSE))</f>
        <v/>
      </c>
      <c r="H246" s="9" t="str">
        <f>IF(AND(G246=""),"",IF(AND($Y$246=""),"",ROUND(G246*Master!C$4%,0)))</f>
        <v/>
      </c>
      <c r="I246" s="9" t="str">
        <f>IF(AND(G246=""),"",IF(AND($Y$246=""),"",ROUND(G246*Master!H$4%,0)))</f>
        <v/>
      </c>
      <c r="J246" s="9" t="str">
        <f t="shared" ref="J246:J248" si="365">IF(AND(C246=""),"",SUM(G246:I246))</f>
        <v/>
      </c>
      <c r="K246" s="9" t="str">
        <f t="shared" ref="K246:K248" si="366">IF(AND(C246=""),"",IF(AND(G246=""),"",C246-G246))</f>
        <v/>
      </c>
      <c r="L246" s="9" t="str">
        <f t="shared" ref="L246:L248" si="367">IF(AND(D246=""),"",IF(AND(H246=""),"",D246-H246))</f>
        <v/>
      </c>
      <c r="M246" s="9" t="str">
        <f t="shared" ref="M246:M248" si="368">IF(AND(E246=""),"",IF(AND(I246=""),"",E246-I246))</f>
        <v/>
      </c>
      <c r="N246" s="9" t="str">
        <f t="shared" ref="N246:N248" si="369">IF(AND(F246=""),"",IF(AND(J246=""),"",F246-J246))</f>
        <v/>
      </c>
      <c r="O246" s="9" t="str">
        <f>IF(AND(C246=""),"",N246-P246)</f>
        <v/>
      </c>
      <c r="P246" s="9" t="str">
        <f>IF(AND($Y$246=""),"",IF(AND(N246=""),"",ROUND(N246*$X$247%,0)))</f>
        <v/>
      </c>
      <c r="Q246" s="9" t="str">
        <f>IF(AND($Y$246=""),"",IF(AND(C246=""),"",IF(AND(O246=""),"",SUM(O246,P246))))</f>
        <v/>
      </c>
      <c r="R246" s="9" t="str">
        <f>IF(AND(N246=""),"",IF(AND(Q246=""),"",N246-Q246))</f>
        <v/>
      </c>
      <c r="S246" s="20"/>
      <c r="X246" s="61" t="s">
        <v>49</v>
      </c>
      <c r="Y246" s="64" t="str">
        <f>IF(AND(Master!B28="",Master!E28=""),"",21)</f>
        <v/>
      </c>
    </row>
    <row r="247" spans="1:25" ht="21" customHeight="1">
      <c r="A247" s="8">
        <v>2</v>
      </c>
      <c r="B247" s="23" t="str">
        <f>IFERROR(DATE(YEAR(B246),MONTH(B246)+1,DAY(B246)),"")</f>
        <v/>
      </c>
      <c r="C247" s="9" t="str">
        <f>IF(AND($Y$246=""),"",C246)</f>
        <v/>
      </c>
      <c r="D247" s="9" t="str">
        <f>IF(AND(C247=""),"",IF(AND($Y$246=""),"",ROUND(C247*Master!C$5%,0)))</f>
        <v/>
      </c>
      <c r="E247" s="9" t="str">
        <f>IF(AND(C247=""),"",IF(AND($Y$246=""),"",ROUND(C247*Master!H$5%,0)))</f>
        <v/>
      </c>
      <c r="F247" s="9" t="str">
        <f t="shared" si="364"/>
        <v/>
      </c>
      <c r="G247" s="9" t="str">
        <f>IF(C247="","",IF(AND($Y$246=""),"",G246))</f>
        <v/>
      </c>
      <c r="H247" s="9" t="str">
        <f>IF(AND(G247=""),"",IF(AND($Y$246=""),"",ROUND(G247*Master!C$4%,0)))</f>
        <v/>
      </c>
      <c r="I247" s="9" t="str">
        <f>IF(AND(G247=""),"",IF(AND($Y$246=""),"",ROUND(G247*Master!H$4%,0)))</f>
        <v/>
      </c>
      <c r="J247" s="9" t="str">
        <f t="shared" si="365"/>
        <v/>
      </c>
      <c r="K247" s="9" t="str">
        <f t="shared" si="366"/>
        <v/>
      </c>
      <c r="L247" s="9" t="str">
        <f t="shared" si="367"/>
        <v/>
      </c>
      <c r="M247" s="9" t="str">
        <f t="shared" si="368"/>
        <v/>
      </c>
      <c r="N247" s="9" t="str">
        <f t="shared" si="369"/>
        <v/>
      </c>
      <c r="O247" s="9" t="str">
        <f t="shared" ref="O247" si="370">IF(AND(C247=""),"",N247-P247)</f>
        <v/>
      </c>
      <c r="P247" s="9" t="str">
        <f t="shared" ref="P247" si="371">IF(AND($Y$246=""),"",IF(AND(N247=""),"",ROUND(N247*$X$247%,0)))</f>
        <v/>
      </c>
      <c r="Q247" s="9" t="str">
        <f>IF(AND($Y$246=""),"",IF(AND(C247=""),"",IF(AND(O247=""),"",SUM(O247,P247))))</f>
        <v/>
      </c>
      <c r="R247" s="9" t="str">
        <f t="shared" ref="R247:R248" si="372">IF(AND(N247=""),"",IF(AND(Q247=""),"",N247-Q247))</f>
        <v/>
      </c>
      <c r="S247" s="20"/>
      <c r="X247" s="4" t="str">
        <f>IF(ISNA(VLOOKUP($Y$246,Master!A$8:N$127,7,FALSE)),"",VLOOKUP($Y$246,Master!A$8:AH$127,7,FALSE))</f>
        <v/>
      </c>
    </row>
    <row r="248" spans="1:25" ht="21" customHeight="1">
      <c r="A248" s="8">
        <v>3</v>
      </c>
      <c r="B248" s="23" t="str">
        <f>IFERROR(DATE(YEAR(B247),MONTH(B247)+1,DAY(B247)),"")</f>
        <v/>
      </c>
      <c r="C248" s="9"/>
      <c r="D248" s="9" t="str">
        <f>IF(AND(C248=""),"",IF(AND($Y$246=""),"",ROUND(C248*Master!C$5%,0)))</f>
        <v/>
      </c>
      <c r="E248" s="9" t="str">
        <f>IF(AND(C248=""),"",IF(AND($Y$246=""),"",ROUND(C248*Master!H$5%,0)))</f>
        <v/>
      </c>
      <c r="F248" s="9" t="str">
        <f t="shared" si="364"/>
        <v/>
      </c>
      <c r="G248" s="9" t="str">
        <f t="shared" ref="G248:G249" si="373">IF(C248="","",IF(AND($Y$246=""),"",G247))</f>
        <v/>
      </c>
      <c r="H248" s="9" t="str">
        <f>IF(AND(G248=""),"",IF(AND($Y$246=""),"",ROUND(G248*Master!C$4%,0)))</f>
        <v/>
      </c>
      <c r="I248" s="9" t="str">
        <f>IF(AND(G248=""),"",IF(AND($Y$246=""),"",ROUND(G248*Master!H$4%,0)))</f>
        <v/>
      </c>
      <c r="J248" s="9" t="str">
        <f t="shared" si="365"/>
        <v/>
      </c>
      <c r="K248" s="9" t="str">
        <f t="shared" si="366"/>
        <v/>
      </c>
      <c r="L248" s="9" t="str">
        <f t="shared" si="367"/>
        <v/>
      </c>
      <c r="M248" s="9" t="str">
        <f t="shared" si="368"/>
        <v/>
      </c>
      <c r="N248" s="9" t="str">
        <f t="shared" si="369"/>
        <v/>
      </c>
      <c r="O248" s="9">
        <v>0</v>
      </c>
      <c r="P248" s="9" t="str">
        <f>IF(AND($Y$246=""),"",IF(AND(N248=""),"",ROUND(N248*$X$247%,0)))</f>
        <v/>
      </c>
      <c r="Q248" s="9" t="str">
        <f>IF(AND($Y$246=""),"",IF(AND(C248=""),"",IF(AND(O248=""),"",SUM(O248,P248))))</f>
        <v/>
      </c>
      <c r="R248" s="9" t="str">
        <f t="shared" si="372"/>
        <v/>
      </c>
      <c r="S248" s="20"/>
    </row>
    <row r="249" spans="1:25" ht="21" customHeight="1">
      <c r="A249" s="8">
        <v>4</v>
      </c>
      <c r="B249" s="23" t="str">
        <f>IFERROR(DATE(YEAR(B248),MONTH(B248)+1,DAY(B248)),"")</f>
        <v/>
      </c>
      <c r="C249" s="9"/>
      <c r="D249" s="9" t="str">
        <f>IF(AND(C249=""),"",IF(AND($Y$246=""),"",ROUND(C249*Master!C$5%,0)))</f>
        <v/>
      </c>
      <c r="E249" s="9" t="str">
        <f>IF(AND(C249=""),"",IF(AND($Y$246=""),"",ROUND(C249*Master!H$5%,0)))</f>
        <v/>
      </c>
      <c r="F249" s="9" t="str">
        <f t="shared" ref="F249" si="374">IF(AND(C249=""),"",SUM(C249:E249))</f>
        <v/>
      </c>
      <c r="G249" s="9" t="str">
        <f t="shared" si="373"/>
        <v/>
      </c>
      <c r="H249" s="9" t="str">
        <f>IF(AND(G249=""),"",IF(AND($Y$246=""),"",ROUND(G249*Master!C$4%,0)))</f>
        <v/>
      </c>
      <c r="I249" s="9" t="str">
        <f>IF(AND(G249=""),"",IF(AND($Y$246=""),"",ROUND(G249*Master!H$4%,0)))</f>
        <v/>
      </c>
      <c r="J249" s="9" t="str">
        <f t="shared" ref="J249" si="375">IF(AND(C249=""),"",SUM(G249:I249))</f>
        <v/>
      </c>
      <c r="K249" s="9" t="str">
        <f t="shared" ref="K249" si="376">IF(AND(C249=""),"",IF(AND(G249=""),"",C249-G249))</f>
        <v/>
      </c>
      <c r="L249" s="9" t="str">
        <f t="shared" ref="L249" si="377">IF(AND(D249=""),"",IF(AND(H249=""),"",D249-H249))</f>
        <v/>
      </c>
      <c r="M249" s="9" t="str">
        <f t="shared" ref="M249" si="378">IF(AND(E249=""),"",IF(AND(I249=""),"",E249-I249))</f>
        <v/>
      </c>
      <c r="N249" s="9" t="str">
        <f t="shared" ref="N249" si="379">IF(AND(F249=""),"",IF(AND(J249=""),"",F249-J249))</f>
        <v/>
      </c>
      <c r="O249" s="9">
        <v>0</v>
      </c>
      <c r="P249" s="9" t="str">
        <f>IF(AND($Y$246=""),"",IF(AND(N249=""),"",ROUND(N249*$X$247%,0)))</f>
        <v/>
      </c>
      <c r="Q249" s="9" t="str">
        <f>IF(AND($Y$246=""),"",IF(AND(C249=""),"",IF(AND(O249=""),"",SUM(O249,P249))))</f>
        <v/>
      </c>
      <c r="R249" s="9" t="str">
        <f t="shared" ref="R249" si="380">IF(AND(N249=""),"",IF(AND(Q249=""),"",N249-Q249))</f>
        <v/>
      </c>
      <c r="S249" s="20"/>
    </row>
    <row r="250" spans="1:25" ht="30.75" customHeight="1">
      <c r="A250" s="153" t="s">
        <v>9</v>
      </c>
      <c r="B250" s="154"/>
      <c r="C250" s="63" t="str">
        <f>IF(AND($Y$246=""),"",SUM(C246:C249))</f>
        <v/>
      </c>
      <c r="D250" s="63" t="str">
        <f t="shared" ref="D250:R250" si="381">IF(AND($Y$246=""),"",SUM(D246:D249))</f>
        <v/>
      </c>
      <c r="E250" s="63" t="str">
        <f t="shared" si="381"/>
        <v/>
      </c>
      <c r="F250" s="63" t="str">
        <f t="shared" si="381"/>
        <v/>
      </c>
      <c r="G250" s="63" t="str">
        <f t="shared" si="381"/>
        <v/>
      </c>
      <c r="H250" s="63" t="str">
        <f t="shared" si="381"/>
        <v/>
      </c>
      <c r="I250" s="63" t="str">
        <f t="shared" si="381"/>
        <v/>
      </c>
      <c r="J250" s="63" t="str">
        <f t="shared" si="381"/>
        <v/>
      </c>
      <c r="K250" s="63" t="str">
        <f t="shared" si="381"/>
        <v/>
      </c>
      <c r="L250" s="63" t="str">
        <f t="shared" si="381"/>
        <v/>
      </c>
      <c r="M250" s="63" t="str">
        <f t="shared" si="381"/>
        <v/>
      </c>
      <c r="N250" s="63" t="str">
        <f t="shared" si="381"/>
        <v/>
      </c>
      <c r="O250" s="63" t="str">
        <f t="shared" si="381"/>
        <v/>
      </c>
      <c r="P250" s="63" t="str">
        <f t="shared" si="381"/>
        <v/>
      </c>
      <c r="Q250" s="63" t="str">
        <f t="shared" si="381"/>
        <v/>
      </c>
      <c r="R250" s="63" t="str">
        <f t="shared" si="381"/>
        <v/>
      </c>
      <c r="S250" s="49"/>
    </row>
    <row r="251" spans="1:25" ht="30.75" customHeight="1">
      <c r="A251" s="73"/>
      <c r="B251" s="73"/>
      <c r="C251" s="74"/>
      <c r="D251" s="74"/>
      <c r="E251" s="74"/>
      <c r="F251" s="74"/>
      <c r="G251" s="74"/>
      <c r="H251" s="74"/>
      <c r="I251" s="74"/>
      <c r="J251" s="74"/>
      <c r="K251" s="74"/>
      <c r="L251" s="74"/>
      <c r="M251" s="74"/>
      <c r="N251" s="74"/>
      <c r="O251" s="74"/>
      <c r="P251" s="74"/>
      <c r="Q251" s="74"/>
      <c r="R251" s="74"/>
      <c r="S251" s="75"/>
    </row>
    <row r="252" spans="1:25" ht="18.75">
      <c r="A252" s="21"/>
      <c r="B252" s="58"/>
      <c r="C252" s="58"/>
      <c r="D252" s="58"/>
      <c r="E252" s="58"/>
      <c r="F252" s="58"/>
      <c r="G252" s="58"/>
      <c r="H252" s="59"/>
      <c r="I252" s="59"/>
      <c r="J252" s="59"/>
      <c r="K252" s="66"/>
      <c r="L252" s="66"/>
      <c r="M252" s="66"/>
      <c r="N252" s="66"/>
      <c r="O252" s="138" t="s">
        <v>42</v>
      </c>
      <c r="P252" s="138"/>
      <c r="Q252" s="138"/>
      <c r="R252" s="138"/>
      <c r="S252" s="138"/>
    </row>
    <row r="253" spans="1:25" ht="18.75">
      <c r="A253" s="1"/>
      <c r="B253" s="24" t="s">
        <v>19</v>
      </c>
      <c r="C253" s="139"/>
      <c r="D253" s="139"/>
      <c r="E253" s="139"/>
      <c r="F253" s="139"/>
      <c r="G253" s="139"/>
      <c r="H253" s="25"/>
      <c r="I253" s="143" t="s">
        <v>20</v>
      </c>
      <c r="J253" s="143"/>
      <c r="K253" s="141"/>
      <c r="L253" s="141"/>
      <c r="M253" s="141"/>
      <c r="O253" s="138"/>
      <c r="P253" s="138"/>
      <c r="Q253" s="138"/>
      <c r="R253" s="138"/>
      <c r="S253" s="138"/>
    </row>
    <row r="254" spans="1:25" ht="18.75">
      <c r="A254" s="1"/>
      <c r="B254" s="140" t="s">
        <v>21</v>
      </c>
      <c r="C254" s="140"/>
      <c r="D254" s="140"/>
      <c r="E254" s="140"/>
      <c r="F254" s="140"/>
      <c r="G254" s="140"/>
      <c r="H254" s="140"/>
      <c r="I254" s="27"/>
      <c r="J254" s="26"/>
      <c r="K254" s="26"/>
      <c r="L254" s="26"/>
      <c r="M254" s="26"/>
    </row>
    <row r="255" spans="1:25" ht="18.75">
      <c r="A255" s="22">
        <v>1</v>
      </c>
      <c r="B255" s="142" t="s">
        <v>22</v>
      </c>
      <c r="C255" s="142"/>
      <c r="D255" s="142"/>
      <c r="E255" s="142"/>
      <c r="F255" s="142"/>
      <c r="G255" s="142"/>
      <c r="H255" s="142"/>
      <c r="I255" s="28"/>
      <c r="J255" s="26"/>
      <c r="K255" s="26"/>
      <c r="L255" s="26"/>
      <c r="M255" s="26"/>
    </row>
    <row r="256" spans="1:25" ht="18.75">
      <c r="A256" s="2">
        <v>2</v>
      </c>
      <c r="B256" s="142" t="s">
        <v>23</v>
      </c>
      <c r="C256" s="142"/>
      <c r="D256" s="142"/>
      <c r="E256" s="142"/>
      <c r="F256" s="142"/>
      <c r="G256" s="132"/>
      <c r="H256" s="132"/>
      <c r="I256" s="132"/>
      <c r="J256" s="132"/>
      <c r="K256" s="132"/>
      <c r="L256" s="132"/>
      <c r="M256" s="132"/>
    </row>
    <row r="257" spans="1:27" ht="18.75">
      <c r="A257" s="3">
        <v>3</v>
      </c>
      <c r="B257" s="142" t="s">
        <v>24</v>
      </c>
      <c r="C257" s="142"/>
      <c r="D257" s="142"/>
      <c r="E257" s="29"/>
      <c r="F257" s="28"/>
      <c r="G257" s="28"/>
      <c r="H257" s="30"/>
      <c r="I257" s="31"/>
      <c r="J257" s="26"/>
      <c r="K257" s="26"/>
      <c r="L257" s="26"/>
      <c r="M257" s="26"/>
    </row>
    <row r="258" spans="1:27" ht="15.75">
      <c r="O258" s="138" t="s">
        <v>42</v>
      </c>
      <c r="P258" s="138"/>
      <c r="Q258" s="138"/>
      <c r="R258" s="138"/>
      <c r="S258" s="138"/>
    </row>
    <row r="260" spans="1:27" ht="18" customHeight="1">
      <c r="A260" s="148" t="str">
        <f>A223</f>
        <v xml:space="preserve">DA (46% to 50%) Drawn Statement  </v>
      </c>
      <c r="B260" s="148"/>
      <c r="C260" s="148"/>
      <c r="D260" s="148"/>
      <c r="E260" s="148"/>
      <c r="F260" s="148"/>
      <c r="G260" s="148"/>
      <c r="H260" s="148"/>
      <c r="I260" s="148"/>
      <c r="J260" s="148"/>
      <c r="K260" s="148"/>
      <c r="L260" s="148"/>
      <c r="M260" s="148"/>
      <c r="N260" s="148"/>
      <c r="O260" s="148"/>
      <c r="P260" s="148"/>
      <c r="Q260" s="148"/>
      <c r="R260" s="148"/>
      <c r="S260" s="148"/>
      <c r="W260" s="4">
        <f>IF(ISNA(VLOOKUP($Y$3,Master!A$8:N$127,4,FALSE)),"",VLOOKUP($Y$3,Master!A$8:AH$127,4,FALSE))</f>
        <v>2</v>
      </c>
      <c r="X260" s="4" t="str">
        <f>IF(ISNA(VLOOKUP($Y$3,Master!A$8:N$127,6,FALSE)),"",VLOOKUP($Y$3,Master!A$8:AH$127,6,FALSE))</f>
        <v>GPF-2004</v>
      </c>
      <c r="Y260" s="4" t="s">
        <v>45</v>
      </c>
      <c r="Z260" s="4" t="s">
        <v>18</v>
      </c>
      <c r="AA260" s="4" t="str">
        <f>IF(ISNA(VLOOKUP($Y$262,Master!A$8:N$127,7,FALSE)),"",VLOOKUP($Y$262,Master!A$8:AH$127,7,FALSE))</f>
        <v/>
      </c>
    </row>
    <row r="261" spans="1:27" ht="18">
      <c r="A261" s="131" t="str">
        <f>IF(AND(Master!C241=""),"",CONCATENATE("Office Of  ",Master!C241))</f>
        <v/>
      </c>
      <c r="B261" s="131"/>
      <c r="C261" s="131"/>
      <c r="D261" s="131"/>
      <c r="E261" s="131"/>
      <c r="F261" s="131"/>
      <c r="G261" s="131"/>
      <c r="H261" s="131"/>
      <c r="I261" s="131"/>
      <c r="J261" s="131"/>
      <c r="K261" s="131"/>
      <c r="L261" s="131"/>
      <c r="M261" s="131"/>
      <c r="N261" s="131"/>
      <c r="O261" s="131"/>
      <c r="P261" s="131"/>
      <c r="Q261" s="131"/>
      <c r="R261" s="131"/>
      <c r="S261" s="131"/>
      <c r="X261" s="4">
        <f>IF(ISNA(VLOOKUP($Y$3,Master!A$8:N$127,8,FALSE)),"",VLOOKUP($Y$3,Master!A$8:AH$127,8,FALSE))</f>
        <v>45292</v>
      </c>
      <c r="Y261" s="4" t="s">
        <v>43</v>
      </c>
    </row>
    <row r="262" spans="1:27" ht="18.75">
      <c r="E262" s="133" t="s">
        <v>10</v>
      </c>
      <c r="F262" s="133"/>
      <c r="G262" s="133"/>
      <c r="H262" s="133"/>
      <c r="I262" s="133"/>
      <c r="J262" s="132" t="str">
        <f>IF(ISNA(VLOOKUP($Y$262,Master!A$8:N$127,2,FALSE)),"",VLOOKUP($Y$262,Master!A$8:AH$127,2,FALSE))</f>
        <v/>
      </c>
      <c r="K262" s="132"/>
      <c r="L262" s="132"/>
      <c r="M262" s="132"/>
      <c r="N262" s="132"/>
      <c r="O262" s="60" t="s">
        <v>31</v>
      </c>
      <c r="P262" s="132" t="str">
        <f>IF(ISNA(VLOOKUP($Y$262,Master!A$8:N$127,3,FALSE)),"",VLOOKUP($Y$262,Master!A$8:AH$127,3,FALSE))</f>
        <v/>
      </c>
      <c r="Q262" s="132"/>
      <c r="R262" s="132"/>
      <c r="S262" s="132"/>
      <c r="X262" s="61" t="s">
        <v>49</v>
      </c>
      <c r="Y262" s="64" t="str">
        <f>IF(AND(Master!B29="",Master!E29=""),"",22)</f>
        <v/>
      </c>
    </row>
    <row r="263" spans="1:27" ht="8.25" customHeight="1">
      <c r="E263" s="19"/>
      <c r="F263" s="52"/>
      <c r="G263" s="22"/>
      <c r="H263" s="22"/>
      <c r="I263" s="22"/>
      <c r="J263" s="5"/>
      <c r="K263" s="5"/>
      <c r="L263" s="5"/>
      <c r="M263" s="5"/>
      <c r="N263" s="5"/>
      <c r="O263" s="6"/>
      <c r="P263" s="6"/>
    </row>
    <row r="264" spans="1:27" ht="24.75" customHeight="1">
      <c r="A264" s="157" t="s">
        <v>0</v>
      </c>
      <c r="B264" s="158" t="s">
        <v>3</v>
      </c>
      <c r="C264" s="159" t="s">
        <v>5</v>
      </c>
      <c r="D264" s="159"/>
      <c r="E264" s="159"/>
      <c r="F264" s="159"/>
      <c r="G264" s="159" t="s">
        <v>6</v>
      </c>
      <c r="H264" s="159"/>
      <c r="I264" s="159"/>
      <c r="J264" s="159"/>
      <c r="K264" s="159" t="s">
        <v>7</v>
      </c>
      <c r="L264" s="159"/>
      <c r="M264" s="159"/>
      <c r="N264" s="159"/>
      <c r="O264" s="149" t="s">
        <v>8</v>
      </c>
      <c r="P264" s="150"/>
      <c r="Q264" s="151"/>
      <c r="R264" s="162" t="s">
        <v>54</v>
      </c>
      <c r="S264" s="162" t="s">
        <v>40</v>
      </c>
    </row>
    <row r="265" spans="1:27" ht="69" customHeight="1">
      <c r="A265" s="157"/>
      <c r="B265" s="158"/>
      <c r="C265" s="54" t="s">
        <v>29</v>
      </c>
      <c r="D265" s="55" t="s">
        <v>1</v>
      </c>
      <c r="E265" s="56" t="s">
        <v>2</v>
      </c>
      <c r="F265" s="54" t="s">
        <v>46</v>
      </c>
      <c r="G265" s="54" t="s">
        <v>29</v>
      </c>
      <c r="H265" s="55" t="s">
        <v>1</v>
      </c>
      <c r="I265" s="56" t="s">
        <v>2</v>
      </c>
      <c r="J265" s="54" t="s">
        <v>47</v>
      </c>
      <c r="K265" s="54" t="s">
        <v>4</v>
      </c>
      <c r="L265" s="55" t="s">
        <v>1</v>
      </c>
      <c r="M265" s="56" t="s">
        <v>2</v>
      </c>
      <c r="N265" s="57" t="s">
        <v>48</v>
      </c>
      <c r="O265" s="53" t="s">
        <v>69</v>
      </c>
      <c r="P265" s="65" t="s">
        <v>41</v>
      </c>
      <c r="Q265" s="57" t="s">
        <v>53</v>
      </c>
      <c r="R265" s="162"/>
      <c r="S265" s="162"/>
    </row>
    <row r="266" spans="1:27" ht="18" customHeight="1">
      <c r="A266" s="7">
        <v>1</v>
      </c>
      <c r="B266" s="7">
        <v>2</v>
      </c>
      <c r="C266" s="7">
        <v>3</v>
      </c>
      <c r="D266" s="7">
        <v>4</v>
      </c>
      <c r="E266" s="7">
        <v>5</v>
      </c>
      <c r="F266" s="7">
        <v>6</v>
      </c>
      <c r="G266" s="7">
        <v>7</v>
      </c>
      <c r="H266" s="7">
        <v>8</v>
      </c>
      <c r="I266" s="7">
        <v>9</v>
      </c>
      <c r="J266" s="7">
        <v>10</v>
      </c>
      <c r="K266" s="7">
        <v>11</v>
      </c>
      <c r="L266" s="7">
        <v>12</v>
      </c>
      <c r="M266" s="7">
        <v>13</v>
      </c>
      <c r="N266" s="7">
        <v>14</v>
      </c>
      <c r="O266" s="7">
        <v>15</v>
      </c>
      <c r="P266" s="7">
        <v>17</v>
      </c>
      <c r="Q266" s="7">
        <v>18</v>
      </c>
      <c r="R266" s="7">
        <v>19</v>
      </c>
      <c r="S266" s="7">
        <v>20</v>
      </c>
    </row>
    <row r="267" spans="1:27" ht="21" customHeight="1">
      <c r="A267" s="8">
        <v>1</v>
      </c>
      <c r="B267" s="23" t="str">
        <f>IFERROR(IF(ISNA(VLOOKUP(Y262,Master!A$8:N$127,8,FALSE)),"",VLOOKUP($Y262,Master!A$8:AH$127,8,FALSE)),"")</f>
        <v/>
      </c>
      <c r="C267" s="9" t="str">
        <f>IF(ISNA(VLOOKUP(Y262,Master!A$8:N$127,5,FALSE)),"",VLOOKUP($Y$262,Master!A$8:AH$127,5,FALSE))</f>
        <v/>
      </c>
      <c r="D267" s="9" t="str">
        <f>IF(AND(C267=""),"",IF(AND($Y$262=""),"",ROUND(C267*Master!C$5%,0)))</f>
        <v/>
      </c>
      <c r="E267" s="9" t="str">
        <f>IF(AND(C267=""),"",IF(AND($Y$262=""),"",ROUND(C267*Master!H$5%,0)))</f>
        <v/>
      </c>
      <c r="F267" s="9" t="str">
        <f t="shared" ref="F267" si="382">IF(AND(C267=""),"",SUM(C267:E267))</f>
        <v/>
      </c>
      <c r="G267" s="9" t="str">
        <f>IF(ISNA(VLOOKUP($Y$262,Master!A$8:N$127,5,FALSE)),"",VLOOKUP($Y$262,Master!A$8:AH$127,5,FALSE))</f>
        <v/>
      </c>
      <c r="H267" s="9" t="str">
        <f>IF(AND(G267=""),"",IF(AND($Y$262=""),"",ROUND(G267*Master!C$4%,0)))</f>
        <v/>
      </c>
      <c r="I267" s="9" t="str">
        <f>IF(AND(G267=""),"",IF(AND($Y$262=""),"",ROUND(G267*Master!H$4%,0)))</f>
        <v/>
      </c>
      <c r="J267" s="9" t="str">
        <f t="shared" ref="J267:J268" si="383">IF(AND(C267=""),"",SUM(G267:I267))</f>
        <v/>
      </c>
      <c r="K267" s="9" t="str">
        <f t="shared" ref="K267:K269" si="384">IF(AND(C267=""),"",IF(AND(G267=""),"",C267-G267))</f>
        <v/>
      </c>
      <c r="L267" s="9" t="str">
        <f t="shared" ref="L267:L269" si="385">IF(AND(D267=""),"",IF(AND(H267=""),"",D267-H267))</f>
        <v/>
      </c>
      <c r="M267" s="9" t="str">
        <f t="shared" ref="M267:M268" si="386">IF(AND(E267=""),"",IF(AND(I267=""),"",E267-I267))</f>
        <v/>
      </c>
      <c r="N267" s="9" t="str">
        <f t="shared" ref="N267:N268" si="387">IF(AND(F267=""),"",IF(AND(J267=""),"",F267-J267))</f>
        <v/>
      </c>
      <c r="O267" s="9" t="str">
        <f>IF(AND(C267=""),"",N267-P267)</f>
        <v/>
      </c>
      <c r="P267" s="9" t="str">
        <f>IF(AND($Y$262=""),"",IF(AND(N267=""),"",ROUND(N267*AA$260%,0)))</f>
        <v/>
      </c>
      <c r="Q267" s="9" t="str">
        <f>IF(AND($Y$262=""),"",IF(AND(C267=""),"",IF(AND(O267=""),"",SUM(O267,P267))))</f>
        <v/>
      </c>
      <c r="R267" s="9" t="str">
        <f>IF(AND(N267=""),"",IF(AND(Q267=""),"",N267-Q267))</f>
        <v/>
      </c>
      <c r="S267" s="20"/>
    </row>
    <row r="268" spans="1:27" ht="21" customHeight="1">
      <c r="A268" s="8">
        <v>2</v>
      </c>
      <c r="B268" s="23" t="str">
        <f>IFERROR(DATE(YEAR(B267),MONTH(B267)+1,DAY(B267)),"")</f>
        <v/>
      </c>
      <c r="C268" s="9" t="str">
        <f>IF(AND($Y$262=""),"",C267)</f>
        <v/>
      </c>
      <c r="D268" s="9" t="str">
        <f>IF(AND(C268=""),"",IF(AND($Y$262=""),"",ROUND(C268*Master!C$5%,0)))</f>
        <v/>
      </c>
      <c r="E268" s="9" t="str">
        <f>IF(AND(C268=""),"",IF(AND($Y$262=""),"",ROUND(C268*Master!H$5%,0)))</f>
        <v/>
      </c>
      <c r="F268" s="9" t="str">
        <f>IF(AND(C268=""),"",SUM(C268:E268))</f>
        <v/>
      </c>
      <c r="G268" s="9" t="str">
        <f>IF(C268="","",IF(AND($Y$262=""),"",Arrear!C247))</f>
        <v/>
      </c>
      <c r="H268" s="9" t="str">
        <f>IF(AND(G268=""),"",IF(AND($Y$262=""),"",ROUND(G268*Master!C$4%,0)))</f>
        <v/>
      </c>
      <c r="I268" s="9" t="str">
        <f>IF(AND(G268=""),"",IF(AND($Y$262=""),"",ROUND(G268*Master!H$4%,0)))</f>
        <v/>
      </c>
      <c r="J268" s="9" t="str">
        <f t="shared" si="383"/>
        <v/>
      </c>
      <c r="K268" s="9" t="str">
        <f t="shared" si="384"/>
        <v/>
      </c>
      <c r="L268" s="9" t="str">
        <f t="shared" si="385"/>
        <v/>
      </c>
      <c r="M268" s="9" t="str">
        <f t="shared" si="386"/>
        <v/>
      </c>
      <c r="N268" s="9" t="str">
        <f t="shared" si="387"/>
        <v/>
      </c>
      <c r="O268" s="9" t="str">
        <f t="shared" ref="O268" si="388">IF(AND(C268=""),"",N268-P268)</f>
        <v/>
      </c>
      <c r="P268" s="9" t="str">
        <f t="shared" ref="P268:P269" si="389">IF(AND($Y$262=""),"",IF(AND(N268=""),"",ROUND(N268*AA$260%,0)))</f>
        <v/>
      </c>
      <c r="Q268" s="9" t="str">
        <f>IF(AND($Y$262=""),"",IF(AND(C268=""),"",IF(AND(O268=""),"",SUM(O268,P268))))</f>
        <v/>
      </c>
      <c r="R268" s="9" t="str">
        <f t="shared" ref="R268:R269" si="390">IF(AND(N268=""),"",IF(AND(Q268=""),"",N268-Q268))</f>
        <v/>
      </c>
      <c r="S268" s="20"/>
    </row>
    <row r="269" spans="1:27" ht="21" customHeight="1">
      <c r="A269" s="8">
        <v>3</v>
      </c>
      <c r="B269" s="23" t="str">
        <f>IFERROR(DATE(YEAR(B268),MONTH(B268)+1,DAY(B268)),"")</f>
        <v/>
      </c>
      <c r="C269" s="9"/>
      <c r="D269" s="9" t="str">
        <f>IF(AND(C269=""),"",IF(AND($Y$262=""),"",ROUND(C269*Master!C$5%,0)))</f>
        <v/>
      </c>
      <c r="E269" s="9" t="str">
        <f>IF(AND(C269=""),"",IF(AND($Y$262=""),"",ROUND(C269*Master!H$5%,0)))</f>
        <v/>
      </c>
      <c r="F269" s="9" t="str">
        <f t="shared" ref="F269" si="391">IF(AND(C269=""),"",SUM(C269:E269))</f>
        <v/>
      </c>
      <c r="G269" s="9" t="str">
        <f>IF(C269="","",IF(AND($Y$262=""),"",Arrear!C248))</f>
        <v/>
      </c>
      <c r="H269" s="9" t="str">
        <f>IF(AND(G269=""),"",IF(AND($Y$262=""),"",ROUND(G269*Master!C$4%,0)))</f>
        <v/>
      </c>
      <c r="I269" s="9" t="str">
        <f>IF(AND(G269=""),"",IF(AND($Y$262=""),"",ROUND(G269*Master!H$4%,0)))</f>
        <v/>
      </c>
      <c r="J269" s="9" t="str">
        <f>IF(AND(C269=""),"",SUM(G269:I269))</f>
        <v/>
      </c>
      <c r="K269" s="9" t="str">
        <f t="shared" si="384"/>
        <v/>
      </c>
      <c r="L269" s="9" t="str">
        <f t="shared" si="385"/>
        <v/>
      </c>
      <c r="M269" s="9" t="str">
        <f>IF(AND(E269=""),"",IF(AND(I269=""),"",E269-I269))</f>
        <v/>
      </c>
      <c r="N269" s="9" t="str">
        <f>IF(AND(F269=""),"",IF(AND(J269=""),"",F269-J269))</f>
        <v/>
      </c>
      <c r="O269" s="9">
        <v>0</v>
      </c>
      <c r="P269" s="9" t="str">
        <f t="shared" si="389"/>
        <v/>
      </c>
      <c r="Q269" s="9" t="str">
        <f>IF(AND($Y$262=""),"",IF(AND(C269=""),"",IF(AND(O269=""),"",SUM(O269,P269))))</f>
        <v/>
      </c>
      <c r="R269" s="9" t="str">
        <f t="shared" si="390"/>
        <v/>
      </c>
      <c r="S269" s="20"/>
    </row>
    <row r="270" spans="1:27" ht="21" customHeight="1">
      <c r="A270" s="8">
        <v>4</v>
      </c>
      <c r="B270" s="23" t="str">
        <f>IFERROR(DATE(YEAR(B269),MONTH(B269)+1,DAY(B269)),"")</f>
        <v/>
      </c>
      <c r="C270" s="9"/>
      <c r="D270" s="9" t="str">
        <f>IF(AND(C270=""),"",IF(AND($Y$262=""),"",ROUND(C270*Master!C$5%,0)))</f>
        <v/>
      </c>
      <c r="E270" s="9" t="str">
        <f>IF(AND(C270=""),"",IF(AND($Y$262=""),"",ROUND(C270*Master!H$5%,0)))</f>
        <v/>
      </c>
      <c r="F270" s="9" t="str">
        <f t="shared" ref="F270" si="392">IF(AND(C270=""),"",SUM(C270:E270))</f>
        <v/>
      </c>
      <c r="G270" s="9" t="str">
        <f>IF(C270="","",IF(AND($Y$262=""),"",Arrear!C249))</f>
        <v/>
      </c>
      <c r="H270" s="9" t="str">
        <f>IF(AND(G270=""),"",IF(AND($Y$262=""),"",ROUND(G270*Master!C$4%,0)))</f>
        <v/>
      </c>
      <c r="I270" s="9" t="str">
        <f>IF(AND(G270=""),"",IF(AND($Y$262=""),"",ROUND(G270*Master!H$4%,0)))</f>
        <v/>
      </c>
      <c r="J270" s="9" t="str">
        <f>IF(AND(C270=""),"",SUM(G270:I270))</f>
        <v/>
      </c>
      <c r="K270" s="9" t="str">
        <f t="shared" ref="K270" si="393">IF(AND(C270=""),"",IF(AND(G270=""),"",C270-G270))</f>
        <v/>
      </c>
      <c r="L270" s="9" t="str">
        <f t="shared" ref="L270" si="394">IF(AND(D270=""),"",IF(AND(H270=""),"",D270-H270))</f>
        <v/>
      </c>
      <c r="M270" s="9" t="str">
        <f>IF(AND(E270=""),"",IF(AND(I270=""),"",E270-I270))</f>
        <v/>
      </c>
      <c r="N270" s="9" t="str">
        <f>IF(AND(F270=""),"",IF(AND(J270=""),"",F270-J270))</f>
        <v/>
      </c>
      <c r="O270" s="9">
        <v>0</v>
      </c>
      <c r="P270" s="9" t="str">
        <f t="shared" ref="P270" si="395">IF(AND($Y$262=""),"",IF(AND(N270=""),"",ROUND(N270*AA$260%,0)))</f>
        <v/>
      </c>
      <c r="Q270" s="9" t="str">
        <f>IF(AND($Y$262=""),"",IF(AND(C270=""),"",IF(AND(O270=""),"",SUM(O270,P270))))</f>
        <v/>
      </c>
      <c r="R270" s="9" t="str">
        <f t="shared" ref="R270" si="396">IF(AND(N270=""),"",IF(AND(Q270=""),"",N270-Q270))</f>
        <v/>
      </c>
      <c r="S270" s="20"/>
    </row>
    <row r="271" spans="1:27" ht="23.25" customHeight="1">
      <c r="A271" s="153" t="s">
        <v>9</v>
      </c>
      <c r="B271" s="154"/>
      <c r="C271" s="63" t="str">
        <f>IF(AND($Y$262=""),"",SUM(C267:C270))</f>
        <v/>
      </c>
      <c r="D271" s="63" t="str">
        <f t="shared" ref="D271:R271" si="397">IF(AND($Y$262=""),"",SUM(D267:D270))</f>
        <v/>
      </c>
      <c r="E271" s="63" t="str">
        <f t="shared" si="397"/>
        <v/>
      </c>
      <c r="F271" s="63" t="str">
        <f t="shared" si="397"/>
        <v/>
      </c>
      <c r="G271" s="63" t="str">
        <f t="shared" si="397"/>
        <v/>
      </c>
      <c r="H271" s="63" t="str">
        <f t="shared" si="397"/>
        <v/>
      </c>
      <c r="I271" s="63" t="str">
        <f t="shared" si="397"/>
        <v/>
      </c>
      <c r="J271" s="63" t="str">
        <f t="shared" si="397"/>
        <v/>
      </c>
      <c r="K271" s="63" t="str">
        <f t="shared" si="397"/>
        <v/>
      </c>
      <c r="L271" s="63" t="str">
        <f t="shared" si="397"/>
        <v/>
      </c>
      <c r="M271" s="63" t="str">
        <f t="shared" si="397"/>
        <v/>
      </c>
      <c r="N271" s="63" t="str">
        <f t="shared" si="397"/>
        <v/>
      </c>
      <c r="O271" s="63" t="str">
        <f t="shared" si="397"/>
        <v/>
      </c>
      <c r="P271" s="63" t="str">
        <f t="shared" si="397"/>
        <v/>
      </c>
      <c r="Q271" s="63" t="str">
        <f t="shared" si="397"/>
        <v/>
      </c>
      <c r="R271" s="63" t="str">
        <f t="shared" si="397"/>
        <v/>
      </c>
      <c r="S271" s="49"/>
    </row>
    <row r="272" spans="1:27" ht="10.5" customHeight="1">
      <c r="A272" s="73"/>
      <c r="B272" s="73"/>
      <c r="C272" s="74"/>
      <c r="D272" s="74"/>
      <c r="E272" s="74"/>
      <c r="F272" s="74"/>
      <c r="G272" s="74"/>
      <c r="H272" s="74"/>
      <c r="I272" s="74"/>
      <c r="J272" s="74"/>
      <c r="K272" s="74"/>
      <c r="L272" s="74"/>
      <c r="M272" s="74"/>
      <c r="N272" s="74"/>
      <c r="O272" s="74"/>
      <c r="P272" s="74"/>
      <c r="Q272" s="74"/>
      <c r="R272" s="74"/>
      <c r="S272" s="75"/>
    </row>
    <row r="273" spans="1:25" ht="23.25" customHeight="1">
      <c r="E273" s="133" t="s">
        <v>10</v>
      </c>
      <c r="F273" s="133"/>
      <c r="G273" s="133"/>
      <c r="H273" s="133"/>
      <c r="I273" s="133"/>
      <c r="J273" s="132" t="str">
        <f>IF(ISNA(VLOOKUP($Y$275,Master!A$8:N$127,2,FALSE)),"",VLOOKUP($Y$275,Master!A$8:AH$127,2,FALSE))</f>
        <v/>
      </c>
      <c r="K273" s="132"/>
      <c r="L273" s="132"/>
      <c r="M273" s="132"/>
      <c r="N273" s="132"/>
      <c r="O273" s="60" t="s">
        <v>31</v>
      </c>
      <c r="P273" s="132" t="str">
        <f>IF(ISNA(VLOOKUP($Y$275,Master!A$8:N$127,3,FALSE)),"",VLOOKUP($Y$275,Master!A$8:AH$127,3,FALSE))</f>
        <v/>
      </c>
      <c r="Q273" s="132"/>
      <c r="R273" s="132"/>
      <c r="S273" s="132"/>
    </row>
    <row r="274" spans="1:25" ht="9" customHeight="1">
      <c r="E274" s="19"/>
      <c r="F274" s="52"/>
      <c r="G274" s="22"/>
      <c r="H274" s="22"/>
      <c r="I274" s="22"/>
      <c r="J274" s="5"/>
      <c r="K274" s="5"/>
      <c r="L274" s="5"/>
      <c r="M274" s="5"/>
      <c r="N274" s="5"/>
      <c r="O274" s="6"/>
      <c r="P274" s="6"/>
    </row>
    <row r="275" spans="1:25" ht="21" customHeight="1">
      <c r="A275" s="8">
        <v>1</v>
      </c>
      <c r="B275" s="23" t="str">
        <f>IFERROR(IF(ISNA(VLOOKUP(Y275,Master!A$8:N$127,8,FALSE)),"",VLOOKUP($Y275,Master!A$8:AH$127,8,FALSE)),"")</f>
        <v/>
      </c>
      <c r="C275" s="9" t="str">
        <f>IF(ISNA(VLOOKUP($Y$275,Master!A$8:N$127,5,FALSE)),"",VLOOKUP($Y$275,Master!A$8:AH$127,5,FALSE))</f>
        <v/>
      </c>
      <c r="D275" s="9" t="str">
        <f>IF(AND(C275=""),"",IF(AND($Y$275=""),"",ROUND(C275*Master!C$5%,0)))</f>
        <v/>
      </c>
      <c r="E275" s="9" t="str">
        <f>IF(AND(C275=""),"",IF(AND($Y$275=""),"",ROUND(C275*Master!H$5%,0)))</f>
        <v/>
      </c>
      <c r="F275" s="9" t="str">
        <f t="shared" ref="F275:F277" si="398">IF(AND(C275=""),"",SUM(C275:E275))</f>
        <v/>
      </c>
      <c r="G275" s="9" t="str">
        <f>IF(ISNA(VLOOKUP($Y$275,Master!A$8:N$127,5,FALSE)),"",VLOOKUP($Y$275,Master!A$8:AH$127,5,FALSE))</f>
        <v/>
      </c>
      <c r="H275" s="9" t="str">
        <f>IF(AND(G275=""),"",IF(AND($Y$275=""),"",ROUND(G275*Master!C$4%,0)))</f>
        <v/>
      </c>
      <c r="I275" s="9" t="str">
        <f>IF(AND(G275=""),"",IF(AND($Y$275=""),"",ROUND(G275*Master!H$4%,0)))</f>
        <v/>
      </c>
      <c r="J275" s="9" t="str">
        <f t="shared" ref="J275:J277" si="399">IF(AND(C275=""),"",SUM(G275:I275))</f>
        <v/>
      </c>
      <c r="K275" s="9" t="str">
        <f t="shared" ref="K275" si="400">IF(AND(C275=""),"",IF(AND(G275=""),"",C275-G275))</f>
        <v/>
      </c>
      <c r="L275" s="9" t="str">
        <f>IF(AND(D275=""),"",IF(AND(H275=""),"",D275-H275))</f>
        <v/>
      </c>
      <c r="M275" s="9" t="str">
        <f t="shared" ref="M275:M277" si="401">IF(AND(E275=""),"",IF(AND(I275=""),"",E275-I275))</f>
        <v/>
      </c>
      <c r="N275" s="9" t="str">
        <f t="shared" ref="N275:N277" si="402">IF(AND(F275=""),"",IF(AND(J275=""),"",F275-J275))</f>
        <v/>
      </c>
      <c r="O275" s="9" t="str">
        <f>IF(AND(C275=""),"",N275-P275)</f>
        <v/>
      </c>
      <c r="P275" s="9" t="str">
        <f>IF(AND($Y$275=""),"",IF(AND(N275=""),"",ROUND(N275*$X$276%,0)))</f>
        <v/>
      </c>
      <c r="Q275" s="9" t="str">
        <f>IF(AND($Y$275=""),"",IF(AND(C275=""),"",IF(AND(O275=""),"",SUM(O275,P275))))</f>
        <v/>
      </c>
      <c r="R275" s="9" t="str">
        <f>IF(AND(N275=""),"",IF(AND(Q275=""),"",N275-Q275))</f>
        <v/>
      </c>
      <c r="S275" s="20"/>
      <c r="X275" s="61" t="s">
        <v>49</v>
      </c>
      <c r="Y275" s="64" t="str">
        <f>IF(AND(Master!B30="",Master!E30=""),"",23)</f>
        <v/>
      </c>
    </row>
    <row r="276" spans="1:25" ht="21" customHeight="1">
      <c r="A276" s="8">
        <v>2</v>
      </c>
      <c r="B276" s="23" t="str">
        <f>IFERROR(DATE(YEAR(B275),MONTH(B275)+1,DAY(B275)),"")</f>
        <v/>
      </c>
      <c r="C276" s="9" t="str">
        <f>IF(AND($Y$275=""),"",C275)</f>
        <v/>
      </c>
      <c r="D276" s="9" t="str">
        <f>IF(AND(C276=""),"",IF(AND($Y$275=""),"",ROUND(C276*Master!C$5%,0)))</f>
        <v/>
      </c>
      <c r="E276" s="9" t="str">
        <f>IF(AND(C276=""),"",IF(AND($Y$275=""),"",ROUND(C276*Master!H$5%,0)))</f>
        <v/>
      </c>
      <c r="F276" s="9" t="str">
        <f t="shared" si="398"/>
        <v/>
      </c>
      <c r="G276" s="9" t="str">
        <f>IF(C276="","",IF(AND($Y$275=""),"",G275))</f>
        <v/>
      </c>
      <c r="H276" s="9" t="str">
        <f>IF(AND(G276=""),"",IF(AND($Y$275=""),"",ROUND(G276*Master!C$4%,0)))</f>
        <v/>
      </c>
      <c r="I276" s="9" t="str">
        <f>IF(AND(G276=""),"",IF(AND($Y$275=""),"",ROUND(G276*Master!H$4%,0)))</f>
        <v/>
      </c>
      <c r="J276" s="9" t="str">
        <f t="shared" si="399"/>
        <v/>
      </c>
      <c r="K276" s="9" t="str">
        <f>IF(AND(C276=""),"",IF(AND(G276=""),"",C276-G276))</f>
        <v/>
      </c>
      <c r="L276" s="9" t="str">
        <f t="shared" ref="L276:L277" si="403">IF(AND(D276=""),"",IF(AND(H276=""),"",D276-H276))</f>
        <v/>
      </c>
      <c r="M276" s="9" t="str">
        <f t="shared" si="401"/>
        <v/>
      </c>
      <c r="N276" s="9" t="str">
        <f t="shared" si="402"/>
        <v/>
      </c>
      <c r="O276" s="9" t="str">
        <f t="shared" ref="O276" si="404">IF(AND(C276=""),"",N276-P276)</f>
        <v/>
      </c>
      <c r="P276" s="9" t="str">
        <f t="shared" ref="P276:P277" si="405">IF(AND($Y$275=""),"",IF(AND(N276=""),"",ROUND(N276*$X$276%,0)))</f>
        <v/>
      </c>
      <c r="Q276" s="9" t="str">
        <f>IF(AND($Y$275=""),"",IF(AND(C276=""),"",IF(AND(O276=""),"",SUM(O276,P276))))</f>
        <v/>
      </c>
      <c r="R276" s="9" t="str">
        <f t="shared" ref="R276:R277" si="406">IF(AND(N276=""),"",IF(AND(Q276=""),"",N276-Q276))</f>
        <v/>
      </c>
      <c r="S276" s="20"/>
      <c r="X276" s="4" t="str">
        <f>IF(ISNA(VLOOKUP($Y$275,Master!A$8:N$127,7,FALSE)),"",VLOOKUP($Y$275,Master!A$8:AH$127,7,FALSE))</f>
        <v/>
      </c>
    </row>
    <row r="277" spans="1:25" ht="21" customHeight="1">
      <c r="A277" s="8">
        <v>3</v>
      </c>
      <c r="B277" s="23" t="str">
        <f>IFERROR(DATE(YEAR(B276),MONTH(B276)+1,DAY(B276)),"")</f>
        <v/>
      </c>
      <c r="C277" s="9"/>
      <c r="D277" s="9" t="str">
        <f>IF(AND(C277=""),"",IF(AND($Y$275=""),"",ROUND(C277*Master!C$5%,0)))</f>
        <v/>
      </c>
      <c r="E277" s="9" t="str">
        <f>IF(AND(C277=""),"",IF(AND($Y$275=""),"",ROUND(C277*Master!H$5%,0)))</f>
        <v/>
      </c>
      <c r="F277" s="9" t="str">
        <f t="shared" si="398"/>
        <v/>
      </c>
      <c r="G277" s="9" t="str">
        <f t="shared" ref="G277:G278" si="407">IF(C277="","",IF(AND($Y$275=""),"",G276))</f>
        <v/>
      </c>
      <c r="H277" s="9" t="str">
        <f>IF(AND(G277=""),"",IF(AND($Y$275=""),"",ROUND(G277*Master!C$4%,0)))</f>
        <v/>
      </c>
      <c r="I277" s="9" t="str">
        <f>IF(AND(G277=""),"",IF(AND($Y$275=""),"",ROUND(G277*Master!H$4%,0)))</f>
        <v/>
      </c>
      <c r="J277" s="9" t="str">
        <f t="shared" si="399"/>
        <v/>
      </c>
      <c r="K277" s="9" t="str">
        <f t="shared" ref="K277" si="408">IF(AND(C277=""),"",IF(AND(G277=""),"",C277-G277))</f>
        <v/>
      </c>
      <c r="L277" s="9" t="str">
        <f t="shared" si="403"/>
        <v/>
      </c>
      <c r="M277" s="9" t="str">
        <f t="shared" si="401"/>
        <v/>
      </c>
      <c r="N277" s="9" t="str">
        <f t="shared" si="402"/>
        <v/>
      </c>
      <c r="O277" s="9">
        <v>0</v>
      </c>
      <c r="P277" s="9" t="str">
        <f t="shared" si="405"/>
        <v/>
      </c>
      <c r="Q277" s="9" t="str">
        <f>IF(AND($Y$275=""),"",IF(AND(C277=""),"",IF(AND(O277=""),"",SUM(O277,P277))))</f>
        <v/>
      </c>
      <c r="R277" s="9" t="str">
        <f t="shared" si="406"/>
        <v/>
      </c>
      <c r="S277" s="20"/>
    </row>
    <row r="278" spans="1:25" ht="21" customHeight="1">
      <c r="A278" s="8">
        <v>4</v>
      </c>
      <c r="B278" s="23" t="str">
        <f>IFERROR(DATE(YEAR(B277),MONTH(B277)+1,DAY(B277)),"")</f>
        <v/>
      </c>
      <c r="C278" s="9"/>
      <c r="D278" s="9" t="str">
        <f>IF(AND(C278=""),"",IF(AND($Y$275=""),"",ROUND(C278*Master!C$5%,0)))</f>
        <v/>
      </c>
      <c r="E278" s="9" t="str">
        <f>IF(AND(C278=""),"",IF(AND($Y$275=""),"",ROUND(C278*Master!H$5%,0)))</f>
        <v/>
      </c>
      <c r="F278" s="9" t="str">
        <f t="shared" ref="F278" si="409">IF(AND(C278=""),"",SUM(C278:E278))</f>
        <v/>
      </c>
      <c r="G278" s="9" t="str">
        <f t="shared" si="407"/>
        <v/>
      </c>
      <c r="H278" s="9" t="str">
        <f>IF(AND(G278=""),"",IF(AND($Y$275=""),"",ROUND(G278*Master!C$4%,0)))</f>
        <v/>
      </c>
      <c r="I278" s="9" t="str">
        <f>IF(AND(G278=""),"",IF(AND($Y$275=""),"",ROUND(G278*Master!H$4%,0)))</f>
        <v/>
      </c>
      <c r="J278" s="9" t="str">
        <f t="shared" ref="J278" si="410">IF(AND(C278=""),"",SUM(G278:I278))</f>
        <v/>
      </c>
      <c r="K278" s="9" t="str">
        <f t="shared" ref="K278" si="411">IF(AND(C278=""),"",IF(AND(G278=""),"",C278-G278))</f>
        <v/>
      </c>
      <c r="L278" s="9" t="str">
        <f t="shared" ref="L278" si="412">IF(AND(D278=""),"",IF(AND(H278=""),"",D278-H278))</f>
        <v/>
      </c>
      <c r="M278" s="9" t="str">
        <f t="shared" ref="M278" si="413">IF(AND(E278=""),"",IF(AND(I278=""),"",E278-I278))</f>
        <v/>
      </c>
      <c r="N278" s="9" t="str">
        <f t="shared" ref="N278" si="414">IF(AND(F278=""),"",IF(AND(J278=""),"",F278-J278))</f>
        <v/>
      </c>
      <c r="O278" s="9">
        <v>0</v>
      </c>
      <c r="P278" s="9" t="str">
        <f t="shared" ref="P278" si="415">IF(AND($Y$275=""),"",IF(AND(N278=""),"",ROUND(N278*$X$276%,0)))</f>
        <v/>
      </c>
      <c r="Q278" s="9" t="str">
        <f>IF(AND($Y$275=""),"",IF(AND(C278=""),"",IF(AND(O278=""),"",SUM(O278,P278))))</f>
        <v/>
      </c>
      <c r="R278" s="9" t="str">
        <f t="shared" ref="R278" si="416">IF(AND(N278=""),"",IF(AND(Q278=""),"",N278-Q278))</f>
        <v/>
      </c>
      <c r="S278" s="20"/>
    </row>
    <row r="279" spans="1:25" ht="30.75" customHeight="1">
      <c r="A279" s="153" t="s">
        <v>9</v>
      </c>
      <c r="B279" s="154"/>
      <c r="C279" s="63" t="str">
        <f>IF(AND($Y$275=""),"",SUM(C275:C278))</f>
        <v/>
      </c>
      <c r="D279" s="63" t="str">
        <f t="shared" ref="D279:R279" si="417">IF(AND($Y$275=""),"",SUM(D275:D278))</f>
        <v/>
      </c>
      <c r="E279" s="63" t="str">
        <f t="shared" si="417"/>
        <v/>
      </c>
      <c r="F279" s="63" t="str">
        <f t="shared" si="417"/>
        <v/>
      </c>
      <c r="G279" s="63" t="str">
        <f t="shared" si="417"/>
        <v/>
      </c>
      <c r="H279" s="63" t="str">
        <f t="shared" si="417"/>
        <v/>
      </c>
      <c r="I279" s="63" t="str">
        <f t="shared" si="417"/>
        <v/>
      </c>
      <c r="J279" s="63" t="str">
        <f t="shared" si="417"/>
        <v/>
      </c>
      <c r="K279" s="63" t="str">
        <f t="shared" si="417"/>
        <v/>
      </c>
      <c r="L279" s="63" t="str">
        <f t="shared" si="417"/>
        <v/>
      </c>
      <c r="M279" s="63" t="str">
        <f t="shared" si="417"/>
        <v/>
      </c>
      <c r="N279" s="63" t="str">
        <f t="shared" si="417"/>
        <v/>
      </c>
      <c r="O279" s="63" t="str">
        <f t="shared" si="417"/>
        <v/>
      </c>
      <c r="P279" s="63" t="str">
        <f t="shared" si="417"/>
        <v/>
      </c>
      <c r="Q279" s="63" t="str">
        <f t="shared" si="417"/>
        <v/>
      </c>
      <c r="R279" s="63" t="str">
        <f t="shared" si="417"/>
        <v/>
      </c>
      <c r="S279" s="49"/>
    </row>
    <row r="280" spans="1:25" ht="11.25" customHeight="1">
      <c r="A280" s="73"/>
      <c r="B280" s="73"/>
      <c r="C280" s="74"/>
      <c r="D280" s="74"/>
      <c r="E280" s="74"/>
      <c r="F280" s="74"/>
      <c r="G280" s="74"/>
      <c r="H280" s="74"/>
      <c r="I280" s="74"/>
      <c r="J280" s="74"/>
      <c r="K280" s="74"/>
      <c r="L280" s="74"/>
      <c r="M280" s="74"/>
      <c r="N280" s="74"/>
      <c r="O280" s="74"/>
      <c r="P280" s="74"/>
      <c r="Q280" s="74"/>
      <c r="R280" s="74"/>
      <c r="S280" s="75"/>
    </row>
    <row r="281" spans="1:25" ht="23.25" customHeight="1">
      <c r="E281" s="133" t="s">
        <v>10</v>
      </c>
      <c r="F281" s="133"/>
      <c r="G281" s="133"/>
      <c r="H281" s="133"/>
      <c r="I281" s="133"/>
      <c r="J281" s="132" t="str">
        <f>IF(ISNA(VLOOKUP($Y$283,Master!A$8:N$127,2,FALSE)),"",VLOOKUP($Y$283,Master!A$8:AH$127,2,FALSE))</f>
        <v/>
      </c>
      <c r="K281" s="132"/>
      <c r="L281" s="132"/>
      <c r="M281" s="132"/>
      <c r="N281" s="132"/>
      <c r="O281" s="60" t="s">
        <v>31</v>
      </c>
      <c r="P281" s="132" t="str">
        <f>IF(ISNA(VLOOKUP($Y$283,Master!A$8:N$127,3,FALSE)),"",VLOOKUP($Y$283,Master!A$8:AH$127,3,FALSE))</f>
        <v/>
      </c>
      <c r="Q281" s="132"/>
      <c r="R281" s="132"/>
      <c r="S281" s="132"/>
    </row>
    <row r="282" spans="1:25" ht="9" customHeight="1">
      <c r="E282" s="19"/>
      <c r="F282" s="52"/>
      <c r="G282" s="22"/>
      <c r="H282" s="22"/>
      <c r="I282" s="22"/>
      <c r="J282" s="5"/>
      <c r="K282" s="5"/>
      <c r="L282" s="5"/>
      <c r="M282" s="5"/>
      <c r="N282" s="5"/>
      <c r="O282" s="6"/>
      <c r="P282" s="6"/>
    </row>
    <row r="283" spans="1:25" ht="21" customHeight="1">
      <c r="A283" s="8">
        <v>1</v>
      </c>
      <c r="B283" s="23" t="str">
        <f>IFERROR(IF(ISNA(VLOOKUP(Y283,Master!A$8:N$127,8,FALSE)),"",VLOOKUP($Y283,Master!A$8:AH$127,8,FALSE)),"")</f>
        <v/>
      </c>
      <c r="C283" s="9" t="str">
        <f>IF(ISNA(VLOOKUP($Y$283,Master!A$8:N$127,5,FALSE)),"",VLOOKUP($Y$283,Master!A$8:AH$127,5,FALSE))</f>
        <v/>
      </c>
      <c r="D283" s="9" t="str">
        <f>IF(AND(C283=""),"",IF(AND($Y$283=""),"",ROUND(C283*Master!C$5%,0)))</f>
        <v/>
      </c>
      <c r="E283" s="9" t="str">
        <f>IF(AND(C283=""),"",IF(AND($Y$283=""),"",ROUND(C283*Master!H$5%,0)))</f>
        <v/>
      </c>
      <c r="F283" s="9" t="str">
        <f t="shared" ref="F283:F285" si="418">IF(AND(C283=""),"",SUM(C283:E283))</f>
        <v/>
      </c>
      <c r="G283" s="9" t="str">
        <f>IF(ISNA(VLOOKUP($Y$283,Master!A$8:N$127,5,FALSE)),"",VLOOKUP($Y$283,Master!A$8:AH$127,5,FALSE))</f>
        <v/>
      </c>
      <c r="H283" s="9" t="str">
        <f>IF(AND(G283=""),"",IF(AND($Y$283=""),"",ROUND(G283*Master!C$4%,0)))</f>
        <v/>
      </c>
      <c r="I283" s="9" t="str">
        <f>IF(AND(G283=""),"",IF(AND($Y$283=""),"",ROUND(G283*Master!H$4%,0)))</f>
        <v/>
      </c>
      <c r="J283" s="9" t="str">
        <f t="shared" ref="J283:J285" si="419">IF(AND(C283=""),"",SUM(G283:I283))</f>
        <v/>
      </c>
      <c r="K283" s="9" t="str">
        <f t="shared" ref="K283:K285" si="420">IF(AND(C283=""),"",IF(AND(G283=""),"",C283-G283))</f>
        <v/>
      </c>
      <c r="L283" s="9" t="str">
        <f t="shared" ref="L283:L285" si="421">IF(AND(D283=""),"",IF(AND(H283=""),"",D283-H283))</f>
        <v/>
      </c>
      <c r="M283" s="9" t="str">
        <f t="shared" ref="M283:M285" si="422">IF(AND(E283=""),"",IF(AND(I283=""),"",E283-I283))</f>
        <v/>
      </c>
      <c r="N283" s="9" t="str">
        <f t="shared" ref="N283:N285" si="423">IF(AND(F283=""),"",IF(AND(J283=""),"",F283-J283))</f>
        <v/>
      </c>
      <c r="O283" s="9" t="str">
        <f>IF(AND(C283=""),"",N283-P283)</f>
        <v/>
      </c>
      <c r="P283" s="9" t="str">
        <f>IF(AND($Y$283=""),"",IF(AND(N283=""),"",ROUND(N283*$X$284%,0)))</f>
        <v/>
      </c>
      <c r="Q283" s="9" t="str">
        <f>IF(AND($Y$283=""),"",IF(AND(C283=""),"",IF(AND(O283=""),"",SUM(O283,P283))))</f>
        <v/>
      </c>
      <c r="R283" s="9" t="str">
        <f>IF(AND(N283=""),"",IF(AND(Q283=""),"",N283-Q283))</f>
        <v/>
      </c>
      <c r="S283" s="20"/>
      <c r="X283" s="61" t="s">
        <v>49</v>
      </c>
      <c r="Y283" s="64" t="str">
        <f>IF(AND(Master!B31="",Master!E31=""),"",24)</f>
        <v/>
      </c>
    </row>
    <row r="284" spans="1:25" ht="21" customHeight="1">
      <c r="A284" s="8">
        <v>2</v>
      </c>
      <c r="B284" s="23" t="str">
        <f>IFERROR(DATE(YEAR(B283),MONTH(B283)+1,DAY(B283)),"")</f>
        <v/>
      </c>
      <c r="C284" s="9" t="str">
        <f>IF(AND($Y$283=""),"",C283)</f>
        <v/>
      </c>
      <c r="D284" s="9" t="str">
        <f>IF(AND(C284=""),"",IF(AND($Y$283=""),"",ROUND(C284*Master!C$5%,0)))</f>
        <v/>
      </c>
      <c r="E284" s="9" t="str">
        <f>IF(AND(C284=""),"",IF(AND($Y$283=""),"",ROUND(C284*Master!H$5%,0)))</f>
        <v/>
      </c>
      <c r="F284" s="9" t="str">
        <f t="shared" si="418"/>
        <v/>
      </c>
      <c r="G284" s="9" t="str">
        <f>IF(C284="","",IF(AND($Y$283=""),"",G283))</f>
        <v/>
      </c>
      <c r="H284" s="9" t="str">
        <f>IF(AND(G284=""),"",IF(AND($Y$283=""),"",ROUND(G284*Master!C$4%,0)))</f>
        <v/>
      </c>
      <c r="I284" s="9" t="str">
        <f>IF(AND(G284=""),"",IF(AND($Y$283=""),"",ROUND(G284*Master!H$4%,0)))</f>
        <v/>
      </c>
      <c r="J284" s="9" t="str">
        <f t="shared" si="419"/>
        <v/>
      </c>
      <c r="K284" s="9" t="str">
        <f t="shared" si="420"/>
        <v/>
      </c>
      <c r="L284" s="9" t="str">
        <f t="shared" si="421"/>
        <v/>
      </c>
      <c r="M284" s="9" t="str">
        <f t="shared" si="422"/>
        <v/>
      </c>
      <c r="N284" s="9" t="str">
        <f t="shared" si="423"/>
        <v/>
      </c>
      <c r="O284" s="9" t="str">
        <f t="shared" ref="O284" si="424">IF(AND(C284=""),"",N284-P284)</f>
        <v/>
      </c>
      <c r="P284" s="9" t="str">
        <f t="shared" ref="P284:P285" si="425">IF(AND($Y$283=""),"",IF(AND(N284=""),"",ROUND(N284*$X$284%,0)))</f>
        <v/>
      </c>
      <c r="Q284" s="9" t="str">
        <f>IF(AND($Y$283=""),"",IF(AND(C284=""),"",IF(AND(O284=""),"",SUM(O284,P284))))</f>
        <v/>
      </c>
      <c r="R284" s="9" t="str">
        <f t="shared" ref="R284:R285" si="426">IF(AND(N284=""),"",IF(AND(Q284=""),"",N284-Q284))</f>
        <v/>
      </c>
      <c r="S284" s="20"/>
      <c r="X284" s="4" t="str">
        <f>IF(ISNA(VLOOKUP($Y$283,Master!A$8:N$127,7,FALSE)),"",VLOOKUP($Y$283,Master!A$8:AH$127,7,FALSE))</f>
        <v/>
      </c>
    </row>
    <row r="285" spans="1:25" ht="21" customHeight="1">
      <c r="A285" s="8">
        <v>3</v>
      </c>
      <c r="B285" s="23" t="str">
        <f>IFERROR(DATE(YEAR(B284),MONTH(B284)+1,DAY(B284)),"")</f>
        <v/>
      </c>
      <c r="C285" s="9"/>
      <c r="D285" s="9" t="str">
        <f>IF(AND(C285=""),"",IF(AND($Y$283=""),"",ROUND(C285*Master!C$5%,0)))</f>
        <v/>
      </c>
      <c r="E285" s="9" t="str">
        <f>IF(AND(C285=""),"",IF(AND($Y$283=""),"",ROUND(C285*Master!H$5%,0)))</f>
        <v/>
      </c>
      <c r="F285" s="9" t="str">
        <f t="shared" si="418"/>
        <v/>
      </c>
      <c r="G285" s="9" t="str">
        <f t="shared" ref="G285:G286" si="427">IF(C285="","",IF(AND($Y$283=""),"",G284))</f>
        <v/>
      </c>
      <c r="H285" s="9" t="str">
        <f>IF(AND(G285=""),"",IF(AND($Y$283=""),"",ROUND(G285*Master!C$4%,0)))</f>
        <v/>
      </c>
      <c r="I285" s="9" t="str">
        <f>IF(AND(G285=""),"",IF(AND($Y$283=""),"",ROUND(G285*Master!H$4%,0)))</f>
        <v/>
      </c>
      <c r="J285" s="9" t="str">
        <f t="shared" si="419"/>
        <v/>
      </c>
      <c r="K285" s="9" t="str">
        <f t="shared" si="420"/>
        <v/>
      </c>
      <c r="L285" s="9" t="str">
        <f t="shared" si="421"/>
        <v/>
      </c>
      <c r="M285" s="9" t="str">
        <f t="shared" si="422"/>
        <v/>
      </c>
      <c r="N285" s="9" t="str">
        <f t="shared" si="423"/>
        <v/>
      </c>
      <c r="O285" s="9">
        <v>0</v>
      </c>
      <c r="P285" s="9" t="str">
        <f t="shared" si="425"/>
        <v/>
      </c>
      <c r="Q285" s="9" t="str">
        <f>IF(AND($Y$283=""),"",IF(AND(C285=""),"",IF(AND(O285=""),"",SUM(O285,P285))))</f>
        <v/>
      </c>
      <c r="R285" s="9" t="str">
        <f t="shared" si="426"/>
        <v/>
      </c>
      <c r="S285" s="20"/>
    </row>
    <row r="286" spans="1:25" ht="21" customHeight="1">
      <c r="A286" s="8">
        <v>4</v>
      </c>
      <c r="B286" s="23" t="str">
        <f>IFERROR(DATE(YEAR(B285),MONTH(B285)+1,DAY(B285)),"")</f>
        <v/>
      </c>
      <c r="C286" s="9"/>
      <c r="D286" s="9" t="str">
        <f>IF(AND(C286=""),"",IF(AND($Y$283=""),"",ROUND(C286*Master!C$5%,0)))</f>
        <v/>
      </c>
      <c r="E286" s="9" t="str">
        <f>IF(AND(C286=""),"",IF(AND($Y$283=""),"",ROUND(C286*Master!H$5%,0)))</f>
        <v/>
      </c>
      <c r="F286" s="9" t="str">
        <f t="shared" ref="F286" si="428">IF(AND(C286=""),"",SUM(C286:E286))</f>
        <v/>
      </c>
      <c r="G286" s="9" t="str">
        <f t="shared" si="427"/>
        <v/>
      </c>
      <c r="H286" s="9" t="str">
        <f>IF(AND(G286=""),"",IF(AND($Y$283=""),"",ROUND(G286*Master!C$4%,0)))</f>
        <v/>
      </c>
      <c r="I286" s="9" t="str">
        <f>IF(AND(G286=""),"",IF(AND($Y$283=""),"",ROUND(G286*Master!H$4%,0)))</f>
        <v/>
      </c>
      <c r="J286" s="9" t="str">
        <f t="shared" ref="J286" si="429">IF(AND(C286=""),"",SUM(G286:I286))</f>
        <v/>
      </c>
      <c r="K286" s="9" t="str">
        <f t="shared" ref="K286" si="430">IF(AND(C286=""),"",IF(AND(G286=""),"",C286-G286))</f>
        <v/>
      </c>
      <c r="L286" s="9" t="str">
        <f t="shared" ref="L286" si="431">IF(AND(D286=""),"",IF(AND(H286=""),"",D286-H286))</f>
        <v/>
      </c>
      <c r="M286" s="9" t="str">
        <f t="shared" ref="M286" si="432">IF(AND(E286=""),"",IF(AND(I286=""),"",E286-I286))</f>
        <v/>
      </c>
      <c r="N286" s="9" t="str">
        <f t="shared" ref="N286" si="433">IF(AND(F286=""),"",IF(AND(J286=""),"",F286-J286))</f>
        <v/>
      </c>
      <c r="O286" s="9">
        <v>0</v>
      </c>
      <c r="P286" s="9" t="str">
        <f t="shared" ref="P286" si="434">IF(AND($Y$283=""),"",IF(AND(N286=""),"",ROUND(N286*$X$284%,0)))</f>
        <v/>
      </c>
      <c r="Q286" s="9" t="str">
        <f>IF(AND($Y$283=""),"",IF(AND(C286=""),"",IF(AND(O286=""),"",SUM(O286,P286))))</f>
        <v/>
      </c>
      <c r="R286" s="9" t="str">
        <f t="shared" ref="R286" si="435">IF(AND(N286=""),"",IF(AND(Q286=""),"",N286-Q286))</f>
        <v/>
      </c>
      <c r="S286" s="20"/>
    </row>
    <row r="287" spans="1:25" ht="30.75" customHeight="1">
      <c r="A287" s="153" t="s">
        <v>9</v>
      </c>
      <c r="B287" s="154"/>
      <c r="C287" s="63" t="str">
        <f>IF(AND($Y$283=""),"",SUM(C283:C286))</f>
        <v/>
      </c>
      <c r="D287" s="63" t="str">
        <f t="shared" ref="D287:R287" si="436">IF(AND($Y$283=""),"",SUM(D283:D286))</f>
        <v/>
      </c>
      <c r="E287" s="63" t="str">
        <f t="shared" si="436"/>
        <v/>
      </c>
      <c r="F287" s="63" t="str">
        <f t="shared" si="436"/>
        <v/>
      </c>
      <c r="G287" s="63" t="str">
        <f t="shared" si="436"/>
        <v/>
      </c>
      <c r="H287" s="63" t="str">
        <f t="shared" si="436"/>
        <v/>
      </c>
      <c r="I287" s="63" t="str">
        <f t="shared" si="436"/>
        <v/>
      </c>
      <c r="J287" s="63" t="str">
        <f t="shared" si="436"/>
        <v/>
      </c>
      <c r="K287" s="63" t="str">
        <f t="shared" si="436"/>
        <v/>
      </c>
      <c r="L287" s="63" t="str">
        <f t="shared" si="436"/>
        <v/>
      </c>
      <c r="M287" s="63" t="str">
        <f t="shared" si="436"/>
        <v/>
      </c>
      <c r="N287" s="63" t="str">
        <f t="shared" si="436"/>
        <v/>
      </c>
      <c r="O287" s="63" t="str">
        <f t="shared" si="436"/>
        <v/>
      </c>
      <c r="P287" s="63" t="str">
        <f t="shared" si="436"/>
        <v/>
      </c>
      <c r="Q287" s="63" t="str">
        <f t="shared" si="436"/>
        <v/>
      </c>
      <c r="R287" s="63" t="str">
        <f t="shared" si="436"/>
        <v/>
      </c>
      <c r="S287" s="49"/>
    </row>
    <row r="288" spans="1:25" ht="30.75" customHeight="1">
      <c r="A288" s="73"/>
      <c r="B288" s="73"/>
      <c r="C288" s="74"/>
      <c r="D288" s="74"/>
      <c r="E288" s="74"/>
      <c r="F288" s="74"/>
      <c r="G288" s="74"/>
      <c r="H288" s="74"/>
      <c r="I288" s="74"/>
      <c r="J288" s="74"/>
      <c r="K288" s="74"/>
      <c r="L288" s="74"/>
      <c r="M288" s="74"/>
      <c r="N288" s="74"/>
      <c r="O288" s="74"/>
      <c r="P288" s="74"/>
      <c r="Q288" s="74"/>
      <c r="R288" s="74"/>
      <c r="S288" s="75"/>
    </row>
    <row r="289" spans="1:27" ht="18.75">
      <c r="A289" s="21"/>
      <c r="B289" s="58"/>
      <c r="C289" s="58"/>
      <c r="D289" s="58"/>
      <c r="E289" s="58"/>
      <c r="F289" s="58"/>
      <c r="G289" s="58"/>
      <c r="H289" s="59"/>
      <c r="I289" s="59"/>
      <c r="J289" s="59"/>
      <c r="K289" s="66"/>
      <c r="L289" s="66"/>
      <c r="M289" s="66"/>
      <c r="N289" s="66"/>
      <c r="O289" s="138" t="s">
        <v>42</v>
      </c>
      <c r="P289" s="138"/>
      <c r="Q289" s="138"/>
      <c r="R289" s="138"/>
      <c r="S289" s="138"/>
    </row>
    <row r="290" spans="1:27" ht="18.75">
      <c r="A290" s="1"/>
      <c r="B290" s="24" t="s">
        <v>19</v>
      </c>
      <c r="C290" s="139"/>
      <c r="D290" s="139"/>
      <c r="E290" s="139"/>
      <c r="F290" s="139"/>
      <c r="G290" s="139"/>
      <c r="H290" s="25"/>
      <c r="I290" s="143" t="s">
        <v>20</v>
      </c>
      <c r="J290" s="143"/>
      <c r="K290" s="141"/>
      <c r="L290" s="141"/>
      <c r="M290" s="141"/>
      <c r="O290" s="138"/>
      <c r="P290" s="138"/>
      <c r="Q290" s="138"/>
      <c r="R290" s="138"/>
      <c r="S290" s="138"/>
    </row>
    <row r="291" spans="1:27" ht="18.75">
      <c r="A291" s="1"/>
      <c r="B291" s="140" t="s">
        <v>21</v>
      </c>
      <c r="C291" s="140"/>
      <c r="D291" s="140"/>
      <c r="E291" s="140"/>
      <c r="F291" s="140"/>
      <c r="G291" s="140"/>
      <c r="H291" s="140"/>
      <c r="I291" s="27"/>
      <c r="J291" s="26"/>
      <c r="K291" s="26"/>
      <c r="L291" s="26"/>
      <c r="M291" s="26"/>
    </row>
    <row r="292" spans="1:27" ht="18.75">
      <c r="A292" s="22">
        <v>1</v>
      </c>
      <c r="B292" s="142" t="s">
        <v>22</v>
      </c>
      <c r="C292" s="142"/>
      <c r="D292" s="142"/>
      <c r="E292" s="142"/>
      <c r="F292" s="142"/>
      <c r="G292" s="142"/>
      <c r="H292" s="142"/>
      <c r="I292" s="28"/>
      <c r="J292" s="26"/>
      <c r="K292" s="26"/>
      <c r="L292" s="26"/>
      <c r="M292" s="26"/>
    </row>
    <row r="293" spans="1:27" ht="18.75">
      <c r="A293" s="2">
        <v>2</v>
      </c>
      <c r="B293" s="142" t="s">
        <v>23</v>
      </c>
      <c r="C293" s="142"/>
      <c r="D293" s="142"/>
      <c r="E293" s="142"/>
      <c r="F293" s="142"/>
      <c r="G293" s="132"/>
      <c r="H293" s="132"/>
      <c r="I293" s="132"/>
      <c r="J293" s="132"/>
      <c r="K293" s="132"/>
      <c r="L293" s="132"/>
      <c r="M293" s="132"/>
    </row>
    <row r="294" spans="1:27" ht="18.75">
      <c r="A294" s="3">
        <v>3</v>
      </c>
      <c r="B294" s="142" t="s">
        <v>24</v>
      </c>
      <c r="C294" s="142"/>
      <c r="D294" s="142"/>
      <c r="E294" s="29"/>
      <c r="F294" s="28"/>
      <c r="G294" s="28"/>
      <c r="H294" s="30"/>
      <c r="I294" s="31"/>
      <c r="J294" s="26"/>
      <c r="K294" s="26"/>
      <c r="L294" s="26"/>
      <c r="M294" s="26"/>
    </row>
    <row r="295" spans="1:27" ht="15.75">
      <c r="O295" s="138" t="s">
        <v>42</v>
      </c>
      <c r="P295" s="138"/>
      <c r="Q295" s="138"/>
      <c r="R295" s="138"/>
      <c r="S295" s="138"/>
    </row>
    <row r="297" spans="1:27" ht="18" customHeight="1">
      <c r="A297" s="148" t="str">
        <f>A260</f>
        <v xml:space="preserve">DA (46% to 50%) Drawn Statement  </v>
      </c>
      <c r="B297" s="148"/>
      <c r="C297" s="148"/>
      <c r="D297" s="148"/>
      <c r="E297" s="148"/>
      <c r="F297" s="148"/>
      <c r="G297" s="148"/>
      <c r="H297" s="148"/>
      <c r="I297" s="148"/>
      <c r="J297" s="148"/>
      <c r="K297" s="148"/>
      <c r="L297" s="148"/>
      <c r="M297" s="148"/>
      <c r="N297" s="148"/>
      <c r="O297" s="148"/>
      <c r="P297" s="148"/>
      <c r="Q297" s="148"/>
      <c r="R297" s="148"/>
      <c r="S297" s="148"/>
      <c r="W297" s="4">
        <f>IF(ISNA(VLOOKUP($Y$3,Master!A$8:N$127,4,FALSE)),"",VLOOKUP($Y$3,Master!A$8:AH$127,4,FALSE))</f>
        <v>2</v>
      </c>
      <c r="X297" s="4" t="str">
        <f>IF(ISNA(VLOOKUP($Y$3,Master!A$8:N$127,6,FALSE)),"",VLOOKUP($Y$3,Master!A$8:AH$127,6,FALSE))</f>
        <v>GPF-2004</v>
      </c>
      <c r="Y297" s="4" t="s">
        <v>45</v>
      </c>
      <c r="Z297" s="4" t="s">
        <v>18</v>
      </c>
      <c r="AA297" s="4" t="str">
        <f>IF(ISNA(VLOOKUP($Y$299,Master!A$8:N$127,7,FALSE)),"",VLOOKUP($Y$299,Master!A$8:AH$127,7,FALSE))</f>
        <v/>
      </c>
    </row>
    <row r="298" spans="1:27" ht="18">
      <c r="A298" s="131" t="str">
        <f>IF(AND(Master!C275=""),"",CONCATENATE("Office Of  ",Master!C275))</f>
        <v/>
      </c>
      <c r="B298" s="131"/>
      <c r="C298" s="131"/>
      <c r="D298" s="131"/>
      <c r="E298" s="131"/>
      <c r="F298" s="131"/>
      <c r="G298" s="131"/>
      <c r="H298" s="131"/>
      <c r="I298" s="131"/>
      <c r="J298" s="131"/>
      <c r="K298" s="131"/>
      <c r="L298" s="131"/>
      <c r="M298" s="131"/>
      <c r="N298" s="131"/>
      <c r="O298" s="131"/>
      <c r="P298" s="131"/>
      <c r="Q298" s="131"/>
      <c r="R298" s="131"/>
      <c r="S298" s="131"/>
      <c r="X298" s="4">
        <f>IF(ISNA(VLOOKUP($Y$3,Master!A$8:N$127,8,FALSE)),"",VLOOKUP($Y$3,Master!A$8:AH$127,8,FALSE))</f>
        <v>45292</v>
      </c>
      <c r="Y298" s="4" t="s">
        <v>43</v>
      </c>
    </row>
    <row r="299" spans="1:27" ht="18.75">
      <c r="E299" s="133" t="s">
        <v>10</v>
      </c>
      <c r="F299" s="133"/>
      <c r="G299" s="133"/>
      <c r="H299" s="133"/>
      <c r="I299" s="133"/>
      <c r="J299" s="132" t="str">
        <f>IF(ISNA(VLOOKUP($Y$299,Master!A$8:N$127,2,FALSE)),"",VLOOKUP($Y$299,Master!A$8:AH$127,2,FALSE))</f>
        <v/>
      </c>
      <c r="K299" s="132"/>
      <c r="L299" s="132"/>
      <c r="M299" s="132"/>
      <c r="N299" s="132"/>
      <c r="O299" s="60" t="s">
        <v>31</v>
      </c>
      <c r="P299" s="132" t="str">
        <f>IF(ISNA(VLOOKUP($Y$299,Master!A$8:N$127,3,FALSE)),"",VLOOKUP($Y$299,Master!A$8:AH$127,3,FALSE))</f>
        <v/>
      </c>
      <c r="Q299" s="132"/>
      <c r="R299" s="132"/>
      <c r="S299" s="132"/>
      <c r="X299" s="61" t="s">
        <v>49</v>
      </c>
      <c r="Y299" s="64">
        <v>25</v>
      </c>
    </row>
    <row r="300" spans="1:27" ht="8.25" customHeight="1">
      <c r="E300" s="19"/>
      <c r="F300" s="52"/>
      <c r="G300" s="22"/>
      <c r="H300" s="22"/>
      <c r="I300" s="22"/>
      <c r="J300" s="5"/>
      <c r="K300" s="5"/>
      <c r="L300" s="5"/>
      <c r="M300" s="5"/>
      <c r="N300" s="5"/>
      <c r="O300" s="6"/>
      <c r="P300" s="6"/>
    </row>
    <row r="301" spans="1:27" ht="24.75" customHeight="1">
      <c r="A301" s="157" t="s">
        <v>0</v>
      </c>
      <c r="B301" s="158" t="s">
        <v>3</v>
      </c>
      <c r="C301" s="159" t="s">
        <v>5</v>
      </c>
      <c r="D301" s="159"/>
      <c r="E301" s="159"/>
      <c r="F301" s="159"/>
      <c r="G301" s="159" t="s">
        <v>6</v>
      </c>
      <c r="H301" s="159"/>
      <c r="I301" s="159"/>
      <c r="J301" s="159"/>
      <c r="K301" s="159" t="s">
        <v>7</v>
      </c>
      <c r="L301" s="159"/>
      <c r="M301" s="159"/>
      <c r="N301" s="159"/>
      <c r="O301" s="149" t="s">
        <v>8</v>
      </c>
      <c r="P301" s="150"/>
      <c r="Q301" s="151"/>
      <c r="R301" s="162" t="s">
        <v>54</v>
      </c>
      <c r="S301" s="162" t="s">
        <v>40</v>
      </c>
    </row>
    <row r="302" spans="1:27" ht="69" customHeight="1">
      <c r="A302" s="157"/>
      <c r="B302" s="158"/>
      <c r="C302" s="54" t="s">
        <v>29</v>
      </c>
      <c r="D302" s="55" t="s">
        <v>1</v>
      </c>
      <c r="E302" s="56" t="s">
        <v>2</v>
      </c>
      <c r="F302" s="54" t="s">
        <v>46</v>
      </c>
      <c r="G302" s="54" t="s">
        <v>29</v>
      </c>
      <c r="H302" s="55" t="s">
        <v>1</v>
      </c>
      <c r="I302" s="56" t="s">
        <v>2</v>
      </c>
      <c r="J302" s="54" t="s">
        <v>47</v>
      </c>
      <c r="K302" s="54" t="s">
        <v>4</v>
      </c>
      <c r="L302" s="55" t="s">
        <v>1</v>
      </c>
      <c r="M302" s="56" t="s">
        <v>2</v>
      </c>
      <c r="N302" s="57" t="s">
        <v>48</v>
      </c>
      <c r="O302" s="53" t="s">
        <v>69</v>
      </c>
      <c r="P302" s="65" t="s">
        <v>41</v>
      </c>
      <c r="Q302" s="57" t="s">
        <v>53</v>
      </c>
      <c r="R302" s="162"/>
      <c r="S302" s="162"/>
    </row>
    <row r="303" spans="1:27" ht="18" customHeight="1">
      <c r="A303" s="7">
        <v>1</v>
      </c>
      <c r="B303" s="7">
        <v>2</v>
      </c>
      <c r="C303" s="7">
        <v>3</v>
      </c>
      <c r="D303" s="7">
        <v>4</v>
      </c>
      <c r="E303" s="7">
        <v>5</v>
      </c>
      <c r="F303" s="7">
        <v>6</v>
      </c>
      <c r="G303" s="7">
        <v>7</v>
      </c>
      <c r="H303" s="7">
        <v>8</v>
      </c>
      <c r="I303" s="7">
        <v>9</v>
      </c>
      <c r="J303" s="7">
        <v>10</v>
      </c>
      <c r="K303" s="7">
        <v>11</v>
      </c>
      <c r="L303" s="7">
        <v>12</v>
      </c>
      <c r="M303" s="7">
        <v>13</v>
      </c>
      <c r="N303" s="7">
        <v>14</v>
      </c>
      <c r="O303" s="7">
        <v>15</v>
      </c>
      <c r="P303" s="7">
        <v>17</v>
      </c>
      <c r="Q303" s="7">
        <v>18</v>
      </c>
      <c r="R303" s="7">
        <v>19</v>
      </c>
      <c r="S303" s="7">
        <v>20</v>
      </c>
    </row>
    <row r="304" spans="1:27" ht="21" customHeight="1">
      <c r="A304" s="8">
        <v>1</v>
      </c>
      <c r="B304" s="23" t="str">
        <f>IFERROR(IF(ISNA(VLOOKUP(Y299,Master!A$8:N$127,8,FALSE)),"",VLOOKUP($Y299,Master!A$8:AH$127,8,FALSE)),"")</f>
        <v/>
      </c>
      <c r="C304" s="9" t="str">
        <f>IF(ISNA(VLOOKUP(Y299,Master!A$8:N$127,5,FALSE)),"",VLOOKUP($Y$299,Master!A$8:AH$127,5,FALSE))</f>
        <v/>
      </c>
      <c r="D304" s="9" t="str">
        <f>IF(AND(C304=""),"",IF(AND($Y$299=""),"",ROUND(C304*Master!C$5%,0)))</f>
        <v/>
      </c>
      <c r="E304" s="9" t="str">
        <f>IF(AND(C304=""),"",IF(AND($Y$299=""),"",ROUND(C304*Master!H$5%,0)))</f>
        <v/>
      </c>
      <c r="F304" s="9" t="str">
        <f t="shared" ref="F304" si="437">IF(AND(C304=""),"",SUM(C304:E304))</f>
        <v/>
      </c>
      <c r="G304" s="9" t="str">
        <f>IF(ISNA(VLOOKUP($Y$299,Master!A$8:N$127,5,FALSE)),"",VLOOKUP($Y$299,Master!A$8:AH$127,5,FALSE))</f>
        <v/>
      </c>
      <c r="H304" s="9" t="str">
        <f>IF(AND(G304=""),"",IF(AND($Y$299=""),"",ROUND(G304*Master!C$4%,0)))</f>
        <v/>
      </c>
      <c r="I304" s="9" t="str">
        <f>IF(AND(G304=""),"",IF(AND($Y$299=""),"",ROUND(G304*Master!H$4%,0)))</f>
        <v/>
      </c>
      <c r="J304" s="9" t="str">
        <f t="shared" ref="J304:J305" si="438">IF(AND(C304=""),"",SUM(G304:I304))</f>
        <v/>
      </c>
      <c r="K304" s="9" t="str">
        <f t="shared" ref="K304:K306" si="439">IF(AND(C304=""),"",IF(AND(G304=""),"",C304-G304))</f>
        <v/>
      </c>
      <c r="L304" s="9" t="str">
        <f t="shared" ref="L304:L306" si="440">IF(AND(D304=""),"",IF(AND(H304=""),"",D304-H304))</f>
        <v/>
      </c>
      <c r="M304" s="9" t="str">
        <f t="shared" ref="M304:M305" si="441">IF(AND(E304=""),"",IF(AND(I304=""),"",E304-I304))</f>
        <v/>
      </c>
      <c r="N304" s="9" t="str">
        <f t="shared" ref="N304:N305" si="442">IF(AND(F304=""),"",IF(AND(J304=""),"",F304-J304))</f>
        <v/>
      </c>
      <c r="O304" s="9" t="str">
        <f>IF(AND(C304=""),"",N304-P304)</f>
        <v/>
      </c>
      <c r="P304" s="9" t="str">
        <f>IF(AND($Y$299=""),"",IF(AND(N304=""),"",ROUND(N304*AA$1%,0)))</f>
        <v/>
      </c>
      <c r="Q304" s="9" t="str">
        <f>IF(AND($Y$299=""),"",IF(AND(C304=""),"",IF(AND(O304=""),"",SUM(O304,P304))))</f>
        <v/>
      </c>
      <c r="R304" s="9" t="str">
        <f>IF(AND(N304=""),"",IF(AND(Q304=""),"",N304-Q304))</f>
        <v/>
      </c>
      <c r="S304" s="20"/>
    </row>
    <row r="305" spans="1:25" ht="21" customHeight="1">
      <c r="A305" s="8">
        <v>2</v>
      </c>
      <c r="B305" s="23" t="str">
        <f>IFERROR(DATE(YEAR(B304),MONTH(B304)+1,DAY(B304)),"")</f>
        <v/>
      </c>
      <c r="C305" s="9" t="str">
        <f>IF(AND($Y$299=""),"",C304)</f>
        <v/>
      </c>
      <c r="D305" s="9" t="str">
        <f>IF(AND(C305=""),"",IF(AND($Y$299=""),"",ROUND(C305*Master!C$5%,0)))</f>
        <v/>
      </c>
      <c r="E305" s="9" t="str">
        <f>IF(AND(C305=""),"",IF(AND($Y$299=""),"",ROUND(C305*Master!H$5%,0)))</f>
        <v/>
      </c>
      <c r="F305" s="9" t="str">
        <f>IF(AND(C305=""),"",SUM(C305:E305))</f>
        <v/>
      </c>
      <c r="G305" s="9" t="str">
        <f>IF(C305="","",IF(AND($Y$299=""),"",G304))</f>
        <v/>
      </c>
      <c r="H305" s="9" t="str">
        <f>IF(AND(G305=""),"",IF(AND($Y$299=""),"",ROUND(G305*Master!C$4%,0)))</f>
        <v/>
      </c>
      <c r="I305" s="9" t="str">
        <f>IF(AND(G305=""),"",IF(AND($Y$299=""),"",ROUND(G305*Master!H$4%,0)))</f>
        <v/>
      </c>
      <c r="J305" s="9" t="str">
        <f t="shared" si="438"/>
        <v/>
      </c>
      <c r="K305" s="9" t="str">
        <f t="shared" si="439"/>
        <v/>
      </c>
      <c r="L305" s="9" t="str">
        <f t="shared" si="440"/>
        <v/>
      </c>
      <c r="M305" s="9" t="str">
        <f t="shared" si="441"/>
        <v/>
      </c>
      <c r="N305" s="9" t="str">
        <f t="shared" si="442"/>
        <v/>
      </c>
      <c r="O305" s="9" t="str">
        <f t="shared" ref="O305" si="443">IF(AND(C305=""),"",N305-P305)</f>
        <v/>
      </c>
      <c r="P305" s="9" t="str">
        <f>IF(AND($Y$299=""),"",IF(AND(N305=""),"",ROUND(N305*AA$1%,0)))</f>
        <v/>
      </c>
      <c r="Q305" s="9" t="str">
        <f>IF(AND($Y$299=""),"",IF(AND(C305=""),"",IF(AND(O305=""),"",SUM(O305,P305))))</f>
        <v/>
      </c>
      <c r="R305" s="9" t="str">
        <f t="shared" ref="R305:R306" si="444">IF(AND(N305=""),"",IF(AND(Q305=""),"",N305-Q305))</f>
        <v/>
      </c>
      <c r="S305" s="20"/>
    </row>
    <row r="306" spans="1:25" ht="21" customHeight="1">
      <c r="A306" s="8">
        <v>3</v>
      </c>
      <c r="B306" s="23" t="str">
        <f>IFERROR(DATE(YEAR(B305),MONTH(B305)+1,DAY(B305)),"")</f>
        <v/>
      </c>
      <c r="C306" s="9"/>
      <c r="D306" s="9" t="str">
        <f>IF(AND(C306=""),"",IF(AND($Y$299=""),"",ROUND(C306*Master!C$5%,0)))</f>
        <v/>
      </c>
      <c r="E306" s="9" t="str">
        <f>IF(AND(C306=""),"",IF(AND($Y$299=""),"",ROUND(C306*Master!H$5%,0)))</f>
        <v/>
      </c>
      <c r="F306" s="9" t="str">
        <f t="shared" ref="F306" si="445">IF(AND(C306=""),"",SUM(C306:E306))</f>
        <v/>
      </c>
      <c r="G306" s="9" t="str">
        <f t="shared" ref="G306:G307" si="446">IF(C306="","",IF(AND($Y$299=""),"",G305))</f>
        <v/>
      </c>
      <c r="H306" s="9" t="str">
        <f>IF(AND(G306=""),"",IF(AND($Y$299=""),"",ROUND(G306*Master!C$4%,0)))</f>
        <v/>
      </c>
      <c r="I306" s="9" t="str">
        <f>IF(AND(G306=""),"",IF(AND($Y$299=""),"",ROUND(G306*Master!H$4%,0)))</f>
        <v/>
      </c>
      <c r="J306" s="9" t="str">
        <f>IF(AND(C306=""),"",SUM(G306:I306))</f>
        <v/>
      </c>
      <c r="K306" s="9" t="str">
        <f t="shared" si="439"/>
        <v/>
      </c>
      <c r="L306" s="9" t="str">
        <f t="shared" si="440"/>
        <v/>
      </c>
      <c r="M306" s="9" t="str">
        <f>IF(AND(E306=""),"",IF(AND(I306=""),"",E306-I306))</f>
        <v/>
      </c>
      <c r="N306" s="9" t="str">
        <f>IF(AND(F306=""),"",IF(AND(J306=""),"",F306-J306))</f>
        <v/>
      </c>
      <c r="O306" s="9">
        <v>0</v>
      </c>
      <c r="P306" s="9" t="str">
        <f>IF(AND($Y$299=""),"",IF(AND(N306=""),"",ROUND(N306*AA$1%,0)))</f>
        <v/>
      </c>
      <c r="Q306" s="9" t="str">
        <f>IF(AND($Y$299=""),"",IF(AND(C306=""),"",IF(AND(O306=""),"",SUM(O306,P306))))</f>
        <v/>
      </c>
      <c r="R306" s="9" t="str">
        <f t="shared" si="444"/>
        <v/>
      </c>
      <c r="S306" s="20"/>
    </row>
    <row r="307" spans="1:25" ht="21" customHeight="1">
      <c r="A307" s="8">
        <v>4</v>
      </c>
      <c r="B307" s="23" t="str">
        <f>IFERROR(DATE(YEAR(B306),MONTH(B306)+1,DAY(B306)),"")</f>
        <v/>
      </c>
      <c r="C307" s="9"/>
      <c r="D307" s="9" t="str">
        <f>IF(AND(C307=""),"",IF(AND($Y$299=""),"",ROUND(C307*Master!C$5%,0)))</f>
        <v/>
      </c>
      <c r="E307" s="9" t="str">
        <f>IF(AND(C307=""),"",IF(AND($Y$299=""),"",ROUND(C307*Master!H$5%,0)))</f>
        <v/>
      </c>
      <c r="F307" s="9" t="str">
        <f t="shared" ref="F307" si="447">IF(AND(C307=""),"",SUM(C307:E307))</f>
        <v/>
      </c>
      <c r="G307" s="9" t="str">
        <f t="shared" si="446"/>
        <v/>
      </c>
      <c r="H307" s="9" t="str">
        <f>IF(AND(G307=""),"",IF(AND($Y$299=""),"",ROUND(G307*Master!C$4%,0)))</f>
        <v/>
      </c>
      <c r="I307" s="9" t="str">
        <f>IF(AND(G307=""),"",IF(AND($Y$299=""),"",ROUND(G307*Master!H$4%,0)))</f>
        <v/>
      </c>
      <c r="J307" s="9" t="str">
        <f>IF(AND(C307=""),"",SUM(G307:I307))</f>
        <v/>
      </c>
      <c r="K307" s="9" t="str">
        <f t="shared" ref="K307" si="448">IF(AND(C307=""),"",IF(AND(G307=""),"",C307-G307))</f>
        <v/>
      </c>
      <c r="L307" s="9" t="str">
        <f t="shared" ref="L307" si="449">IF(AND(D307=""),"",IF(AND(H307=""),"",D307-H307))</f>
        <v/>
      </c>
      <c r="M307" s="9" t="str">
        <f>IF(AND(E307=""),"",IF(AND(I307=""),"",E307-I307))</f>
        <v/>
      </c>
      <c r="N307" s="9" t="str">
        <f>IF(AND(F307=""),"",IF(AND(J307=""),"",F307-J307))</f>
        <v/>
      </c>
      <c r="O307" s="9">
        <v>0</v>
      </c>
      <c r="P307" s="9" t="str">
        <f>IF(AND($Y$299=""),"",IF(AND(N307=""),"",ROUND(N307*AA$1%,0)))</f>
        <v/>
      </c>
      <c r="Q307" s="9" t="str">
        <f>IF(AND($Y$299=""),"",IF(AND(C307=""),"",IF(AND(O307=""),"",SUM(O307,P307))))</f>
        <v/>
      </c>
      <c r="R307" s="9" t="str">
        <f t="shared" ref="R307" si="450">IF(AND(N307=""),"",IF(AND(Q307=""),"",N307-Q307))</f>
        <v/>
      </c>
      <c r="S307" s="20"/>
    </row>
    <row r="308" spans="1:25" ht="23.25" customHeight="1">
      <c r="A308" s="153" t="s">
        <v>9</v>
      </c>
      <c r="B308" s="154"/>
      <c r="C308" s="63">
        <f>IFERROR(IF(AND($Y$299=""),"",SUM(C304:C307)),"")</f>
        <v>0</v>
      </c>
      <c r="D308" s="63">
        <f t="shared" ref="D308:R308" si="451">IFERROR(IF(AND($Y$299=""),"",SUM(D304:D307)),"")</f>
        <v>0</v>
      </c>
      <c r="E308" s="63">
        <f t="shared" si="451"/>
        <v>0</v>
      </c>
      <c r="F308" s="63">
        <f t="shared" si="451"/>
        <v>0</v>
      </c>
      <c r="G308" s="63">
        <f t="shared" si="451"/>
        <v>0</v>
      </c>
      <c r="H308" s="63">
        <f t="shared" si="451"/>
        <v>0</v>
      </c>
      <c r="I308" s="63">
        <f t="shared" si="451"/>
        <v>0</v>
      </c>
      <c r="J308" s="63">
        <f t="shared" si="451"/>
        <v>0</v>
      </c>
      <c r="K308" s="63">
        <f t="shared" si="451"/>
        <v>0</v>
      </c>
      <c r="L308" s="63">
        <f t="shared" si="451"/>
        <v>0</v>
      </c>
      <c r="M308" s="63">
        <f t="shared" si="451"/>
        <v>0</v>
      </c>
      <c r="N308" s="63">
        <f t="shared" si="451"/>
        <v>0</v>
      </c>
      <c r="O308" s="63">
        <f t="shared" si="451"/>
        <v>0</v>
      </c>
      <c r="P308" s="63">
        <f t="shared" si="451"/>
        <v>0</v>
      </c>
      <c r="Q308" s="63">
        <f t="shared" si="451"/>
        <v>0</v>
      </c>
      <c r="R308" s="63">
        <f t="shared" si="451"/>
        <v>0</v>
      </c>
      <c r="S308" s="49"/>
    </row>
    <row r="309" spans="1:25" ht="10.5" customHeight="1">
      <c r="A309" s="73"/>
      <c r="B309" s="73"/>
      <c r="C309" s="74"/>
      <c r="D309" s="74"/>
      <c r="E309" s="74"/>
      <c r="F309" s="74"/>
      <c r="G309" s="74"/>
      <c r="H309" s="74"/>
      <c r="I309" s="74"/>
      <c r="J309" s="74"/>
      <c r="K309" s="74"/>
      <c r="L309" s="74"/>
      <c r="M309" s="74"/>
      <c r="N309" s="74"/>
      <c r="O309" s="74"/>
      <c r="P309" s="74"/>
      <c r="Q309" s="74"/>
      <c r="R309" s="74"/>
      <c r="S309" s="75"/>
    </row>
    <row r="310" spans="1:25" ht="23.25" customHeight="1">
      <c r="E310" s="133" t="s">
        <v>10</v>
      </c>
      <c r="F310" s="133"/>
      <c r="G310" s="133"/>
      <c r="H310" s="133"/>
      <c r="I310" s="133"/>
      <c r="J310" s="132" t="str">
        <f>IF(ISNA(VLOOKUP($Y$312,Master!A$8:N$127,2,FALSE)),"",VLOOKUP($Y$312,Master!A$8:AH$127,2,FALSE))</f>
        <v/>
      </c>
      <c r="K310" s="132"/>
      <c r="L310" s="132"/>
      <c r="M310" s="132"/>
      <c r="N310" s="132"/>
      <c r="O310" s="60" t="s">
        <v>31</v>
      </c>
      <c r="P310" s="132" t="str">
        <f>IF(ISNA(VLOOKUP($Y$312,Master!A$8:N$127,3,FALSE)),"",VLOOKUP($Y$312,Master!A$8:AH$127,3,FALSE))</f>
        <v/>
      </c>
      <c r="Q310" s="132"/>
      <c r="R310" s="132"/>
      <c r="S310" s="132"/>
    </row>
    <row r="311" spans="1:25" ht="9" customHeight="1">
      <c r="E311" s="19"/>
      <c r="F311" s="52"/>
      <c r="G311" s="22"/>
      <c r="H311" s="22"/>
      <c r="I311" s="22"/>
      <c r="J311" s="5"/>
      <c r="K311" s="5"/>
      <c r="L311" s="5"/>
      <c r="M311" s="5"/>
      <c r="N311" s="5"/>
      <c r="O311" s="6"/>
      <c r="P311" s="6"/>
    </row>
    <row r="312" spans="1:25" ht="21" customHeight="1">
      <c r="A312" s="8">
        <v>1</v>
      </c>
      <c r="B312" s="23" t="str">
        <f>IFERROR(IF(ISNA(VLOOKUP(Y312,Master!A$8:N$127,8,FALSE)),"",VLOOKUP($Y312,Master!A$8:AH$127,8,FALSE)),"")</f>
        <v/>
      </c>
      <c r="C312" s="9" t="str">
        <f>IF(ISNA(VLOOKUP($Y$312,Master!A$8:N$127,5,FALSE)),"",VLOOKUP($Y$312,Master!A$8:AH$127,5,FALSE))</f>
        <v/>
      </c>
      <c r="D312" s="9" t="str">
        <f>IF(AND(C312=""),"",IF(AND($Y$312=""),"",ROUND(C312*Master!C$5%,0)))</f>
        <v/>
      </c>
      <c r="E312" s="9" t="str">
        <f>IF(AND(C312=""),"",IF(AND($Y$312=""),"",ROUND(C312*Master!H$5%,0)))</f>
        <v/>
      </c>
      <c r="F312" s="9" t="str">
        <f t="shared" ref="F312:F314" si="452">IF(AND(C312=""),"",SUM(C312:E312))</f>
        <v/>
      </c>
      <c r="G312" s="9" t="str">
        <f>IF(ISNA(VLOOKUP($Y$312,Master!A$8:N$127,5,FALSE)),"",VLOOKUP($Y$312,Master!A$8:AH$127,5,FALSE))</f>
        <v/>
      </c>
      <c r="H312" s="9" t="str">
        <f>IF(AND(G312=""),"",IF(AND($Y$312=""),"",ROUND(G312*Master!C$4%,0)))</f>
        <v/>
      </c>
      <c r="I312" s="9" t="str">
        <f>IF(AND(G312=""),"",IF(AND($Y$312=""),"",ROUND(G312*Master!H$4%,0)))</f>
        <v/>
      </c>
      <c r="J312" s="9" t="str">
        <f t="shared" ref="J312:J314" si="453">IF(AND(C312=""),"",SUM(G312:I312))</f>
        <v/>
      </c>
      <c r="K312" s="9" t="str">
        <f t="shared" ref="K312" si="454">IF(AND(C312=""),"",IF(AND(G312=""),"",C312-G312))</f>
        <v/>
      </c>
      <c r="L312" s="9" t="str">
        <f>IF(AND(D312=""),"",IF(AND(H312=""),"",D312-H312))</f>
        <v/>
      </c>
      <c r="M312" s="9" t="str">
        <f t="shared" ref="M312:M314" si="455">IF(AND(E312=""),"",IF(AND(I312=""),"",E312-I312))</f>
        <v/>
      </c>
      <c r="N312" s="9" t="str">
        <f t="shared" ref="N312:N314" si="456">IF(AND(F312=""),"",IF(AND(J312=""),"",F312-J312))</f>
        <v/>
      </c>
      <c r="O312" s="9" t="str">
        <f>IF(AND(C312=""),"",N312-P312)</f>
        <v/>
      </c>
      <c r="P312" s="9" t="str">
        <f>IF(AND($Y$312=""),"",IF(AND(N312=""),"",ROUND(N312*X$17%,0)))</f>
        <v/>
      </c>
      <c r="Q312" s="9" t="str">
        <f>IF(AND($Y$312=""),"",IF(AND(C312=""),"",IF(AND(O312=""),"",SUM(O312,P312))))</f>
        <v/>
      </c>
      <c r="R312" s="9" t="str">
        <f>IF(AND(N312=""),"",IF(AND(Q312=""),"",N312-Q312))</f>
        <v/>
      </c>
      <c r="S312" s="20"/>
      <c r="X312" s="61" t="s">
        <v>49</v>
      </c>
      <c r="Y312" s="64">
        <v>26</v>
      </c>
    </row>
    <row r="313" spans="1:25" ht="21" customHeight="1">
      <c r="A313" s="8">
        <v>2</v>
      </c>
      <c r="B313" s="23" t="str">
        <f>IFERROR(DATE(YEAR(B312),MONTH(B312)+1,DAY(B312)),"")</f>
        <v/>
      </c>
      <c r="C313" s="9" t="str">
        <f>IF(AND($Y$312=""),"",C312)</f>
        <v/>
      </c>
      <c r="D313" s="9" t="str">
        <f>IF(AND(C313=""),"",IF(AND($Y$312=""),"",ROUND(C313*Master!C$5%,0)))</f>
        <v/>
      </c>
      <c r="E313" s="9" t="str">
        <f>IF(AND(C313=""),"",IF(AND($Y$312=""),"",ROUND(C313*Master!H$5%,0)))</f>
        <v/>
      </c>
      <c r="F313" s="9" t="str">
        <f t="shared" si="452"/>
        <v/>
      </c>
      <c r="G313" s="9" t="str">
        <f>IF(C313="","",IF(AND($Y$312=""),"",G312))</f>
        <v/>
      </c>
      <c r="H313" s="9" t="str">
        <f>IF(AND(G313=""),"",IF(AND($Y$312=""),"",ROUND(G313*Master!C$4%,0)))</f>
        <v/>
      </c>
      <c r="I313" s="9" t="str">
        <f>IF(AND(G313=""),"",IF(AND($Y$312=""),"",ROUND(G313*Master!H$4%,0)))</f>
        <v/>
      </c>
      <c r="J313" s="9" t="str">
        <f t="shared" si="453"/>
        <v/>
      </c>
      <c r="K313" s="9" t="str">
        <f>IF(AND(C313=""),"",IF(AND(G313=""),"",C313-G313))</f>
        <v/>
      </c>
      <c r="L313" s="9" t="str">
        <f t="shared" ref="L313:L314" si="457">IF(AND(D313=""),"",IF(AND(H313=""),"",D313-H313))</f>
        <v/>
      </c>
      <c r="M313" s="9" t="str">
        <f t="shared" si="455"/>
        <v/>
      </c>
      <c r="N313" s="9" t="str">
        <f t="shared" si="456"/>
        <v/>
      </c>
      <c r="O313" s="9" t="str">
        <f t="shared" ref="O313" si="458">IF(AND(C313=""),"",N313-P313)</f>
        <v/>
      </c>
      <c r="P313" s="9" t="str">
        <f>IF(AND($Y$312=""),"",IF(AND(N313=""),"",ROUND(N313*X$17%,0)))</f>
        <v/>
      </c>
      <c r="Q313" s="9" t="str">
        <f>IF(AND($Y$312=""),"",IF(AND(C313=""),"",IF(AND(O313=""),"",SUM(O313,P313))))</f>
        <v/>
      </c>
      <c r="R313" s="9" t="str">
        <f t="shared" ref="R313:R314" si="459">IF(AND(N313=""),"",IF(AND(Q313=""),"",N313-Q313))</f>
        <v/>
      </c>
      <c r="S313" s="20"/>
      <c r="X313" s="4" t="str">
        <f>IF(ISNA(VLOOKUP($Y$312,Master!A$8:N$127,7,FALSE)),"",VLOOKUP($Y$312,Master!A$8:AH$127,7,FALSE))</f>
        <v/>
      </c>
    </row>
    <row r="314" spans="1:25" ht="21" customHeight="1">
      <c r="A314" s="8">
        <v>3</v>
      </c>
      <c r="B314" s="23" t="str">
        <f>IFERROR(DATE(YEAR(B313),MONTH(B313)+1,DAY(B313)),"")</f>
        <v/>
      </c>
      <c r="C314" s="9"/>
      <c r="D314" s="9" t="str">
        <f>IF(AND(C314=""),"",IF(AND($Y$312=""),"",ROUND(C314*Master!C$5%,0)))</f>
        <v/>
      </c>
      <c r="E314" s="9" t="str">
        <f>IF(AND(C314=""),"",IF(AND($Y$312=""),"",ROUND(C314*Master!H$5%,0)))</f>
        <v/>
      </c>
      <c r="F314" s="9" t="str">
        <f t="shared" si="452"/>
        <v/>
      </c>
      <c r="G314" s="9" t="str">
        <f t="shared" ref="G314:G315" si="460">IF(C314="","",IF(AND($Y$312=""),"",G313))</f>
        <v/>
      </c>
      <c r="H314" s="9" t="str">
        <f>IF(AND(G314=""),"",IF(AND($Y$312=""),"",ROUND(G314*Master!C$4%,0)))</f>
        <v/>
      </c>
      <c r="I314" s="9" t="str">
        <f>IF(AND(G314=""),"",IF(AND($Y$312=""),"",ROUND(G314*Master!H$4%,0)))</f>
        <v/>
      </c>
      <c r="J314" s="9" t="str">
        <f t="shared" si="453"/>
        <v/>
      </c>
      <c r="K314" s="9" t="str">
        <f t="shared" ref="K314" si="461">IF(AND(C314=""),"",IF(AND(G314=""),"",C314-G314))</f>
        <v/>
      </c>
      <c r="L314" s="9" t="str">
        <f t="shared" si="457"/>
        <v/>
      </c>
      <c r="M314" s="9" t="str">
        <f t="shared" si="455"/>
        <v/>
      </c>
      <c r="N314" s="9" t="str">
        <f t="shared" si="456"/>
        <v/>
      </c>
      <c r="O314" s="9">
        <v>0</v>
      </c>
      <c r="P314" s="9" t="str">
        <f>IF(AND($Y$312=""),"",IF(AND(N314=""),"",ROUND(N314*X$17%,0)))</f>
        <v/>
      </c>
      <c r="Q314" s="9" t="str">
        <f>IF(AND($Y$312=""),"",IF(AND(C314=""),"",IF(AND(O314=""),"",SUM(O314,P314))))</f>
        <v/>
      </c>
      <c r="R314" s="9" t="str">
        <f t="shared" si="459"/>
        <v/>
      </c>
      <c r="S314" s="20"/>
    </row>
    <row r="315" spans="1:25" ht="21" customHeight="1">
      <c r="A315" s="8">
        <v>4</v>
      </c>
      <c r="B315" s="23" t="str">
        <f>IFERROR(DATE(YEAR(B314),MONTH(B314)+1,DAY(B314)),"")</f>
        <v/>
      </c>
      <c r="C315" s="9"/>
      <c r="D315" s="9" t="str">
        <f>IF(AND(C315=""),"",IF(AND($Y$312=""),"",ROUND(C315*Master!C$5%,0)))</f>
        <v/>
      </c>
      <c r="E315" s="9" t="str">
        <f>IF(AND(C315=""),"",IF(AND($Y$312=""),"",ROUND(C315*Master!H$5%,0)))</f>
        <v/>
      </c>
      <c r="F315" s="9" t="str">
        <f t="shared" ref="F315" si="462">IF(AND(C315=""),"",SUM(C315:E315))</f>
        <v/>
      </c>
      <c r="G315" s="9" t="str">
        <f t="shared" si="460"/>
        <v/>
      </c>
      <c r="H315" s="9" t="str">
        <f>IF(AND(G315=""),"",IF(AND($Y$312=""),"",ROUND(G315*Master!C$4%,0)))</f>
        <v/>
      </c>
      <c r="I315" s="9" t="str">
        <f>IF(AND(G315=""),"",IF(AND($Y$312=""),"",ROUND(G315*Master!H$4%,0)))</f>
        <v/>
      </c>
      <c r="J315" s="9" t="str">
        <f t="shared" ref="J315" si="463">IF(AND(C315=""),"",SUM(G315:I315))</f>
        <v/>
      </c>
      <c r="K315" s="9" t="str">
        <f t="shared" ref="K315" si="464">IF(AND(C315=""),"",IF(AND(G315=""),"",C315-G315))</f>
        <v/>
      </c>
      <c r="L315" s="9" t="str">
        <f t="shared" ref="L315" si="465">IF(AND(D315=""),"",IF(AND(H315=""),"",D315-H315))</f>
        <v/>
      </c>
      <c r="M315" s="9" t="str">
        <f t="shared" ref="M315" si="466">IF(AND(E315=""),"",IF(AND(I315=""),"",E315-I315))</f>
        <v/>
      </c>
      <c r="N315" s="9" t="str">
        <f t="shared" ref="N315" si="467">IF(AND(F315=""),"",IF(AND(J315=""),"",F315-J315))</f>
        <v/>
      </c>
      <c r="O315" s="9">
        <v>0</v>
      </c>
      <c r="P315" s="9" t="str">
        <f>IF(AND($Y$312=""),"",IF(AND(N315=""),"",ROUND(N315*X$17%,0)))</f>
        <v/>
      </c>
      <c r="Q315" s="9" t="str">
        <f>IF(AND($Y$312=""),"",IF(AND(C315=""),"",IF(AND(O315=""),"",SUM(O315,P315))))</f>
        <v/>
      </c>
      <c r="R315" s="9" t="str">
        <f t="shared" ref="R315" si="468">IF(AND(N315=""),"",IF(AND(Q315=""),"",N315-Q315))</f>
        <v/>
      </c>
      <c r="S315" s="20"/>
    </row>
    <row r="316" spans="1:25" ht="30.75" customHeight="1">
      <c r="A316" s="153" t="s">
        <v>9</v>
      </c>
      <c r="B316" s="154"/>
      <c r="C316" s="63">
        <f>IF(AND($Y$312=""),"",SUM(C312:C315))</f>
        <v>0</v>
      </c>
      <c r="D316" s="63">
        <f t="shared" ref="D316:Q316" si="469">IF(AND($Y$312=""),"",SUM(D312:D315))</f>
        <v>0</v>
      </c>
      <c r="E316" s="63">
        <f t="shared" si="469"/>
        <v>0</v>
      </c>
      <c r="F316" s="63">
        <f t="shared" si="469"/>
        <v>0</v>
      </c>
      <c r="G316" s="63">
        <f t="shared" si="469"/>
        <v>0</v>
      </c>
      <c r="H316" s="63">
        <f t="shared" si="469"/>
        <v>0</v>
      </c>
      <c r="I316" s="63">
        <f t="shared" si="469"/>
        <v>0</v>
      </c>
      <c r="J316" s="63">
        <f t="shared" si="469"/>
        <v>0</v>
      </c>
      <c r="K316" s="63">
        <f t="shared" si="469"/>
        <v>0</v>
      </c>
      <c r="L316" s="63">
        <f t="shared" si="469"/>
        <v>0</v>
      </c>
      <c r="M316" s="63">
        <f t="shared" si="469"/>
        <v>0</v>
      </c>
      <c r="N316" s="63">
        <f t="shared" si="469"/>
        <v>0</v>
      </c>
      <c r="O316" s="63">
        <f t="shared" si="469"/>
        <v>0</v>
      </c>
      <c r="P316" s="63">
        <f t="shared" si="469"/>
        <v>0</v>
      </c>
      <c r="Q316" s="63">
        <f t="shared" si="469"/>
        <v>0</v>
      </c>
      <c r="R316" s="63">
        <f>IF(AND($Y$312=""),"",SUM(R312:R315))</f>
        <v>0</v>
      </c>
      <c r="S316" s="49"/>
    </row>
    <row r="317" spans="1:25" ht="11.25" customHeight="1">
      <c r="A317" s="73"/>
      <c r="B317" s="73"/>
      <c r="C317" s="74"/>
      <c r="D317" s="74"/>
      <c r="E317" s="74"/>
      <c r="F317" s="74"/>
      <c r="G317" s="74"/>
      <c r="H317" s="74"/>
      <c r="I317" s="74"/>
      <c r="J317" s="74"/>
      <c r="K317" s="74"/>
      <c r="L317" s="74"/>
      <c r="M317" s="74"/>
      <c r="N317" s="74"/>
      <c r="O317" s="74"/>
      <c r="P317" s="74"/>
      <c r="Q317" s="74"/>
      <c r="R317" s="74"/>
      <c r="S317" s="75"/>
    </row>
    <row r="318" spans="1:25" ht="23.25" customHeight="1">
      <c r="E318" s="133" t="s">
        <v>10</v>
      </c>
      <c r="F318" s="133"/>
      <c r="G318" s="133"/>
      <c r="H318" s="133"/>
      <c r="I318" s="133"/>
      <c r="J318" s="132" t="str">
        <f>IF(ISNA(VLOOKUP($Y$320,Master!A$8:N$127,2,FALSE)),"",VLOOKUP($Y$320,Master!A$8:AH$127,2,FALSE))</f>
        <v/>
      </c>
      <c r="K318" s="132"/>
      <c r="L318" s="132"/>
      <c r="M318" s="132"/>
      <c r="N318" s="132"/>
      <c r="O318" s="60" t="s">
        <v>31</v>
      </c>
      <c r="P318" s="132" t="str">
        <f>IF(ISNA(VLOOKUP($Y$320,Master!A$8:N$127,3,FALSE)),"",VLOOKUP($Y$320,Master!A$8:AH$127,3,FALSE))</f>
        <v/>
      </c>
      <c r="Q318" s="132"/>
      <c r="R318" s="132"/>
      <c r="S318" s="132"/>
    </row>
    <row r="319" spans="1:25" ht="9" customHeight="1">
      <c r="E319" s="19"/>
      <c r="F319" s="52"/>
      <c r="G319" s="22"/>
      <c r="H319" s="22"/>
      <c r="I319" s="22"/>
      <c r="J319" s="5"/>
      <c r="K319" s="5"/>
      <c r="L319" s="5"/>
      <c r="M319" s="5"/>
      <c r="N319" s="5"/>
      <c r="O319" s="6"/>
      <c r="P319" s="6"/>
    </row>
    <row r="320" spans="1:25" ht="21" customHeight="1">
      <c r="A320" s="8">
        <v>1</v>
      </c>
      <c r="B320" s="23" t="str">
        <f>IFERROR(IF(ISNA(VLOOKUP(Y320,Master!A$8:N$127,8,FALSE)),"",VLOOKUP($Y320,Master!A$8:AH$127,8,FALSE)),"")</f>
        <v/>
      </c>
      <c r="C320" s="9" t="str">
        <f>IF(ISNA(VLOOKUP($Y$320,Master!A$8:N$127,5,FALSE)),"",VLOOKUP($Y$320,Master!A$8:AH$127,5,FALSE))</f>
        <v/>
      </c>
      <c r="D320" s="9" t="str">
        <f>IF(AND(C320=""),"",IF(AND($Y$320=""),"",ROUND(C320*Master!C$5%,0)))</f>
        <v/>
      </c>
      <c r="E320" s="9" t="str">
        <f>IF(AND(C320=""),"",IF(AND($Y$320=""),"",ROUND(C320*Master!H$5%,0)))</f>
        <v/>
      </c>
      <c r="F320" s="9" t="str">
        <f t="shared" ref="F320:F322" si="470">IF(AND(C320=""),"",SUM(C320:E320))</f>
        <v/>
      </c>
      <c r="G320" s="9" t="str">
        <f>IF(ISNA(VLOOKUP($Y$320,Master!A$8:N$127,5,FALSE)),"",VLOOKUP($Y$320,Master!A$8:AH$127,5,FALSE))</f>
        <v/>
      </c>
      <c r="H320" s="9" t="str">
        <f>IF(AND(G320=""),"",IF(AND($Y$320=""),"",ROUND(G320*Master!C$4%,0)))</f>
        <v/>
      </c>
      <c r="I320" s="9" t="str">
        <f>IF(AND(G320=""),"",IF(AND($Y$320=""),"",ROUND(G320*Master!H$4%,0)))</f>
        <v/>
      </c>
      <c r="J320" s="9" t="str">
        <f t="shared" ref="J320:J322" si="471">IF(AND(C320=""),"",SUM(G320:I320))</f>
        <v/>
      </c>
      <c r="K320" s="9" t="str">
        <f t="shared" ref="K320:K322" si="472">IF(AND(C320=""),"",IF(AND(G320=""),"",C320-G320))</f>
        <v/>
      </c>
      <c r="L320" s="9" t="str">
        <f t="shared" ref="L320:L322" si="473">IF(AND(D320=""),"",IF(AND(H320=""),"",D320-H320))</f>
        <v/>
      </c>
      <c r="M320" s="9" t="str">
        <f t="shared" ref="M320:M322" si="474">IF(AND(E320=""),"",IF(AND(I320=""),"",E320-I320))</f>
        <v/>
      </c>
      <c r="N320" s="9" t="str">
        <f t="shared" ref="N320:N322" si="475">IF(AND(F320=""),"",IF(AND(J320=""),"",F320-J320))</f>
        <v/>
      </c>
      <c r="O320" s="9" t="str">
        <f>IF(AND(C320=""),"",N320-P320)</f>
        <v/>
      </c>
      <c r="P320" s="9" t="str">
        <f>IF(AND($Y$320=""),"",IF(AND(N320=""),"",ROUND(N320*AA$1%,0)))</f>
        <v/>
      </c>
      <c r="Q320" s="9" t="str">
        <f>IF(AND($Y$320=""),"",IF(AND(C320=""),"",IF(AND(O320=""),"",SUM(O320,P320))))</f>
        <v/>
      </c>
      <c r="R320" s="9" t="str">
        <f>IF(AND(N320=""),"",IF(AND(Q320=""),"",N320-Q320))</f>
        <v/>
      </c>
      <c r="S320" s="20"/>
      <c r="X320" s="61" t="s">
        <v>49</v>
      </c>
      <c r="Y320" s="64">
        <v>27</v>
      </c>
    </row>
    <row r="321" spans="1:27" ht="21" customHeight="1">
      <c r="A321" s="8">
        <v>2</v>
      </c>
      <c r="B321" s="23" t="str">
        <f>IFERROR(DATE(YEAR(B320),MONTH(B320)+1,DAY(B320)),"")</f>
        <v/>
      </c>
      <c r="C321" s="9" t="str">
        <f>IF(AND($Y$320=""),"",C320)</f>
        <v/>
      </c>
      <c r="D321" s="9" t="str">
        <f>IF(AND(C321=""),"",IF(AND($Y$320=""),"",ROUND(C321*Master!C$5%,0)))</f>
        <v/>
      </c>
      <c r="E321" s="9" t="str">
        <f>IF(AND(C321=""),"",IF(AND($Y$320=""),"",ROUND(C321*Master!H$5%,0)))</f>
        <v/>
      </c>
      <c r="F321" s="9" t="str">
        <f t="shared" si="470"/>
        <v/>
      </c>
      <c r="G321" s="9" t="str">
        <f>IF(C321="","",IF(AND($Y$320=""),"",G320))</f>
        <v/>
      </c>
      <c r="H321" s="9" t="str">
        <f>IF(AND(G321=""),"",IF(AND($Y$320=""),"",ROUND(G321*Master!C$4%,0)))</f>
        <v/>
      </c>
      <c r="I321" s="9" t="str">
        <f>IF(AND(G321=""),"",IF(AND($Y$320=""),"",ROUND(G321*Master!H$4%,0)))</f>
        <v/>
      </c>
      <c r="J321" s="9" t="str">
        <f t="shared" si="471"/>
        <v/>
      </c>
      <c r="K321" s="9" t="str">
        <f t="shared" si="472"/>
        <v/>
      </c>
      <c r="L321" s="9" t="str">
        <f t="shared" si="473"/>
        <v/>
      </c>
      <c r="M321" s="9" t="str">
        <f t="shared" si="474"/>
        <v/>
      </c>
      <c r="N321" s="9" t="str">
        <f t="shared" si="475"/>
        <v/>
      </c>
      <c r="O321" s="9" t="str">
        <f t="shared" ref="O321" si="476">IF(AND(C321=""),"",N321-P321)</f>
        <v/>
      </c>
      <c r="P321" s="9" t="str">
        <f>IF(AND($Y$320=""),"",IF(AND(N321=""),"",ROUND(N321*AA$1%,0)))</f>
        <v/>
      </c>
      <c r="Q321" s="9" t="str">
        <f>IF(AND($Y$320=""),"",IF(AND(C321=""),"",IF(AND(O321=""),"",SUM(O321,P321))))</f>
        <v/>
      </c>
      <c r="R321" s="9" t="str">
        <f t="shared" ref="R321:R322" si="477">IF(AND(N321=""),"",IF(AND(Q321=""),"",N321-Q321))</f>
        <v/>
      </c>
      <c r="S321" s="20"/>
      <c r="X321" s="4" t="str">
        <f>IF(ISNA(VLOOKUP($Y$320,Master!A$8:N$127,7,FALSE)),"",VLOOKUP($Y$320,Master!A$8:AH$127,7,FALSE))</f>
        <v/>
      </c>
    </row>
    <row r="322" spans="1:27" ht="21" customHeight="1">
      <c r="A322" s="8">
        <v>3</v>
      </c>
      <c r="B322" s="23" t="str">
        <f>IFERROR(DATE(YEAR(B321),MONTH(B321)+1,DAY(B321)),"")</f>
        <v/>
      </c>
      <c r="C322" s="9"/>
      <c r="D322" s="9" t="str">
        <f>IF(AND(C322=""),"",IF(AND($Y$320=""),"",ROUND(C322*Master!C$5%,0)))</f>
        <v/>
      </c>
      <c r="E322" s="9" t="str">
        <f>IF(AND(C322=""),"",IF(AND($Y$320=""),"",ROUND(C322*Master!H$5%,0)))</f>
        <v/>
      </c>
      <c r="F322" s="9" t="str">
        <f t="shared" si="470"/>
        <v/>
      </c>
      <c r="G322" s="9" t="str">
        <f t="shared" ref="G322:G323" si="478">IF(C322="","",IF(AND($Y$320=""),"",G321))</f>
        <v/>
      </c>
      <c r="H322" s="9" t="str">
        <f>IF(AND(G322=""),"",IF(AND($Y$320=""),"",ROUND(G322*Master!C$4%,0)))</f>
        <v/>
      </c>
      <c r="I322" s="9" t="str">
        <f>IF(AND(G322=""),"",IF(AND($Y$320=""),"",ROUND(G322*Master!H$4%,0)))</f>
        <v/>
      </c>
      <c r="J322" s="9" t="str">
        <f t="shared" si="471"/>
        <v/>
      </c>
      <c r="K322" s="9" t="str">
        <f t="shared" si="472"/>
        <v/>
      </c>
      <c r="L322" s="9" t="str">
        <f t="shared" si="473"/>
        <v/>
      </c>
      <c r="M322" s="9" t="str">
        <f t="shared" si="474"/>
        <v/>
      </c>
      <c r="N322" s="9" t="str">
        <f t="shared" si="475"/>
        <v/>
      </c>
      <c r="O322" s="9">
        <v>0</v>
      </c>
      <c r="P322" s="9" t="str">
        <f>IF(AND($Y$320=""),"",IF(AND(N322=""),"",ROUND(N322*AA$1%,0)))</f>
        <v/>
      </c>
      <c r="Q322" s="9" t="str">
        <f>IF(AND($Y$320=""),"",IF(AND(C322=""),"",IF(AND(O322=""),"",SUM(O322,P322))))</f>
        <v/>
      </c>
      <c r="R322" s="9" t="str">
        <f t="shared" si="477"/>
        <v/>
      </c>
      <c r="S322" s="20"/>
    </row>
    <row r="323" spans="1:27" ht="21" customHeight="1">
      <c r="A323" s="8">
        <v>4</v>
      </c>
      <c r="B323" s="23" t="str">
        <f>IFERROR(DATE(YEAR(B322),MONTH(B322)+1,DAY(B322)),"")</f>
        <v/>
      </c>
      <c r="C323" s="9"/>
      <c r="D323" s="9" t="str">
        <f>IF(AND(C323=""),"",IF(AND($Y$320=""),"",ROUND(C323*Master!C$5%,0)))</f>
        <v/>
      </c>
      <c r="E323" s="9" t="str">
        <f>IF(AND(C323=""),"",IF(AND($Y$320=""),"",ROUND(C323*Master!H$5%,0)))</f>
        <v/>
      </c>
      <c r="F323" s="9" t="str">
        <f t="shared" ref="F323" si="479">IF(AND(C323=""),"",SUM(C323:E323))</f>
        <v/>
      </c>
      <c r="G323" s="9" t="str">
        <f t="shared" si="478"/>
        <v/>
      </c>
      <c r="H323" s="9" t="str">
        <f>IF(AND(G323=""),"",IF(AND($Y$320=""),"",ROUND(G323*Master!C$4%,0)))</f>
        <v/>
      </c>
      <c r="I323" s="9" t="str">
        <f>IF(AND(G323=""),"",IF(AND($Y$320=""),"",ROUND(G323*Master!H$4%,0)))</f>
        <v/>
      </c>
      <c r="J323" s="9" t="str">
        <f t="shared" ref="J323" si="480">IF(AND(C323=""),"",SUM(G323:I323))</f>
        <v/>
      </c>
      <c r="K323" s="9" t="str">
        <f t="shared" ref="K323" si="481">IF(AND(C323=""),"",IF(AND(G323=""),"",C323-G323))</f>
        <v/>
      </c>
      <c r="L323" s="9" t="str">
        <f t="shared" ref="L323" si="482">IF(AND(D323=""),"",IF(AND(H323=""),"",D323-H323))</f>
        <v/>
      </c>
      <c r="M323" s="9" t="str">
        <f t="shared" ref="M323" si="483">IF(AND(E323=""),"",IF(AND(I323=""),"",E323-I323))</f>
        <v/>
      </c>
      <c r="N323" s="9" t="str">
        <f t="shared" ref="N323" si="484">IF(AND(F323=""),"",IF(AND(J323=""),"",F323-J323))</f>
        <v/>
      </c>
      <c r="O323" s="9">
        <v>0</v>
      </c>
      <c r="P323" s="9" t="str">
        <f>IF(AND($Y$320=""),"",IF(AND(N323=""),"",ROUND(N323*AA$1%,0)))</f>
        <v/>
      </c>
      <c r="Q323" s="9" t="str">
        <f>IF(AND($Y$320=""),"",IF(AND(C323=""),"",IF(AND(O323=""),"",SUM(O323,P323))))</f>
        <v/>
      </c>
      <c r="R323" s="9" t="str">
        <f t="shared" ref="R323" si="485">IF(AND(N323=""),"",IF(AND(Q323=""),"",N323-Q323))</f>
        <v/>
      </c>
      <c r="S323" s="20"/>
    </row>
    <row r="324" spans="1:27" ht="30.75" customHeight="1">
      <c r="A324" s="153" t="s">
        <v>9</v>
      </c>
      <c r="B324" s="154"/>
      <c r="C324" s="63">
        <f>IF(AND($Y$320=""),"",SUM(C320:C323))</f>
        <v>0</v>
      </c>
      <c r="D324" s="63">
        <f t="shared" ref="D324:Q324" si="486">IF(AND($Y$320=""),"",SUM(D320:D323))</f>
        <v>0</v>
      </c>
      <c r="E324" s="63">
        <f t="shared" si="486"/>
        <v>0</v>
      </c>
      <c r="F324" s="63">
        <f t="shared" si="486"/>
        <v>0</v>
      </c>
      <c r="G324" s="63">
        <f t="shared" si="486"/>
        <v>0</v>
      </c>
      <c r="H324" s="63">
        <f t="shared" si="486"/>
        <v>0</v>
      </c>
      <c r="I324" s="63">
        <f t="shared" si="486"/>
        <v>0</v>
      </c>
      <c r="J324" s="63">
        <f t="shared" si="486"/>
        <v>0</v>
      </c>
      <c r="K324" s="63">
        <f t="shared" si="486"/>
        <v>0</v>
      </c>
      <c r="L324" s="63">
        <f t="shared" si="486"/>
        <v>0</v>
      </c>
      <c r="M324" s="63">
        <f t="shared" si="486"/>
        <v>0</v>
      </c>
      <c r="N324" s="63">
        <f t="shared" si="486"/>
        <v>0</v>
      </c>
      <c r="O324" s="63">
        <f t="shared" si="486"/>
        <v>0</v>
      </c>
      <c r="P324" s="63">
        <f t="shared" si="486"/>
        <v>0</v>
      </c>
      <c r="Q324" s="63">
        <f t="shared" si="486"/>
        <v>0</v>
      </c>
      <c r="R324" s="63">
        <f>IF(AND($Y$320=""),"",SUM(R320:R323))</f>
        <v>0</v>
      </c>
      <c r="S324" s="49"/>
    </row>
    <row r="325" spans="1:27" ht="30.75" customHeight="1">
      <c r="A325" s="73"/>
      <c r="B325" s="73"/>
      <c r="C325" s="74"/>
      <c r="D325" s="74"/>
      <c r="E325" s="74"/>
      <c r="F325" s="74"/>
      <c r="G325" s="74"/>
      <c r="H325" s="74"/>
      <c r="I325" s="74"/>
      <c r="J325" s="74"/>
      <c r="K325" s="74"/>
      <c r="L325" s="74"/>
      <c r="M325" s="74"/>
      <c r="N325" s="74"/>
      <c r="O325" s="74"/>
      <c r="P325" s="74"/>
      <c r="Q325" s="74"/>
      <c r="R325" s="74"/>
      <c r="S325" s="75"/>
    </row>
    <row r="326" spans="1:27" ht="18.75">
      <c r="A326" s="21"/>
      <c r="B326" s="58"/>
      <c r="C326" s="58"/>
      <c r="D326" s="58"/>
      <c r="E326" s="58"/>
      <c r="F326" s="58"/>
      <c r="G326" s="58"/>
      <c r="H326" s="59"/>
      <c r="I326" s="59"/>
      <c r="J326" s="59"/>
      <c r="K326" s="66"/>
      <c r="L326" s="66"/>
      <c r="M326" s="66"/>
      <c r="N326" s="66"/>
      <c r="O326" s="138" t="s">
        <v>42</v>
      </c>
      <c r="P326" s="138"/>
      <c r="Q326" s="138"/>
      <c r="R326" s="138"/>
      <c r="S326" s="138"/>
    </row>
    <row r="327" spans="1:27" ht="18.75">
      <c r="A327" s="1"/>
      <c r="B327" s="24" t="s">
        <v>19</v>
      </c>
      <c r="C327" s="139"/>
      <c r="D327" s="139"/>
      <c r="E327" s="139"/>
      <c r="F327" s="139"/>
      <c r="G327" s="139"/>
      <c r="H327" s="25"/>
      <c r="I327" s="143" t="s">
        <v>20</v>
      </c>
      <c r="J327" s="143"/>
      <c r="K327" s="141"/>
      <c r="L327" s="141"/>
      <c r="M327" s="141"/>
      <c r="O327" s="138"/>
      <c r="P327" s="138"/>
      <c r="Q327" s="138"/>
      <c r="R327" s="138"/>
      <c r="S327" s="138"/>
    </row>
    <row r="328" spans="1:27" ht="18.75">
      <c r="A328" s="1"/>
      <c r="B328" s="140" t="s">
        <v>21</v>
      </c>
      <c r="C328" s="140"/>
      <c r="D328" s="140"/>
      <c r="E328" s="140"/>
      <c r="F328" s="140"/>
      <c r="G328" s="140"/>
      <c r="H328" s="140"/>
      <c r="I328" s="27"/>
      <c r="J328" s="26"/>
      <c r="K328" s="26"/>
      <c r="L328" s="26"/>
      <c r="M328" s="26"/>
    </row>
    <row r="329" spans="1:27" ht="18.75">
      <c r="A329" s="22">
        <v>1</v>
      </c>
      <c r="B329" s="142" t="s">
        <v>22</v>
      </c>
      <c r="C329" s="142"/>
      <c r="D329" s="142"/>
      <c r="E329" s="142"/>
      <c r="F329" s="142"/>
      <c r="G329" s="142"/>
      <c r="H329" s="142"/>
      <c r="I329" s="28"/>
      <c r="J329" s="26"/>
      <c r="K329" s="26"/>
      <c r="L329" s="26"/>
      <c r="M329" s="26"/>
    </row>
    <row r="330" spans="1:27" ht="18.75">
      <c r="A330" s="2">
        <v>2</v>
      </c>
      <c r="B330" s="142" t="s">
        <v>23</v>
      </c>
      <c r="C330" s="142"/>
      <c r="D330" s="142"/>
      <c r="E330" s="142"/>
      <c r="F330" s="142"/>
      <c r="G330" s="132"/>
      <c r="H330" s="132"/>
      <c r="I330" s="132"/>
      <c r="J330" s="132"/>
      <c r="K330" s="132"/>
      <c r="L330" s="132"/>
      <c r="M330" s="132"/>
    </row>
    <row r="331" spans="1:27" ht="18.75">
      <c r="A331" s="3">
        <v>3</v>
      </c>
      <c r="B331" s="142" t="s">
        <v>24</v>
      </c>
      <c r="C331" s="142"/>
      <c r="D331" s="142"/>
      <c r="E331" s="29"/>
      <c r="F331" s="28"/>
      <c r="G331" s="28"/>
      <c r="H331" s="30"/>
      <c r="I331" s="31"/>
      <c r="J331" s="26"/>
      <c r="K331" s="26"/>
      <c r="L331" s="26"/>
      <c r="M331" s="26"/>
    </row>
    <row r="332" spans="1:27" ht="15.75">
      <c r="O332" s="138" t="s">
        <v>42</v>
      </c>
      <c r="P332" s="138"/>
      <c r="Q332" s="138"/>
      <c r="R332" s="138"/>
      <c r="S332" s="138"/>
    </row>
    <row r="334" spans="1:27" ht="18" customHeight="1">
      <c r="A334" s="148" t="str">
        <f>A297</f>
        <v xml:space="preserve">DA (46% to 50%) Drawn Statement  </v>
      </c>
      <c r="B334" s="148"/>
      <c r="C334" s="148"/>
      <c r="D334" s="148"/>
      <c r="E334" s="148"/>
      <c r="F334" s="148"/>
      <c r="G334" s="148"/>
      <c r="H334" s="148"/>
      <c r="I334" s="148"/>
      <c r="J334" s="148"/>
      <c r="K334" s="148"/>
      <c r="L334" s="148"/>
      <c r="M334" s="148"/>
      <c r="N334" s="148"/>
      <c r="O334" s="148"/>
      <c r="P334" s="148"/>
      <c r="Q334" s="148"/>
      <c r="R334" s="148"/>
      <c r="S334" s="148"/>
      <c r="W334" s="4">
        <f>IF(ISNA(VLOOKUP($Y$3,Master!A$8:N$127,4,FALSE)),"",VLOOKUP($Y$3,Master!A$8:AH$127,4,FALSE))</f>
        <v>2</v>
      </c>
      <c r="X334" s="4" t="str">
        <f>IF(ISNA(VLOOKUP($Y$3,Master!A$8:N$127,6,FALSE)),"",VLOOKUP($Y$3,Master!A$8:AH$127,6,FALSE))</f>
        <v>GPF-2004</v>
      </c>
      <c r="Y334" s="4" t="s">
        <v>45</v>
      </c>
      <c r="Z334" s="4" t="s">
        <v>18</v>
      </c>
      <c r="AA334" s="4" t="str">
        <f>IF(ISNA(VLOOKUP($Y$336,Master!A$8:N$127,7,FALSE)),"",VLOOKUP($Y$336,Master!A$8:AH$127,7,FALSE))</f>
        <v/>
      </c>
    </row>
    <row r="335" spans="1:27" ht="18">
      <c r="A335" s="131" t="str">
        <f>IF(AND(Master!C309=""),"",CONCATENATE("Office Of  ",Master!C309))</f>
        <v/>
      </c>
      <c r="B335" s="131"/>
      <c r="C335" s="131"/>
      <c r="D335" s="131"/>
      <c r="E335" s="131"/>
      <c r="F335" s="131"/>
      <c r="G335" s="131"/>
      <c r="H335" s="131"/>
      <c r="I335" s="131"/>
      <c r="J335" s="131"/>
      <c r="K335" s="131"/>
      <c r="L335" s="131"/>
      <c r="M335" s="131"/>
      <c r="N335" s="131"/>
      <c r="O335" s="131"/>
      <c r="P335" s="131"/>
      <c r="Q335" s="131"/>
      <c r="R335" s="131"/>
      <c r="S335" s="131"/>
      <c r="X335" s="4">
        <f>IF(ISNA(VLOOKUP($Y$3,Master!A$8:N$127,8,FALSE)),"",VLOOKUP($Y$3,Master!A$8:AH$127,8,FALSE))</f>
        <v>45292</v>
      </c>
      <c r="Y335" s="4" t="s">
        <v>43</v>
      </c>
    </row>
    <row r="336" spans="1:27" ht="18.75">
      <c r="E336" s="133" t="s">
        <v>10</v>
      </c>
      <c r="F336" s="133"/>
      <c r="G336" s="133"/>
      <c r="H336" s="133"/>
      <c r="I336" s="133"/>
      <c r="J336" s="132" t="str">
        <f>IF(ISNA(VLOOKUP($Y$336,Master!A$8:N$127,2,FALSE)),"",VLOOKUP($Y$336,Master!A$8:AH$127,2,FALSE))</f>
        <v/>
      </c>
      <c r="K336" s="132"/>
      <c r="L336" s="132"/>
      <c r="M336" s="132"/>
      <c r="N336" s="132"/>
      <c r="O336" s="60" t="s">
        <v>31</v>
      </c>
      <c r="P336" s="132" t="str">
        <f>IF(ISNA(VLOOKUP($Y$336,Master!A$8:N$127,3,FALSE)),"",VLOOKUP($Y$336,Master!A$8:AH$127,3,FALSE))</f>
        <v/>
      </c>
      <c r="Q336" s="132"/>
      <c r="R336" s="132"/>
      <c r="S336" s="132"/>
      <c r="X336" s="61" t="s">
        <v>49</v>
      </c>
      <c r="Y336" s="64">
        <v>28</v>
      </c>
    </row>
    <row r="337" spans="1:25" ht="8.25" customHeight="1">
      <c r="E337" s="19"/>
      <c r="F337" s="52"/>
      <c r="G337" s="22"/>
      <c r="H337" s="22"/>
      <c r="I337" s="22"/>
      <c r="J337" s="5"/>
      <c r="K337" s="5"/>
      <c r="L337" s="5"/>
      <c r="M337" s="5"/>
      <c r="N337" s="5"/>
      <c r="O337" s="6"/>
      <c r="P337" s="6"/>
    </row>
    <row r="338" spans="1:25" ht="24.75" customHeight="1">
      <c r="A338" s="157" t="s">
        <v>0</v>
      </c>
      <c r="B338" s="158" t="s">
        <v>3</v>
      </c>
      <c r="C338" s="159" t="s">
        <v>5</v>
      </c>
      <c r="D338" s="159"/>
      <c r="E338" s="159"/>
      <c r="F338" s="159"/>
      <c r="G338" s="159" t="s">
        <v>6</v>
      </c>
      <c r="H338" s="159"/>
      <c r="I338" s="159"/>
      <c r="J338" s="159"/>
      <c r="K338" s="159" t="s">
        <v>7</v>
      </c>
      <c r="L338" s="159"/>
      <c r="M338" s="159"/>
      <c r="N338" s="159"/>
      <c r="O338" s="149" t="s">
        <v>8</v>
      </c>
      <c r="P338" s="150"/>
      <c r="Q338" s="151"/>
      <c r="R338" s="162" t="s">
        <v>54</v>
      </c>
      <c r="S338" s="162" t="s">
        <v>40</v>
      </c>
    </row>
    <row r="339" spans="1:25" ht="69" customHeight="1">
      <c r="A339" s="157"/>
      <c r="B339" s="158"/>
      <c r="C339" s="54" t="s">
        <v>29</v>
      </c>
      <c r="D339" s="55" t="s">
        <v>1</v>
      </c>
      <c r="E339" s="56" t="s">
        <v>2</v>
      </c>
      <c r="F339" s="54" t="s">
        <v>46</v>
      </c>
      <c r="G339" s="54" t="s">
        <v>29</v>
      </c>
      <c r="H339" s="55" t="s">
        <v>1</v>
      </c>
      <c r="I339" s="56" t="s">
        <v>2</v>
      </c>
      <c r="J339" s="54" t="s">
        <v>47</v>
      </c>
      <c r="K339" s="54" t="s">
        <v>4</v>
      </c>
      <c r="L339" s="55" t="s">
        <v>1</v>
      </c>
      <c r="M339" s="56" t="s">
        <v>2</v>
      </c>
      <c r="N339" s="57" t="s">
        <v>48</v>
      </c>
      <c r="O339" s="53" t="s">
        <v>69</v>
      </c>
      <c r="P339" s="65" t="s">
        <v>41</v>
      </c>
      <c r="Q339" s="57" t="s">
        <v>53</v>
      </c>
      <c r="R339" s="162"/>
      <c r="S339" s="162"/>
    </row>
    <row r="340" spans="1:25" ht="18" customHeight="1">
      <c r="A340" s="7">
        <v>1</v>
      </c>
      <c r="B340" s="7">
        <v>2</v>
      </c>
      <c r="C340" s="7">
        <v>3</v>
      </c>
      <c r="D340" s="7">
        <v>4</v>
      </c>
      <c r="E340" s="7">
        <v>5</v>
      </c>
      <c r="F340" s="7">
        <v>6</v>
      </c>
      <c r="G340" s="7">
        <v>7</v>
      </c>
      <c r="H340" s="7">
        <v>8</v>
      </c>
      <c r="I340" s="7">
        <v>9</v>
      </c>
      <c r="J340" s="7">
        <v>10</v>
      </c>
      <c r="K340" s="7">
        <v>11</v>
      </c>
      <c r="L340" s="7">
        <v>12</v>
      </c>
      <c r="M340" s="7">
        <v>13</v>
      </c>
      <c r="N340" s="7">
        <v>14</v>
      </c>
      <c r="O340" s="7">
        <v>15</v>
      </c>
      <c r="P340" s="7">
        <v>17</v>
      </c>
      <c r="Q340" s="7">
        <v>18</v>
      </c>
      <c r="R340" s="7">
        <v>19</v>
      </c>
      <c r="S340" s="7">
        <v>20</v>
      </c>
    </row>
    <row r="341" spans="1:25" ht="21" customHeight="1">
      <c r="A341" s="8">
        <v>1</v>
      </c>
      <c r="B341" s="23" t="str">
        <f>IFERROR(IF(ISNA(VLOOKUP(Y336,Master!A$8:N$127,8,FALSE)),"",VLOOKUP($Y336,Master!A$8:AH$127,8,FALSE)),"")</f>
        <v/>
      </c>
      <c r="C341" s="9" t="str">
        <f>IF(ISNA(VLOOKUP(Y336,Master!A$8:N$127,5,FALSE)),"",VLOOKUP($Y$336,Master!A$8:AH$127,5,FALSE))</f>
        <v/>
      </c>
      <c r="D341" s="9" t="str">
        <f>IF(AND(C341=""),"",IF(AND($Y$336=""),"",ROUND(C341*Master!C$5%,0)))</f>
        <v/>
      </c>
      <c r="E341" s="9" t="str">
        <f>IF(AND(C341=""),"",IF(AND($Y$336=""),"",ROUND(C341*Master!H$5%,0)))</f>
        <v/>
      </c>
      <c r="F341" s="9" t="str">
        <f t="shared" ref="F341" si="487">IF(AND(C341=""),"",SUM(C341:E341))</f>
        <v/>
      </c>
      <c r="G341" s="9" t="str">
        <f>IF(ISNA(VLOOKUP($Y$336,Master!A$8:N$127,5,FALSE)),"",VLOOKUP($Y$336,Master!A$8:AH$127,5,FALSE))</f>
        <v/>
      </c>
      <c r="H341" s="9" t="str">
        <f>IF(AND(G341=""),"",IF(AND($Y$336=""),"",ROUND(G341*Master!C$4%,0)))</f>
        <v/>
      </c>
      <c r="I341" s="9" t="str">
        <f>IF(AND(G341=""),"",IF(AND($Y$336=""),"",ROUND(G341*Master!H$4%,0)))</f>
        <v/>
      </c>
      <c r="J341" s="9" t="str">
        <f t="shared" ref="J341:J342" si="488">IF(AND(C341=""),"",SUM(G341:I341))</f>
        <v/>
      </c>
      <c r="K341" s="9" t="str">
        <f t="shared" ref="K341:K343" si="489">IF(AND(C341=""),"",IF(AND(G341=""),"",C341-G341))</f>
        <v/>
      </c>
      <c r="L341" s="9" t="str">
        <f t="shared" ref="L341:L343" si="490">IF(AND(D341=""),"",IF(AND(H341=""),"",D341-H341))</f>
        <v/>
      </c>
      <c r="M341" s="9" t="str">
        <f t="shared" ref="M341:M342" si="491">IF(AND(E341=""),"",IF(AND(I341=""),"",E341-I341))</f>
        <v/>
      </c>
      <c r="N341" s="9" t="str">
        <f t="shared" ref="N341:N342" si="492">IF(AND(F341=""),"",IF(AND(J341=""),"",F341-J341))</f>
        <v/>
      </c>
      <c r="O341" s="9" t="str">
        <f>IF(AND(C341=""),"",N341-P341)</f>
        <v/>
      </c>
      <c r="P341" s="9" t="str">
        <f>IF(AND($Y$336=""),"",IF(AND(N341=""),"",ROUND(N341*AA$1%,0)))</f>
        <v/>
      </c>
      <c r="Q341" s="9" t="str">
        <f>IF(AND($Y$336=""),"",IF(AND(C341=""),"",IF(AND(O341=""),"",SUM(O341,P341))))</f>
        <v/>
      </c>
      <c r="R341" s="9" t="str">
        <f>IF(AND(N341=""),"",IF(AND(Q341=""),"",N341-Q341))</f>
        <v/>
      </c>
      <c r="S341" s="20"/>
    </row>
    <row r="342" spans="1:25" ht="21" customHeight="1">
      <c r="A342" s="8">
        <v>2</v>
      </c>
      <c r="B342" s="23" t="str">
        <f>IFERROR(DATE(YEAR(B341),MONTH(B341)+1,DAY(B341)),"")</f>
        <v/>
      </c>
      <c r="C342" s="9" t="str">
        <f>IF(AND($Y$336=""),"",C341)</f>
        <v/>
      </c>
      <c r="D342" s="9" t="str">
        <f>IF(AND(C342=""),"",IF(AND($Y$336=""),"",ROUND(C342*Master!C$5%,0)))</f>
        <v/>
      </c>
      <c r="E342" s="9" t="str">
        <f>IF(AND(C342=""),"",IF(AND($Y$336=""),"",ROUND(C342*Master!H$5%,0)))</f>
        <v/>
      </c>
      <c r="F342" s="9" t="str">
        <f>IF(AND(C342=""),"",SUM(C342:E342))</f>
        <v/>
      </c>
      <c r="G342" s="9" t="str">
        <f>IF(C342="","",IF(AND($Y$336=""),"",G341))</f>
        <v/>
      </c>
      <c r="H342" s="9" t="str">
        <f>IF(AND(G342=""),"",IF(AND($Y$336=""),"",ROUND(G342*Master!C$4%,0)))</f>
        <v/>
      </c>
      <c r="I342" s="9" t="str">
        <f>IF(AND(G342=""),"",IF(AND($Y$336=""),"",ROUND(G342*Master!H$4%,0)))</f>
        <v/>
      </c>
      <c r="J342" s="9" t="str">
        <f t="shared" si="488"/>
        <v/>
      </c>
      <c r="K342" s="9" t="str">
        <f t="shared" si="489"/>
        <v/>
      </c>
      <c r="L342" s="9" t="str">
        <f t="shared" si="490"/>
        <v/>
      </c>
      <c r="M342" s="9" t="str">
        <f t="shared" si="491"/>
        <v/>
      </c>
      <c r="N342" s="9" t="str">
        <f t="shared" si="492"/>
        <v/>
      </c>
      <c r="O342" s="9" t="str">
        <f t="shared" ref="O342" si="493">IF(AND(C342=""),"",N342-P342)</f>
        <v/>
      </c>
      <c r="P342" s="9" t="str">
        <f>IF(AND($Y$336=""),"",IF(AND(N342=""),"",ROUND(N342*AA$1%,0)))</f>
        <v/>
      </c>
      <c r="Q342" s="9" t="str">
        <f>IF(AND($Y$336=""),"",IF(AND(C342=""),"",IF(AND(O342=""),"",SUM(O342,P342))))</f>
        <v/>
      </c>
      <c r="R342" s="9" t="str">
        <f t="shared" ref="R342:R343" si="494">IF(AND(N342=""),"",IF(AND(Q342=""),"",N342-Q342))</f>
        <v/>
      </c>
      <c r="S342" s="20"/>
    </row>
    <row r="343" spans="1:25" ht="21" customHeight="1">
      <c r="A343" s="8">
        <v>3</v>
      </c>
      <c r="B343" s="23" t="str">
        <f>IFERROR(DATE(YEAR(B342),MONTH(B342)+1,DAY(B342)),"")</f>
        <v/>
      </c>
      <c r="C343" s="9"/>
      <c r="D343" s="9" t="str">
        <f>IF(AND(C343=""),"",IF(AND($Y$336=""),"",ROUND(C343*Master!C$5%,0)))</f>
        <v/>
      </c>
      <c r="E343" s="9" t="str">
        <f>IF(AND(C343=""),"",IF(AND($Y$336=""),"",ROUND(C343*Master!H$5%,0)))</f>
        <v/>
      </c>
      <c r="F343" s="9" t="str">
        <f t="shared" ref="F343" si="495">IF(AND(C343=""),"",SUM(C343:E343))</f>
        <v/>
      </c>
      <c r="G343" s="9" t="str">
        <f t="shared" ref="G343:G344" si="496">IF(C343="","",IF(AND($Y$336=""),"",G342))</f>
        <v/>
      </c>
      <c r="H343" s="9" t="str">
        <f>IF(AND(G343=""),"",IF(AND($Y$336=""),"",ROUND(G343*Master!C$4%,0)))</f>
        <v/>
      </c>
      <c r="I343" s="9" t="str">
        <f>IF(AND(G343=""),"",IF(AND($Y$336=""),"",ROUND(G343*Master!H$4%,0)))</f>
        <v/>
      </c>
      <c r="J343" s="9" t="str">
        <f>IF(AND(C343=""),"",SUM(G343:I343))</f>
        <v/>
      </c>
      <c r="K343" s="9" t="str">
        <f t="shared" si="489"/>
        <v/>
      </c>
      <c r="L343" s="9" t="str">
        <f t="shared" si="490"/>
        <v/>
      </c>
      <c r="M343" s="9" t="str">
        <f>IF(AND(E343=""),"",IF(AND(I343=""),"",E343-I343))</f>
        <v/>
      </c>
      <c r="N343" s="9" t="str">
        <f>IF(AND(F343=""),"",IF(AND(J343=""),"",F343-J343))</f>
        <v/>
      </c>
      <c r="O343" s="9">
        <v>0</v>
      </c>
      <c r="P343" s="9" t="str">
        <f>IF(AND($Y$336=""),"",IF(AND(N343=""),"",ROUND(N343*AA$1%,0)))</f>
        <v/>
      </c>
      <c r="Q343" s="9" t="str">
        <f>IF(AND($Y$336=""),"",IF(AND(C343=""),"",IF(AND(O343=""),"",SUM(O343,P343))))</f>
        <v/>
      </c>
      <c r="R343" s="9" t="str">
        <f t="shared" si="494"/>
        <v/>
      </c>
      <c r="S343" s="20"/>
    </row>
    <row r="344" spans="1:25" ht="21" customHeight="1">
      <c r="A344" s="8">
        <v>4</v>
      </c>
      <c r="B344" s="23" t="str">
        <f>IFERROR(DATE(YEAR(B343),MONTH(B343)+1,DAY(B343)),"")</f>
        <v/>
      </c>
      <c r="C344" s="9"/>
      <c r="D344" s="9" t="str">
        <f>IF(AND(C344=""),"",IF(AND($Y$336=""),"",ROUND(C344*Master!C$5%,0)))</f>
        <v/>
      </c>
      <c r="E344" s="9" t="str">
        <f>IF(AND(C344=""),"",IF(AND($Y$336=""),"",ROUND(C344*Master!H$5%,0)))</f>
        <v/>
      </c>
      <c r="F344" s="9" t="str">
        <f t="shared" ref="F344" si="497">IF(AND(C344=""),"",SUM(C344:E344))</f>
        <v/>
      </c>
      <c r="G344" s="9" t="str">
        <f t="shared" si="496"/>
        <v/>
      </c>
      <c r="H344" s="9" t="str">
        <f>IF(AND(G344=""),"",IF(AND($Y$336=""),"",ROUND(G344*Master!C$4%,0)))</f>
        <v/>
      </c>
      <c r="I344" s="9" t="str">
        <f>IF(AND(G344=""),"",IF(AND($Y$336=""),"",ROUND(G344*Master!H$4%,0)))</f>
        <v/>
      </c>
      <c r="J344" s="9" t="str">
        <f>IF(AND(C344=""),"",SUM(G344:I344))</f>
        <v/>
      </c>
      <c r="K344" s="9" t="str">
        <f t="shared" ref="K344" si="498">IF(AND(C344=""),"",IF(AND(G344=""),"",C344-G344))</f>
        <v/>
      </c>
      <c r="L344" s="9" t="str">
        <f t="shared" ref="L344" si="499">IF(AND(D344=""),"",IF(AND(H344=""),"",D344-H344))</f>
        <v/>
      </c>
      <c r="M344" s="9" t="str">
        <f>IF(AND(E344=""),"",IF(AND(I344=""),"",E344-I344))</f>
        <v/>
      </c>
      <c r="N344" s="9" t="str">
        <f>IF(AND(F344=""),"",IF(AND(J344=""),"",F344-J344))</f>
        <v/>
      </c>
      <c r="O344" s="9">
        <v>0</v>
      </c>
      <c r="P344" s="9" t="str">
        <f>IF(AND($Y$336=""),"",IF(AND(N344=""),"",ROUND(N344*AA$1%,0)))</f>
        <v/>
      </c>
      <c r="Q344" s="9" t="str">
        <f>IF(AND($Y$336=""),"",IF(AND(C344=""),"",IF(AND(O344=""),"",SUM(O344,P344))))</f>
        <v/>
      </c>
      <c r="R344" s="9" t="str">
        <f t="shared" ref="R344" si="500">IF(AND(N344=""),"",IF(AND(Q344=""),"",N344-Q344))</f>
        <v/>
      </c>
      <c r="S344" s="20"/>
    </row>
    <row r="345" spans="1:25" ht="23.25" customHeight="1">
      <c r="A345" s="153" t="s">
        <v>9</v>
      </c>
      <c r="B345" s="154"/>
      <c r="C345" s="63">
        <f>IF(AND($Y$336=""),"",SUM(C341:C344))</f>
        <v>0</v>
      </c>
      <c r="D345" s="63">
        <f t="shared" ref="D345:R345" si="501">IF(AND($Y$336=""),"",SUM(D341:D344))</f>
        <v>0</v>
      </c>
      <c r="E345" s="63">
        <f t="shared" si="501"/>
        <v>0</v>
      </c>
      <c r="F345" s="63">
        <f t="shared" si="501"/>
        <v>0</v>
      </c>
      <c r="G345" s="63">
        <f t="shared" si="501"/>
        <v>0</v>
      </c>
      <c r="H345" s="63">
        <f t="shared" si="501"/>
        <v>0</v>
      </c>
      <c r="I345" s="63">
        <f t="shared" si="501"/>
        <v>0</v>
      </c>
      <c r="J345" s="63">
        <f t="shared" si="501"/>
        <v>0</v>
      </c>
      <c r="K345" s="63">
        <f t="shared" si="501"/>
        <v>0</v>
      </c>
      <c r="L345" s="63">
        <f t="shared" si="501"/>
        <v>0</v>
      </c>
      <c r="M345" s="63">
        <f t="shared" si="501"/>
        <v>0</v>
      </c>
      <c r="N345" s="63">
        <f t="shared" si="501"/>
        <v>0</v>
      </c>
      <c r="O345" s="63">
        <f t="shared" si="501"/>
        <v>0</v>
      </c>
      <c r="P345" s="63">
        <f t="shared" si="501"/>
        <v>0</v>
      </c>
      <c r="Q345" s="63">
        <f t="shared" si="501"/>
        <v>0</v>
      </c>
      <c r="R345" s="63">
        <f t="shared" si="501"/>
        <v>0</v>
      </c>
      <c r="S345" s="49"/>
    </row>
    <row r="346" spans="1:25" ht="10.5" customHeight="1">
      <c r="A346" s="73"/>
      <c r="B346" s="73"/>
      <c r="C346" s="74"/>
      <c r="D346" s="74"/>
      <c r="E346" s="74"/>
      <c r="F346" s="74"/>
      <c r="G346" s="74"/>
      <c r="H346" s="74"/>
      <c r="I346" s="74"/>
      <c r="J346" s="74"/>
      <c r="K346" s="74"/>
      <c r="L346" s="74"/>
      <c r="M346" s="74"/>
      <c r="N346" s="74"/>
      <c r="O346" s="74"/>
      <c r="P346" s="74"/>
      <c r="Q346" s="74"/>
      <c r="R346" s="74"/>
      <c r="S346" s="75"/>
    </row>
    <row r="347" spans="1:25" ht="23.25" customHeight="1">
      <c r="E347" s="133" t="s">
        <v>10</v>
      </c>
      <c r="F347" s="133"/>
      <c r="G347" s="133"/>
      <c r="H347" s="133"/>
      <c r="I347" s="133"/>
      <c r="J347" s="132" t="str">
        <f>IF(ISNA(VLOOKUP($Y$349,Master!A$8:N$127,2,FALSE)),"",VLOOKUP($Y$349,Master!A$8:AH$127,2,FALSE))</f>
        <v/>
      </c>
      <c r="K347" s="132"/>
      <c r="L347" s="132"/>
      <c r="M347" s="132"/>
      <c r="N347" s="132"/>
      <c r="O347" s="60" t="s">
        <v>31</v>
      </c>
      <c r="P347" s="132" t="str">
        <f>IF(ISNA(VLOOKUP($Y$349,Master!A$8:N$127,3,FALSE)),"",VLOOKUP($Y$349,Master!A$8:AH$127,3,FALSE))</f>
        <v/>
      </c>
      <c r="Q347" s="132"/>
      <c r="R347" s="132"/>
      <c r="S347" s="132"/>
    </row>
    <row r="348" spans="1:25" ht="9" customHeight="1">
      <c r="E348" s="19"/>
      <c r="F348" s="52"/>
      <c r="G348" s="22"/>
      <c r="H348" s="22"/>
      <c r="I348" s="22"/>
      <c r="J348" s="5"/>
      <c r="K348" s="5"/>
      <c r="L348" s="5"/>
      <c r="M348" s="5"/>
      <c r="N348" s="5"/>
      <c r="O348" s="6"/>
      <c r="P348" s="6"/>
    </row>
    <row r="349" spans="1:25" ht="21" customHeight="1">
      <c r="A349" s="8">
        <v>1</v>
      </c>
      <c r="B349" s="23" t="str">
        <f>IFERROR(IF(ISNA(VLOOKUP(Y349,Master!A$8:N$127,8,FALSE)),"",VLOOKUP($Y349,Master!A$8:AH$127,8,FALSE)),"")</f>
        <v/>
      </c>
      <c r="C349" s="9" t="str">
        <f>IF(ISNA(VLOOKUP($Y$349,Master!A$8:N$127,5,FALSE)),"",VLOOKUP($Y$349,Master!A$8:AH$127,5,FALSE))</f>
        <v/>
      </c>
      <c r="D349" s="9" t="str">
        <f>IF(AND(C349=""),"",IF(AND($Y$349=""),"",ROUND(C349*Master!C$5%,0)))</f>
        <v/>
      </c>
      <c r="E349" s="9" t="str">
        <f>IF(AND(C349=""),"",IF(AND($Y$349=""),"",ROUND(C349*Master!H$5%,0)))</f>
        <v/>
      </c>
      <c r="F349" s="9" t="str">
        <f t="shared" ref="F349:F351" si="502">IF(AND(C349=""),"",SUM(C349:E349))</f>
        <v/>
      </c>
      <c r="G349" s="9" t="str">
        <f>IF(ISNA(VLOOKUP($Y$349,Master!A$8:N$127,5,FALSE)),"",VLOOKUP($Y$349,Master!A$8:AH$127,5,FALSE))</f>
        <v/>
      </c>
      <c r="H349" s="9" t="str">
        <f>IF(AND(G349=""),"",IF(AND($Y$349=""),"",ROUND(G349*Master!C$4%,0)))</f>
        <v/>
      </c>
      <c r="I349" s="9" t="str">
        <f>IF(AND(G349=""),"",IF(AND($Y$349=""),"",ROUND(G349*Master!H$4%,0)))</f>
        <v/>
      </c>
      <c r="J349" s="9" t="str">
        <f t="shared" ref="J349:J351" si="503">IF(AND(C349=""),"",SUM(G349:I349))</f>
        <v/>
      </c>
      <c r="K349" s="9" t="str">
        <f t="shared" ref="K349" si="504">IF(AND(C349=""),"",IF(AND(G349=""),"",C349-G349))</f>
        <v/>
      </c>
      <c r="L349" s="9" t="str">
        <f>IF(AND(D349=""),"",IF(AND(H349=""),"",D349-H349))</f>
        <v/>
      </c>
      <c r="M349" s="9" t="str">
        <f t="shared" ref="M349:M351" si="505">IF(AND(E349=""),"",IF(AND(I349=""),"",E349-I349))</f>
        <v/>
      </c>
      <c r="N349" s="9" t="str">
        <f t="shared" ref="N349:N351" si="506">IF(AND(F349=""),"",IF(AND(J349=""),"",F349-J349))</f>
        <v/>
      </c>
      <c r="O349" s="9" t="str">
        <f>IF(AND(C349=""),"",N349-P349)</f>
        <v/>
      </c>
      <c r="P349" s="9" t="str">
        <f>IF(AND($Y$349=""),"",IF(AND(N349=""),"",ROUND(N349*X$17%,0)))</f>
        <v/>
      </c>
      <c r="Q349" s="9" t="str">
        <f>IF(AND($Y$349=""),"",IF(AND(C349=""),"",IF(AND(O349=""),"",SUM(O349,P349))))</f>
        <v/>
      </c>
      <c r="R349" s="9" t="str">
        <f>IF(AND(N349=""),"",IF(AND(Q349=""),"",N349-Q349))</f>
        <v/>
      </c>
      <c r="S349" s="20"/>
      <c r="X349" s="61" t="s">
        <v>49</v>
      </c>
      <c r="Y349" s="64">
        <v>29</v>
      </c>
    </row>
    <row r="350" spans="1:25" ht="21" customHeight="1">
      <c r="A350" s="8">
        <v>2</v>
      </c>
      <c r="B350" s="23" t="str">
        <f>IFERROR(DATE(YEAR(B349),MONTH(B349)+1,DAY(B349)),"")</f>
        <v/>
      </c>
      <c r="C350" s="9" t="str">
        <f>IF(AND($Y$349=""),"",C349)</f>
        <v/>
      </c>
      <c r="D350" s="9" t="str">
        <f>IF(AND(C350=""),"",IF(AND($Y$349=""),"",ROUND(C350*Master!C$5%,0)))</f>
        <v/>
      </c>
      <c r="E350" s="9" t="str">
        <f>IF(AND(C350=""),"",IF(AND($Y$349=""),"",ROUND(C350*Master!H$5%,0)))</f>
        <v/>
      </c>
      <c r="F350" s="9" t="str">
        <f t="shared" si="502"/>
        <v/>
      </c>
      <c r="G350" s="9" t="str">
        <f>IF(C350="","",IF(AND($Y$349=""),"",G349))</f>
        <v/>
      </c>
      <c r="H350" s="9" t="str">
        <f>IF(AND(G350=""),"",IF(AND($Y$349=""),"",ROUND(G350*Master!C$4%,0)))</f>
        <v/>
      </c>
      <c r="I350" s="9" t="str">
        <f>IF(AND(G350=""),"",IF(AND($Y$349=""),"",ROUND(G350*Master!H$4%,0)))</f>
        <v/>
      </c>
      <c r="J350" s="9" t="str">
        <f t="shared" si="503"/>
        <v/>
      </c>
      <c r="K350" s="9" t="str">
        <f>IF(AND(C350=""),"",IF(AND(G350=""),"",C350-G350))</f>
        <v/>
      </c>
      <c r="L350" s="9" t="str">
        <f t="shared" ref="L350:L351" si="507">IF(AND(D350=""),"",IF(AND(H350=""),"",D350-H350))</f>
        <v/>
      </c>
      <c r="M350" s="9" t="str">
        <f t="shared" si="505"/>
        <v/>
      </c>
      <c r="N350" s="9" t="str">
        <f t="shared" si="506"/>
        <v/>
      </c>
      <c r="O350" s="9" t="str">
        <f t="shared" ref="O350" si="508">IF(AND(C350=""),"",N350-P350)</f>
        <v/>
      </c>
      <c r="P350" s="9" t="str">
        <f>IF(AND($Y$349=""),"",IF(AND(N350=""),"",ROUND(N350*X$17%,0)))</f>
        <v/>
      </c>
      <c r="Q350" s="9" t="str">
        <f>IF(AND($Y$349=""),"",IF(AND(C350=""),"",IF(AND(O350=""),"",SUM(O350,P350))))</f>
        <v/>
      </c>
      <c r="R350" s="9" t="str">
        <f t="shared" ref="R350:R351" si="509">IF(AND(N350=""),"",IF(AND(Q350=""),"",N350-Q350))</f>
        <v/>
      </c>
      <c r="S350" s="20"/>
      <c r="X350" s="4" t="str">
        <f>IF(ISNA(VLOOKUP($Y$349,Master!A$8:N$127,7,FALSE)),"",VLOOKUP($Y$349,Master!A$8:AH$127,7,FALSE))</f>
        <v/>
      </c>
    </row>
    <row r="351" spans="1:25" ht="21" customHeight="1">
      <c r="A351" s="8">
        <v>3</v>
      </c>
      <c r="B351" s="23" t="str">
        <f>IFERROR(DATE(YEAR(B350),MONTH(B350)+1,DAY(B350)),"")</f>
        <v/>
      </c>
      <c r="C351" s="9"/>
      <c r="D351" s="9" t="str">
        <f>IF(AND(C351=""),"",IF(AND($Y$349=""),"",ROUND(C351*Master!C$5%,0)))</f>
        <v/>
      </c>
      <c r="E351" s="9" t="str">
        <f>IF(AND(C351=""),"",IF(AND($Y$349=""),"",ROUND(C351*Master!H$5%,0)))</f>
        <v/>
      </c>
      <c r="F351" s="9" t="str">
        <f t="shared" si="502"/>
        <v/>
      </c>
      <c r="G351" s="9" t="str">
        <f t="shared" ref="G351:G352" si="510">IF(C351="","",IF(AND($Y$349=""),"",G350))</f>
        <v/>
      </c>
      <c r="H351" s="9" t="str">
        <f>IF(AND(G351=""),"",IF(AND($Y$349=""),"",ROUND(G351*Master!C$4%,0)))</f>
        <v/>
      </c>
      <c r="I351" s="9" t="str">
        <f>IF(AND(G351=""),"",IF(AND($Y$349=""),"",ROUND(G351*Master!H$4%,0)))</f>
        <v/>
      </c>
      <c r="J351" s="9" t="str">
        <f t="shared" si="503"/>
        <v/>
      </c>
      <c r="K351" s="9" t="str">
        <f t="shared" ref="K351" si="511">IF(AND(C351=""),"",IF(AND(G351=""),"",C351-G351))</f>
        <v/>
      </c>
      <c r="L351" s="9" t="str">
        <f t="shared" si="507"/>
        <v/>
      </c>
      <c r="M351" s="9" t="str">
        <f t="shared" si="505"/>
        <v/>
      </c>
      <c r="N351" s="9" t="str">
        <f t="shared" si="506"/>
        <v/>
      </c>
      <c r="O351" s="9">
        <v>0</v>
      </c>
      <c r="P351" s="9" t="str">
        <f>IF(AND($Y$349=""),"",IF(AND(N351=""),"",ROUND(N351*X$17%,0)))</f>
        <v/>
      </c>
      <c r="Q351" s="9" t="str">
        <f>IF(AND($Y$349=""),"",IF(AND(C351=""),"",IF(AND(O351=""),"",SUM(O351,P351))))</f>
        <v/>
      </c>
      <c r="R351" s="9" t="str">
        <f t="shared" si="509"/>
        <v/>
      </c>
      <c r="S351" s="20"/>
    </row>
    <row r="352" spans="1:25" ht="21" customHeight="1">
      <c r="A352" s="8">
        <v>4</v>
      </c>
      <c r="B352" s="23" t="str">
        <f>IFERROR(DATE(YEAR(B351),MONTH(B351)+1,DAY(B351)),"")</f>
        <v/>
      </c>
      <c r="C352" s="9"/>
      <c r="D352" s="9" t="str">
        <f>IF(AND(C352=""),"",IF(AND($Y$349=""),"",ROUND(C352*Master!C$5%,0)))</f>
        <v/>
      </c>
      <c r="E352" s="9" t="str">
        <f>IF(AND(C352=""),"",IF(AND($Y$349=""),"",ROUND(C352*Master!H$5%,0)))</f>
        <v/>
      </c>
      <c r="F352" s="9" t="str">
        <f t="shared" ref="F352" si="512">IF(AND(C352=""),"",SUM(C352:E352))</f>
        <v/>
      </c>
      <c r="G352" s="9" t="str">
        <f t="shared" si="510"/>
        <v/>
      </c>
      <c r="H352" s="9" t="str">
        <f>IF(AND(G352=""),"",IF(AND($Y$349=""),"",ROUND(G352*Master!C$4%,0)))</f>
        <v/>
      </c>
      <c r="I352" s="9" t="str">
        <f>IF(AND(G352=""),"",IF(AND($Y$349=""),"",ROUND(G352*Master!H$4%,0)))</f>
        <v/>
      </c>
      <c r="J352" s="9" t="str">
        <f t="shared" ref="J352" si="513">IF(AND(C352=""),"",SUM(G352:I352))</f>
        <v/>
      </c>
      <c r="K352" s="9" t="str">
        <f t="shared" ref="K352" si="514">IF(AND(C352=""),"",IF(AND(G352=""),"",C352-G352))</f>
        <v/>
      </c>
      <c r="L352" s="9" t="str">
        <f t="shared" ref="L352" si="515">IF(AND(D352=""),"",IF(AND(H352=""),"",D352-H352))</f>
        <v/>
      </c>
      <c r="M352" s="9" t="str">
        <f t="shared" ref="M352" si="516">IF(AND(E352=""),"",IF(AND(I352=""),"",E352-I352))</f>
        <v/>
      </c>
      <c r="N352" s="9" t="str">
        <f t="shared" ref="N352" si="517">IF(AND(F352=""),"",IF(AND(J352=""),"",F352-J352))</f>
        <v/>
      </c>
      <c r="O352" s="9">
        <v>0</v>
      </c>
      <c r="P352" s="9" t="str">
        <f>IF(AND($Y$349=""),"",IF(AND(N352=""),"",ROUND(N352*X$17%,0)))</f>
        <v/>
      </c>
      <c r="Q352" s="9" t="str">
        <f>IF(AND($Y$349=""),"",IF(AND(C352=""),"",IF(AND(O352=""),"",SUM(O352,P352))))</f>
        <v/>
      </c>
      <c r="R352" s="9" t="str">
        <f t="shared" ref="R352" si="518">IF(AND(N352=""),"",IF(AND(Q352=""),"",N352-Q352))</f>
        <v/>
      </c>
      <c r="S352" s="20"/>
    </row>
    <row r="353" spans="1:25" ht="30.75" customHeight="1">
      <c r="A353" s="153" t="s">
        <v>9</v>
      </c>
      <c r="B353" s="154"/>
      <c r="C353" s="63">
        <f>IF(AND($Y$349=""),"",SUM(C349:C352))</f>
        <v>0</v>
      </c>
      <c r="D353" s="63">
        <f t="shared" ref="D353:R353" si="519">IF(AND($Y$349=""),"",SUM(D349:D352))</f>
        <v>0</v>
      </c>
      <c r="E353" s="63">
        <f t="shared" si="519"/>
        <v>0</v>
      </c>
      <c r="F353" s="63">
        <f t="shared" si="519"/>
        <v>0</v>
      </c>
      <c r="G353" s="63">
        <f t="shared" si="519"/>
        <v>0</v>
      </c>
      <c r="H353" s="63">
        <f t="shared" si="519"/>
        <v>0</v>
      </c>
      <c r="I353" s="63">
        <f t="shared" si="519"/>
        <v>0</v>
      </c>
      <c r="J353" s="63">
        <f t="shared" si="519"/>
        <v>0</v>
      </c>
      <c r="K353" s="63">
        <f t="shared" si="519"/>
        <v>0</v>
      </c>
      <c r="L353" s="63">
        <f t="shared" si="519"/>
        <v>0</v>
      </c>
      <c r="M353" s="63">
        <f t="shared" si="519"/>
        <v>0</v>
      </c>
      <c r="N353" s="63">
        <f t="shared" si="519"/>
        <v>0</v>
      </c>
      <c r="O353" s="63">
        <f t="shared" si="519"/>
        <v>0</v>
      </c>
      <c r="P353" s="63">
        <f t="shared" si="519"/>
        <v>0</v>
      </c>
      <c r="Q353" s="63">
        <f t="shared" si="519"/>
        <v>0</v>
      </c>
      <c r="R353" s="63">
        <f t="shared" si="519"/>
        <v>0</v>
      </c>
      <c r="S353" s="49"/>
    </row>
    <row r="354" spans="1:25" ht="11.25" customHeight="1">
      <c r="A354" s="73"/>
      <c r="B354" s="73"/>
      <c r="C354" s="74"/>
      <c r="D354" s="74"/>
      <c r="E354" s="74"/>
      <c r="F354" s="74"/>
      <c r="G354" s="74"/>
      <c r="H354" s="74"/>
      <c r="I354" s="74"/>
      <c r="J354" s="74"/>
      <c r="K354" s="74"/>
      <c r="L354" s="74"/>
      <c r="M354" s="74"/>
      <c r="N354" s="74"/>
      <c r="O354" s="74"/>
      <c r="P354" s="74"/>
      <c r="Q354" s="74"/>
      <c r="R354" s="74"/>
      <c r="S354" s="75"/>
    </row>
    <row r="355" spans="1:25" ht="23.25" customHeight="1">
      <c r="E355" s="133" t="s">
        <v>10</v>
      </c>
      <c r="F355" s="133"/>
      <c r="G355" s="133"/>
      <c r="H355" s="133"/>
      <c r="I355" s="133"/>
      <c r="J355" s="132" t="str">
        <f>IF(ISNA(VLOOKUP($Y$357,Master!A$8:N$127,2,FALSE)),"",VLOOKUP($Y$357,Master!A$8:AH$127,2,FALSE))</f>
        <v/>
      </c>
      <c r="K355" s="132"/>
      <c r="L355" s="132"/>
      <c r="M355" s="132"/>
      <c r="N355" s="132"/>
      <c r="O355" s="60" t="s">
        <v>31</v>
      </c>
      <c r="P355" s="132" t="str">
        <f>IF(ISNA(VLOOKUP($Y$357,Master!A$8:N$127,3,FALSE)),"",VLOOKUP($Y$357,Master!A$8:AH$127,3,FALSE))</f>
        <v/>
      </c>
      <c r="Q355" s="132"/>
      <c r="R355" s="132"/>
      <c r="S355" s="132"/>
    </row>
    <row r="356" spans="1:25" ht="9" customHeight="1">
      <c r="E356" s="19"/>
      <c r="F356" s="52"/>
      <c r="G356" s="22"/>
      <c r="H356" s="22"/>
      <c r="I356" s="22"/>
      <c r="J356" s="5"/>
      <c r="K356" s="5"/>
      <c r="L356" s="5"/>
      <c r="M356" s="5"/>
      <c r="N356" s="5"/>
      <c r="O356" s="6"/>
      <c r="P356" s="6"/>
    </row>
    <row r="357" spans="1:25" ht="21" customHeight="1">
      <c r="A357" s="8">
        <v>1</v>
      </c>
      <c r="B357" s="23" t="str">
        <f>IFERROR(IF(ISNA(VLOOKUP(Y357,Master!A$8:N$127,8,FALSE)),"",VLOOKUP($Y357,Master!A$8:AH$127,8,FALSE)),"")</f>
        <v/>
      </c>
      <c r="C357" s="9" t="str">
        <f>IF(ISNA(VLOOKUP($Y$357,Master!A$8:N$127,5,FALSE)),"",VLOOKUP($Y$357,Master!A$8:AH$127,5,FALSE))</f>
        <v/>
      </c>
      <c r="D357" s="9" t="str">
        <f>IF(AND(C357=""),"",IF(AND($Y$357=""),"",ROUND(C357*Master!C$5%,0)))</f>
        <v/>
      </c>
      <c r="E357" s="9" t="str">
        <f>IF(AND(C357=""),"",IF(AND($Y$357=""),"",ROUND(C357*Master!H$5%,0)))</f>
        <v/>
      </c>
      <c r="F357" s="9" t="str">
        <f t="shared" ref="F357:F359" si="520">IF(AND(C357=""),"",SUM(C357:E357))</f>
        <v/>
      </c>
      <c r="G357" s="9" t="str">
        <f>IF(ISNA(VLOOKUP($Y$357,Master!A$8:N$127,5,FALSE)),"",VLOOKUP($Y$357,Master!A$8:AH$127,5,FALSE))</f>
        <v/>
      </c>
      <c r="H357" s="9" t="str">
        <f>IF(AND(G357=""),"",IF(AND($Y$357=""),"",ROUND(G357*Master!C$4%,0)))</f>
        <v/>
      </c>
      <c r="I357" s="9" t="str">
        <f>IF(AND(G357=""),"",IF(AND($Y$357=""),"",ROUND(G357*Master!H$4%,0)))</f>
        <v/>
      </c>
      <c r="J357" s="9" t="str">
        <f t="shared" ref="J357:J359" si="521">IF(AND(C357=""),"",SUM(G357:I357))</f>
        <v/>
      </c>
      <c r="K357" s="9" t="str">
        <f t="shared" ref="K357:K359" si="522">IF(AND(C357=""),"",IF(AND(G357=""),"",C357-G357))</f>
        <v/>
      </c>
      <c r="L357" s="9" t="str">
        <f t="shared" ref="L357:L359" si="523">IF(AND(D357=""),"",IF(AND(H357=""),"",D357-H357))</f>
        <v/>
      </c>
      <c r="M357" s="9" t="str">
        <f t="shared" ref="M357:M359" si="524">IF(AND(E357=""),"",IF(AND(I357=""),"",E357-I357))</f>
        <v/>
      </c>
      <c r="N357" s="9" t="str">
        <f t="shared" ref="N357:N359" si="525">IF(AND(F357=""),"",IF(AND(J357=""),"",F357-J357))</f>
        <v/>
      </c>
      <c r="O357" s="9" t="str">
        <f>IF(AND(C357=""),"",N357-P357)</f>
        <v/>
      </c>
      <c r="P357" s="9" t="str">
        <f>IF(AND($Y$357=""),"",IF(AND(N357=""),"",ROUND(N357*AA$1%,0)))</f>
        <v/>
      </c>
      <c r="Q357" s="9" t="str">
        <f>IF(AND($Y$357=""),"",IF(AND(C357=""),"",IF(AND(O357=""),"",SUM(O357,P357))))</f>
        <v/>
      </c>
      <c r="R357" s="9" t="str">
        <f>IF(AND(N357=""),"",IF(AND(Q357=""),"",N357-Q357))</f>
        <v/>
      </c>
      <c r="S357" s="20"/>
      <c r="X357" s="61" t="s">
        <v>49</v>
      </c>
      <c r="Y357" s="64">
        <v>30</v>
      </c>
    </row>
    <row r="358" spans="1:25" ht="21" customHeight="1">
      <c r="A358" s="8">
        <v>2</v>
      </c>
      <c r="B358" s="23" t="str">
        <f>IFERROR(DATE(YEAR(B357),MONTH(B357)+1,DAY(B357)),"")</f>
        <v/>
      </c>
      <c r="C358" s="9" t="str">
        <f>IF(AND($Y$357=""),"",C357)</f>
        <v/>
      </c>
      <c r="D358" s="9" t="str">
        <f>IF(AND(C358=""),"",IF(AND($Y$357=""),"",ROUND(C358*Master!C$5%,0)))</f>
        <v/>
      </c>
      <c r="E358" s="9" t="str">
        <f>IF(AND(C358=""),"",IF(AND($Y$357=""),"",ROUND(C358*Master!H$5%,0)))</f>
        <v/>
      </c>
      <c r="F358" s="9" t="str">
        <f t="shared" si="520"/>
        <v/>
      </c>
      <c r="G358" s="9" t="str">
        <f>IF(C358="","",IF(AND($Y$357=""),"",G357))</f>
        <v/>
      </c>
      <c r="H358" s="9" t="str">
        <f>IF(AND(G358=""),"",IF(AND($Y$357=""),"",ROUND(G358*Master!C$4%,0)))</f>
        <v/>
      </c>
      <c r="I358" s="9" t="str">
        <f>IF(AND(G358=""),"",IF(AND($Y$357=""),"",ROUND(G358*Master!H$4%,0)))</f>
        <v/>
      </c>
      <c r="J358" s="9" t="str">
        <f t="shared" si="521"/>
        <v/>
      </c>
      <c r="K358" s="9" t="str">
        <f t="shared" si="522"/>
        <v/>
      </c>
      <c r="L358" s="9" t="str">
        <f t="shared" si="523"/>
        <v/>
      </c>
      <c r="M358" s="9" t="str">
        <f t="shared" si="524"/>
        <v/>
      </c>
      <c r="N358" s="9" t="str">
        <f t="shared" si="525"/>
        <v/>
      </c>
      <c r="O358" s="9" t="str">
        <f t="shared" ref="O358" si="526">IF(AND(C358=""),"",N358-P358)</f>
        <v/>
      </c>
      <c r="P358" s="9" t="str">
        <f>IF(AND($Y$357=""),"",IF(AND(N358=""),"",ROUND(N358*AA$1%,0)))</f>
        <v/>
      </c>
      <c r="Q358" s="9" t="str">
        <f>IF(AND($Y$357=""),"",IF(AND(C358=""),"",IF(AND(O358=""),"",SUM(O358,P358))))</f>
        <v/>
      </c>
      <c r="R358" s="9" t="str">
        <f t="shared" ref="R358:R359" si="527">IF(AND(N358=""),"",IF(AND(Q358=""),"",N358-Q358))</f>
        <v/>
      </c>
      <c r="S358" s="20"/>
      <c r="X358" s="4" t="str">
        <f>IF(ISNA(VLOOKUP($Y$357,Master!A$8:N$127,7,FALSE)),"",VLOOKUP($Y$357,Master!A$8:AH$127,7,FALSE))</f>
        <v/>
      </c>
    </row>
    <row r="359" spans="1:25" ht="21" customHeight="1">
      <c r="A359" s="8">
        <v>3</v>
      </c>
      <c r="B359" s="23" t="str">
        <f>IFERROR(DATE(YEAR(B358),MONTH(B358)+1,DAY(B358)),"")</f>
        <v/>
      </c>
      <c r="C359" s="9"/>
      <c r="D359" s="9" t="str">
        <f>IF(AND(C359=""),"",IF(AND($Y$357=""),"",ROUND(C359*Master!C$5%,0)))</f>
        <v/>
      </c>
      <c r="E359" s="9" t="str">
        <f>IF(AND(C359=""),"",IF(AND($Y$357=""),"",ROUND(C359*Master!H$5%,0)))</f>
        <v/>
      </c>
      <c r="F359" s="9" t="str">
        <f t="shared" si="520"/>
        <v/>
      </c>
      <c r="G359" s="9" t="str">
        <f t="shared" ref="G359:G360" si="528">IF(C359="","",IF(AND($Y$357=""),"",G358))</f>
        <v/>
      </c>
      <c r="H359" s="9" t="str">
        <f>IF(AND(G359=""),"",IF(AND($Y$357=""),"",ROUND(G359*Master!C$4%,0)))</f>
        <v/>
      </c>
      <c r="I359" s="9" t="str">
        <f>IF(AND(G359=""),"",IF(AND($Y$357=""),"",ROUND(G359*Master!H$4%,0)))</f>
        <v/>
      </c>
      <c r="J359" s="9" t="str">
        <f t="shared" si="521"/>
        <v/>
      </c>
      <c r="K359" s="9" t="str">
        <f t="shared" si="522"/>
        <v/>
      </c>
      <c r="L359" s="9" t="str">
        <f t="shared" si="523"/>
        <v/>
      </c>
      <c r="M359" s="9" t="str">
        <f t="shared" si="524"/>
        <v/>
      </c>
      <c r="N359" s="9" t="str">
        <f t="shared" si="525"/>
        <v/>
      </c>
      <c r="O359" s="9">
        <v>0</v>
      </c>
      <c r="P359" s="9" t="str">
        <f>IF(AND($Y$357=""),"",IF(AND(N359=""),"",ROUND(N359*AA$1%,0)))</f>
        <v/>
      </c>
      <c r="Q359" s="9" t="str">
        <f>IF(AND($Y$357=""),"",IF(AND(C359=""),"",IF(AND(O359=""),"",SUM(O359,P359))))</f>
        <v/>
      </c>
      <c r="R359" s="9" t="str">
        <f t="shared" si="527"/>
        <v/>
      </c>
      <c r="S359" s="20"/>
    </row>
    <row r="360" spans="1:25" ht="21" customHeight="1">
      <c r="A360" s="8">
        <v>4</v>
      </c>
      <c r="B360" s="23" t="str">
        <f>IFERROR(DATE(YEAR(B359),MONTH(B359)+1,DAY(B359)),"")</f>
        <v/>
      </c>
      <c r="C360" s="9"/>
      <c r="D360" s="9" t="str">
        <f>IF(AND(C360=""),"",IF(AND($Y$357=""),"",ROUND(C360*Master!C$5%,0)))</f>
        <v/>
      </c>
      <c r="E360" s="9" t="str">
        <f>IF(AND(C360=""),"",IF(AND($Y$357=""),"",ROUND(C360*Master!H$5%,0)))</f>
        <v/>
      </c>
      <c r="F360" s="9" t="str">
        <f t="shared" ref="F360" si="529">IF(AND(C360=""),"",SUM(C360:E360))</f>
        <v/>
      </c>
      <c r="G360" s="9" t="str">
        <f t="shared" si="528"/>
        <v/>
      </c>
      <c r="H360" s="9" t="str">
        <f>IF(AND(G360=""),"",IF(AND($Y$357=""),"",ROUND(G360*Master!C$4%,0)))</f>
        <v/>
      </c>
      <c r="I360" s="9" t="str">
        <f>IF(AND(G360=""),"",IF(AND($Y$357=""),"",ROUND(G360*Master!H$4%,0)))</f>
        <v/>
      </c>
      <c r="J360" s="9" t="str">
        <f t="shared" ref="J360" si="530">IF(AND(C360=""),"",SUM(G360:I360))</f>
        <v/>
      </c>
      <c r="K360" s="9" t="str">
        <f t="shared" ref="K360" si="531">IF(AND(C360=""),"",IF(AND(G360=""),"",C360-G360))</f>
        <v/>
      </c>
      <c r="L360" s="9" t="str">
        <f t="shared" ref="L360" si="532">IF(AND(D360=""),"",IF(AND(H360=""),"",D360-H360))</f>
        <v/>
      </c>
      <c r="M360" s="9" t="str">
        <f t="shared" ref="M360" si="533">IF(AND(E360=""),"",IF(AND(I360=""),"",E360-I360))</f>
        <v/>
      </c>
      <c r="N360" s="9" t="str">
        <f t="shared" ref="N360" si="534">IF(AND(F360=""),"",IF(AND(J360=""),"",F360-J360))</f>
        <v/>
      </c>
      <c r="O360" s="9">
        <v>0</v>
      </c>
      <c r="P360" s="9" t="str">
        <f>IF(AND($Y$357=""),"",IF(AND(N360=""),"",ROUND(N360*AA$1%,0)))</f>
        <v/>
      </c>
      <c r="Q360" s="9" t="str">
        <f>IF(AND($Y$357=""),"",IF(AND(C360=""),"",IF(AND(O360=""),"",SUM(O360,P360))))</f>
        <v/>
      </c>
      <c r="R360" s="9" t="str">
        <f t="shared" ref="R360" si="535">IF(AND(N360=""),"",IF(AND(Q360=""),"",N360-Q360))</f>
        <v/>
      </c>
      <c r="S360" s="20"/>
    </row>
    <row r="361" spans="1:25" ht="30.75" customHeight="1">
      <c r="A361" s="153" t="s">
        <v>9</v>
      </c>
      <c r="B361" s="154"/>
      <c r="C361" s="63">
        <f>IF(AND($Y$357=""),"",SUM(C357:C360))</f>
        <v>0</v>
      </c>
      <c r="D361" s="63">
        <f t="shared" ref="D361:R361" si="536">IF(AND($Y$357=""),"",SUM(D357:D360))</f>
        <v>0</v>
      </c>
      <c r="E361" s="63">
        <f t="shared" si="536"/>
        <v>0</v>
      </c>
      <c r="F361" s="63">
        <f t="shared" si="536"/>
        <v>0</v>
      </c>
      <c r="G361" s="63">
        <f t="shared" si="536"/>
        <v>0</v>
      </c>
      <c r="H361" s="63">
        <f t="shared" si="536"/>
        <v>0</v>
      </c>
      <c r="I361" s="63">
        <f t="shared" si="536"/>
        <v>0</v>
      </c>
      <c r="J361" s="63">
        <f t="shared" si="536"/>
        <v>0</v>
      </c>
      <c r="K361" s="63">
        <f t="shared" si="536"/>
        <v>0</v>
      </c>
      <c r="L361" s="63">
        <f t="shared" si="536"/>
        <v>0</v>
      </c>
      <c r="M361" s="63">
        <f t="shared" si="536"/>
        <v>0</v>
      </c>
      <c r="N361" s="63">
        <f t="shared" si="536"/>
        <v>0</v>
      </c>
      <c r="O361" s="63">
        <f t="shared" si="536"/>
        <v>0</v>
      </c>
      <c r="P361" s="63">
        <f t="shared" si="536"/>
        <v>0</v>
      </c>
      <c r="Q361" s="63">
        <f t="shared" si="536"/>
        <v>0</v>
      </c>
      <c r="R361" s="63">
        <f t="shared" si="536"/>
        <v>0</v>
      </c>
      <c r="S361" s="49"/>
    </row>
    <row r="362" spans="1:25" ht="30.75" customHeight="1">
      <c r="A362" s="73"/>
      <c r="B362" s="73"/>
      <c r="C362" s="74"/>
      <c r="D362" s="74"/>
      <c r="E362" s="74"/>
      <c r="F362" s="74"/>
      <c r="G362" s="74"/>
      <c r="H362" s="74"/>
      <c r="I362" s="74"/>
      <c r="J362" s="74"/>
      <c r="K362" s="74"/>
      <c r="L362" s="74"/>
      <c r="M362" s="74"/>
      <c r="N362" s="74"/>
      <c r="O362" s="74"/>
      <c r="P362" s="74"/>
      <c r="Q362" s="74"/>
      <c r="R362" s="74"/>
      <c r="S362" s="75"/>
    </row>
    <row r="363" spans="1:25" ht="18.75">
      <c r="A363" s="21"/>
      <c r="B363" s="58"/>
      <c r="C363" s="58"/>
      <c r="D363" s="58"/>
      <c r="E363" s="58"/>
      <c r="F363" s="58"/>
      <c r="G363" s="58"/>
      <c r="H363" s="59"/>
      <c r="I363" s="59"/>
      <c r="J363" s="59"/>
      <c r="K363" s="66"/>
      <c r="L363" s="66"/>
      <c r="M363" s="66"/>
      <c r="N363" s="66"/>
      <c r="O363" s="138" t="s">
        <v>42</v>
      </c>
      <c r="P363" s="138"/>
      <c r="Q363" s="138"/>
      <c r="R363" s="138"/>
      <c r="S363" s="138"/>
    </row>
    <row r="364" spans="1:25" ht="18.75">
      <c r="A364" s="1"/>
      <c r="B364" s="24" t="s">
        <v>19</v>
      </c>
      <c r="C364" s="139"/>
      <c r="D364" s="139"/>
      <c r="E364" s="139"/>
      <c r="F364" s="139"/>
      <c r="G364" s="139"/>
      <c r="H364" s="25"/>
      <c r="I364" s="143" t="s">
        <v>20</v>
      </c>
      <c r="J364" s="143"/>
      <c r="K364" s="141"/>
      <c r="L364" s="141"/>
      <c r="M364" s="141"/>
      <c r="O364" s="138"/>
      <c r="P364" s="138"/>
      <c r="Q364" s="138"/>
      <c r="R364" s="138"/>
      <c r="S364" s="138"/>
    </row>
    <row r="365" spans="1:25" ht="18.75">
      <c r="A365" s="1"/>
      <c r="B365" s="140" t="s">
        <v>21</v>
      </c>
      <c r="C365" s="140"/>
      <c r="D365" s="140"/>
      <c r="E365" s="140"/>
      <c r="F365" s="140"/>
      <c r="G365" s="140"/>
      <c r="H365" s="140"/>
      <c r="I365" s="27"/>
      <c r="J365" s="26"/>
      <c r="K365" s="26"/>
      <c r="L365" s="26"/>
      <c r="M365" s="26"/>
    </row>
    <row r="366" spans="1:25" ht="18.75">
      <c r="A366" s="22">
        <v>1</v>
      </c>
      <c r="B366" s="142" t="s">
        <v>22</v>
      </c>
      <c r="C366" s="142"/>
      <c r="D366" s="142"/>
      <c r="E366" s="142"/>
      <c r="F366" s="142"/>
      <c r="G366" s="142"/>
      <c r="H366" s="142"/>
      <c r="I366" s="28"/>
      <c r="J366" s="26"/>
      <c r="K366" s="26"/>
      <c r="L366" s="26"/>
      <c r="M366" s="26"/>
    </row>
    <row r="367" spans="1:25" ht="18.75">
      <c r="A367" s="2">
        <v>2</v>
      </c>
      <c r="B367" s="142" t="s">
        <v>23</v>
      </c>
      <c r="C367" s="142"/>
      <c r="D367" s="142"/>
      <c r="E367" s="142"/>
      <c r="F367" s="142"/>
      <c r="G367" s="132"/>
      <c r="H367" s="132"/>
      <c r="I367" s="132"/>
      <c r="J367" s="132"/>
      <c r="K367" s="132"/>
      <c r="L367" s="132"/>
      <c r="M367" s="132"/>
    </row>
    <row r="368" spans="1:25" ht="18.75">
      <c r="A368" s="3">
        <v>3</v>
      </c>
      <c r="B368" s="142" t="s">
        <v>24</v>
      </c>
      <c r="C368" s="142"/>
      <c r="D368" s="142"/>
      <c r="E368" s="29"/>
      <c r="F368" s="28"/>
      <c r="G368" s="28"/>
      <c r="H368" s="30"/>
      <c r="I368" s="31"/>
      <c r="J368" s="26"/>
      <c r="K368" s="26"/>
      <c r="L368" s="26"/>
      <c r="M368" s="26"/>
    </row>
    <row r="369" spans="1:27" ht="15.75">
      <c r="O369" s="138" t="s">
        <v>42</v>
      </c>
      <c r="P369" s="138"/>
      <c r="Q369" s="138"/>
      <c r="R369" s="138"/>
      <c r="S369" s="138"/>
    </row>
    <row r="371" spans="1:27" ht="18" customHeight="1">
      <c r="A371" s="148" t="str">
        <f>A334</f>
        <v xml:space="preserve">DA (46% to 50%) Drawn Statement  </v>
      </c>
      <c r="B371" s="148"/>
      <c r="C371" s="148"/>
      <c r="D371" s="148"/>
      <c r="E371" s="148"/>
      <c r="F371" s="148"/>
      <c r="G371" s="148"/>
      <c r="H371" s="148"/>
      <c r="I371" s="148"/>
      <c r="J371" s="148"/>
      <c r="K371" s="148"/>
      <c r="L371" s="148"/>
      <c r="M371" s="148"/>
      <c r="N371" s="148"/>
      <c r="O371" s="148"/>
      <c r="P371" s="148"/>
      <c r="Q371" s="148"/>
      <c r="R371" s="148"/>
      <c r="S371" s="148"/>
      <c r="W371" s="4">
        <f>IF(ISNA(VLOOKUP($Y$3,Master!A$8:N$127,4,FALSE)),"",VLOOKUP($Y$3,Master!A$8:AH$127,4,FALSE))</f>
        <v>2</v>
      </c>
      <c r="X371" s="4" t="str">
        <f>IF(ISNA(VLOOKUP($Y$3,Master!A$8:N$127,6,FALSE)),"",VLOOKUP($Y$3,Master!A$8:AH$127,6,FALSE))</f>
        <v>GPF-2004</v>
      </c>
      <c r="Y371" s="4" t="s">
        <v>45</v>
      </c>
      <c r="Z371" s="4" t="s">
        <v>18</v>
      </c>
      <c r="AA371" s="4" t="str">
        <f>IF(ISNA(VLOOKUP($Y$373,Master!A$8:N$127,7,FALSE)),"",VLOOKUP($Y$373,Master!A$8:AH$127,7,FALSE))</f>
        <v/>
      </c>
    </row>
    <row r="372" spans="1:27" ht="18">
      <c r="A372" s="131" t="str">
        <f>IF(AND(Master!C343=""),"",CONCATENATE("Office Of  ",Master!C343))</f>
        <v/>
      </c>
      <c r="B372" s="131"/>
      <c r="C372" s="131"/>
      <c r="D372" s="131"/>
      <c r="E372" s="131"/>
      <c r="F372" s="131"/>
      <c r="G372" s="131"/>
      <c r="H372" s="131"/>
      <c r="I372" s="131"/>
      <c r="J372" s="131"/>
      <c r="K372" s="131"/>
      <c r="L372" s="131"/>
      <c r="M372" s="131"/>
      <c r="N372" s="131"/>
      <c r="O372" s="131"/>
      <c r="P372" s="131"/>
      <c r="Q372" s="131"/>
      <c r="R372" s="131"/>
      <c r="S372" s="131"/>
      <c r="X372" s="4">
        <f>IF(ISNA(VLOOKUP($Y$3,Master!A$8:N$127,8,FALSE)),"",VLOOKUP($Y$3,Master!A$8:AH$127,8,FALSE))</f>
        <v>45292</v>
      </c>
      <c r="Y372" s="4" t="s">
        <v>43</v>
      </c>
    </row>
    <row r="373" spans="1:27" ht="18.75">
      <c r="E373" s="133" t="s">
        <v>10</v>
      </c>
      <c r="F373" s="133"/>
      <c r="G373" s="133"/>
      <c r="H373" s="133"/>
      <c r="I373" s="133"/>
      <c r="J373" s="132" t="str">
        <f>IF(ISNA(VLOOKUP($Y$373,Master!A$8:N$127,2,FALSE)),"",VLOOKUP($Y$373,Master!A$8:AH$127,2,FALSE))</f>
        <v/>
      </c>
      <c r="K373" s="132"/>
      <c r="L373" s="132"/>
      <c r="M373" s="132"/>
      <c r="N373" s="132"/>
      <c r="O373" s="60" t="s">
        <v>31</v>
      </c>
      <c r="P373" s="132" t="str">
        <f>IF(ISNA(VLOOKUP($Y$373,Master!A$8:N$127,3,FALSE)),"",VLOOKUP($Y$373,Master!A$8:AH$127,3,FALSE))</f>
        <v/>
      </c>
      <c r="Q373" s="132"/>
      <c r="R373" s="132"/>
      <c r="S373" s="132"/>
      <c r="X373" s="61" t="s">
        <v>49</v>
      </c>
      <c r="Y373" s="64">
        <v>31</v>
      </c>
    </row>
    <row r="374" spans="1:27" ht="8.25" customHeight="1">
      <c r="E374" s="19"/>
      <c r="F374" s="52"/>
      <c r="G374" s="22"/>
      <c r="H374" s="22"/>
      <c r="I374" s="22"/>
      <c r="J374" s="5"/>
      <c r="K374" s="5"/>
      <c r="L374" s="5"/>
      <c r="M374" s="5"/>
      <c r="N374" s="5"/>
      <c r="O374" s="6"/>
      <c r="P374" s="6"/>
    </row>
    <row r="375" spans="1:27" ht="24.75" customHeight="1">
      <c r="A375" s="157" t="s">
        <v>0</v>
      </c>
      <c r="B375" s="158" t="s">
        <v>3</v>
      </c>
      <c r="C375" s="159" t="s">
        <v>5</v>
      </c>
      <c r="D375" s="159"/>
      <c r="E375" s="159"/>
      <c r="F375" s="159"/>
      <c r="G375" s="159" t="s">
        <v>6</v>
      </c>
      <c r="H375" s="159"/>
      <c r="I375" s="159"/>
      <c r="J375" s="159"/>
      <c r="K375" s="159" t="s">
        <v>7</v>
      </c>
      <c r="L375" s="159"/>
      <c r="M375" s="159"/>
      <c r="N375" s="159"/>
      <c r="O375" s="149" t="s">
        <v>8</v>
      </c>
      <c r="P375" s="150"/>
      <c r="Q375" s="151"/>
      <c r="R375" s="162" t="s">
        <v>54</v>
      </c>
      <c r="S375" s="162" t="s">
        <v>40</v>
      </c>
    </row>
    <row r="376" spans="1:27" ht="69" customHeight="1">
      <c r="A376" s="157"/>
      <c r="B376" s="158"/>
      <c r="C376" s="54" t="s">
        <v>29</v>
      </c>
      <c r="D376" s="55" t="s">
        <v>1</v>
      </c>
      <c r="E376" s="56" t="s">
        <v>2</v>
      </c>
      <c r="F376" s="54" t="s">
        <v>46</v>
      </c>
      <c r="G376" s="54" t="s">
        <v>29</v>
      </c>
      <c r="H376" s="55" t="s">
        <v>1</v>
      </c>
      <c r="I376" s="56" t="s">
        <v>2</v>
      </c>
      <c r="J376" s="54" t="s">
        <v>47</v>
      </c>
      <c r="K376" s="54" t="s">
        <v>4</v>
      </c>
      <c r="L376" s="55" t="s">
        <v>1</v>
      </c>
      <c r="M376" s="56" t="s">
        <v>2</v>
      </c>
      <c r="N376" s="57" t="s">
        <v>48</v>
      </c>
      <c r="O376" s="53" t="s">
        <v>69</v>
      </c>
      <c r="P376" s="65" t="s">
        <v>41</v>
      </c>
      <c r="Q376" s="57" t="s">
        <v>53</v>
      </c>
      <c r="R376" s="162"/>
      <c r="S376" s="162"/>
    </row>
    <row r="377" spans="1:27" ht="18" customHeight="1">
      <c r="A377" s="7">
        <v>1</v>
      </c>
      <c r="B377" s="7">
        <v>2</v>
      </c>
      <c r="C377" s="7">
        <v>3</v>
      </c>
      <c r="D377" s="7">
        <v>4</v>
      </c>
      <c r="E377" s="7">
        <v>5</v>
      </c>
      <c r="F377" s="7">
        <v>6</v>
      </c>
      <c r="G377" s="7">
        <v>7</v>
      </c>
      <c r="H377" s="7">
        <v>8</v>
      </c>
      <c r="I377" s="7">
        <v>9</v>
      </c>
      <c r="J377" s="7">
        <v>10</v>
      </c>
      <c r="K377" s="7">
        <v>11</v>
      </c>
      <c r="L377" s="7">
        <v>12</v>
      </c>
      <c r="M377" s="7">
        <v>13</v>
      </c>
      <c r="N377" s="7">
        <v>14</v>
      </c>
      <c r="O377" s="7">
        <v>15</v>
      </c>
      <c r="P377" s="7">
        <v>17</v>
      </c>
      <c r="Q377" s="7">
        <v>18</v>
      </c>
      <c r="R377" s="7">
        <v>19</v>
      </c>
      <c r="S377" s="7">
        <v>20</v>
      </c>
    </row>
    <row r="378" spans="1:27" ht="21" customHeight="1">
      <c r="A378" s="8">
        <v>1</v>
      </c>
      <c r="B378" s="23" t="str">
        <f>IFERROR(IF(ISNA(VLOOKUP(Y373,Master!A$8:N$127,8,FALSE)),"",VLOOKUP($Y373,Master!A$8:AH$127,8,FALSE)),"")</f>
        <v/>
      </c>
      <c r="C378" s="9" t="str">
        <f>IF(ISNA(VLOOKUP(Y373,Master!A$8:N$127,5,FALSE)),"",VLOOKUP($Y$373,Master!A$8:AH$127,5,FALSE))</f>
        <v/>
      </c>
      <c r="D378" s="9" t="str">
        <f>IF(AND(C378=""),"",IF(AND($Y$373=""),"",ROUND(C378*Master!C$5%,0)))</f>
        <v/>
      </c>
      <c r="E378" s="9" t="str">
        <f>IF(AND(C378=""),"",IF(AND($Y$373=""),"",ROUND(C378*Master!H$5%,0)))</f>
        <v/>
      </c>
      <c r="F378" s="9" t="str">
        <f t="shared" ref="F378" si="537">IF(AND(C378=""),"",SUM(C378:E378))</f>
        <v/>
      </c>
      <c r="G378" s="9" t="str">
        <f>IF(ISNA(VLOOKUP($Y$373,Master!A$8:N$127,5,FALSE)),"",VLOOKUP($Y$373,Master!A$8:AH$127,5,FALSE))</f>
        <v/>
      </c>
      <c r="H378" s="9" t="str">
        <f>IF(AND(G378=""),"",IF(AND($Y$373=""),"",ROUND(G378*Master!C$4%,0)))</f>
        <v/>
      </c>
      <c r="I378" s="9" t="str">
        <f>IF(AND(G378=""),"",IF(AND($Y$373=""),"",ROUND(G378*Master!H$4%,0)))</f>
        <v/>
      </c>
      <c r="J378" s="9" t="str">
        <f t="shared" ref="J378:J379" si="538">IF(AND(C378=""),"",SUM(G378:I378))</f>
        <v/>
      </c>
      <c r="K378" s="9" t="str">
        <f t="shared" ref="K378:K380" si="539">IF(AND(C378=""),"",IF(AND(G378=""),"",C378-G378))</f>
        <v/>
      </c>
      <c r="L378" s="9" t="str">
        <f t="shared" ref="L378:L380" si="540">IF(AND(D378=""),"",IF(AND(H378=""),"",D378-H378))</f>
        <v/>
      </c>
      <c r="M378" s="9" t="str">
        <f t="shared" ref="M378:M379" si="541">IF(AND(E378=""),"",IF(AND(I378=""),"",E378-I378))</f>
        <v/>
      </c>
      <c r="N378" s="9" t="str">
        <f t="shared" ref="N378:N379" si="542">IF(AND(F378=""),"",IF(AND(J378=""),"",F378-J378))</f>
        <v/>
      </c>
      <c r="O378" s="9" t="str">
        <f>IF(AND(C378=""),"",N378-P378)</f>
        <v/>
      </c>
      <c r="P378" s="9" t="str">
        <f>IF(AND($Y$373=""),"",IF(AND(N378=""),"",ROUND(N378*AA$1%,0)))</f>
        <v/>
      </c>
      <c r="Q378" s="9" t="str">
        <f>IF(AND($Y$373=""),"",IF(AND(C378=""),"",IF(AND(O378=""),"",SUM(O378,P378))))</f>
        <v/>
      </c>
      <c r="R378" s="9" t="str">
        <f>IF(AND(N378=""),"",IF(AND(Q378=""),"",N378-Q378))</f>
        <v/>
      </c>
      <c r="S378" s="20"/>
    </row>
    <row r="379" spans="1:27" ht="21" customHeight="1">
      <c r="A379" s="8">
        <v>2</v>
      </c>
      <c r="B379" s="23" t="str">
        <f>IFERROR(DATE(YEAR(B378),MONTH(B378)+1,DAY(B378)),"")</f>
        <v/>
      </c>
      <c r="C379" s="9" t="str">
        <f>IF(AND($Y$373=""),"",C378)</f>
        <v/>
      </c>
      <c r="D379" s="9" t="str">
        <f>IF(AND(C379=""),"",IF(AND($Y$373=""),"",ROUND(C379*Master!C$5%,0)))</f>
        <v/>
      </c>
      <c r="E379" s="9" t="str">
        <f>IF(AND(C379=""),"",IF(AND($Y$373=""),"",ROUND(C379*Master!H$5%,0)))</f>
        <v/>
      </c>
      <c r="F379" s="9" t="str">
        <f>IF(AND(C379=""),"",SUM(C379:E379))</f>
        <v/>
      </c>
      <c r="G379" s="9" t="str">
        <f>IF(C379="","",IF(AND($Y$373=""),"",G378))</f>
        <v/>
      </c>
      <c r="H379" s="9" t="str">
        <f>IF(AND(G379=""),"",IF(AND($Y$373=""),"",ROUND(G379*Master!C$4%,0)))</f>
        <v/>
      </c>
      <c r="I379" s="9" t="str">
        <f>IF(AND(G379=""),"",IF(AND($Y$373=""),"",ROUND(G379*Master!H$4%,0)))</f>
        <v/>
      </c>
      <c r="J379" s="9" t="str">
        <f t="shared" si="538"/>
        <v/>
      </c>
      <c r="K379" s="9" t="str">
        <f t="shared" si="539"/>
        <v/>
      </c>
      <c r="L379" s="9" t="str">
        <f t="shared" si="540"/>
        <v/>
      </c>
      <c r="M379" s="9" t="str">
        <f t="shared" si="541"/>
        <v/>
      </c>
      <c r="N379" s="9" t="str">
        <f t="shared" si="542"/>
        <v/>
      </c>
      <c r="O379" s="9" t="str">
        <f t="shared" ref="O379" si="543">IF(AND(C379=""),"",N379-P379)</f>
        <v/>
      </c>
      <c r="P379" s="9" t="str">
        <f>IF(AND($Y$373=""),"",IF(AND(N379=""),"",ROUND(N379*AA$1%,0)))</f>
        <v/>
      </c>
      <c r="Q379" s="9" t="str">
        <f>IF(AND($Y$373=""),"",IF(AND(C379=""),"",IF(AND(O379=""),"",SUM(O379,P379))))</f>
        <v/>
      </c>
      <c r="R379" s="9" t="str">
        <f t="shared" ref="R379:R380" si="544">IF(AND(N379=""),"",IF(AND(Q379=""),"",N379-Q379))</f>
        <v/>
      </c>
      <c r="S379" s="20"/>
    </row>
    <row r="380" spans="1:27" ht="21" customHeight="1">
      <c r="A380" s="8">
        <v>3</v>
      </c>
      <c r="B380" s="23" t="str">
        <f>IFERROR(DATE(YEAR(B379),MONTH(B379)+1,DAY(B379)),"")</f>
        <v/>
      </c>
      <c r="C380" s="9"/>
      <c r="D380" s="9" t="str">
        <f>IF(AND(C380=""),"",IF(AND($Y$373=""),"",ROUND(C380*Master!C$5%,0)))</f>
        <v/>
      </c>
      <c r="E380" s="9" t="str">
        <f>IF(AND(C380=""),"",IF(AND($Y$373=""),"",ROUND(C380*Master!H$5%,0)))</f>
        <v/>
      </c>
      <c r="F380" s="9" t="str">
        <f t="shared" ref="F380" si="545">IF(AND(C380=""),"",SUM(C380:E380))</f>
        <v/>
      </c>
      <c r="G380" s="9" t="str">
        <f t="shared" ref="G380:G381" si="546">IF(C380="","",IF(AND($Y$373=""),"",G379))</f>
        <v/>
      </c>
      <c r="H380" s="9" t="str">
        <f>IF(AND(G380=""),"",IF(AND($Y$373=""),"",ROUND(G380*Master!C$4%,0)))</f>
        <v/>
      </c>
      <c r="I380" s="9" t="str">
        <f>IF(AND(G380=""),"",IF(AND($Y$373=""),"",ROUND(G380*Master!H$4%,0)))</f>
        <v/>
      </c>
      <c r="J380" s="9" t="str">
        <f>IF(AND(C380=""),"",SUM(G380:I380))</f>
        <v/>
      </c>
      <c r="K380" s="9" t="str">
        <f t="shared" si="539"/>
        <v/>
      </c>
      <c r="L380" s="9" t="str">
        <f t="shared" si="540"/>
        <v/>
      </c>
      <c r="M380" s="9" t="str">
        <f>IF(AND(E380=""),"",IF(AND(I380=""),"",E380-I380))</f>
        <v/>
      </c>
      <c r="N380" s="9" t="str">
        <f>IF(AND(F380=""),"",IF(AND(J380=""),"",F380-J380))</f>
        <v/>
      </c>
      <c r="O380" s="9">
        <v>0</v>
      </c>
      <c r="P380" s="9" t="str">
        <f>IF(AND($Y$373=""),"",IF(AND(N380=""),"",ROUND(N380*AA$1%,0)))</f>
        <v/>
      </c>
      <c r="Q380" s="9" t="str">
        <f>IF(AND($Y$373=""),"",IF(AND(C380=""),"",IF(AND(O380=""),"",SUM(O380,P380))))</f>
        <v/>
      </c>
      <c r="R380" s="9" t="str">
        <f t="shared" si="544"/>
        <v/>
      </c>
      <c r="S380" s="20"/>
    </row>
    <row r="381" spans="1:27" ht="21" customHeight="1">
      <c r="A381" s="8">
        <v>4</v>
      </c>
      <c r="B381" s="23" t="str">
        <f>IFERROR(DATE(YEAR(B380),MONTH(B380)+1,DAY(B380)),"")</f>
        <v/>
      </c>
      <c r="C381" s="9"/>
      <c r="D381" s="9" t="str">
        <f>IF(AND(C381=""),"",IF(AND($Y$373=""),"",ROUND(C381*Master!C$5%,0)))</f>
        <v/>
      </c>
      <c r="E381" s="9" t="str">
        <f>IF(AND(C381=""),"",IF(AND($Y$373=""),"",ROUND(C381*Master!H$5%,0)))</f>
        <v/>
      </c>
      <c r="F381" s="9" t="str">
        <f t="shared" ref="F381" si="547">IF(AND(C381=""),"",SUM(C381:E381))</f>
        <v/>
      </c>
      <c r="G381" s="9" t="str">
        <f t="shared" si="546"/>
        <v/>
      </c>
      <c r="H381" s="9" t="str">
        <f>IF(AND(G381=""),"",IF(AND($Y$373=""),"",ROUND(G381*Master!C$4%,0)))</f>
        <v/>
      </c>
      <c r="I381" s="9" t="str">
        <f>IF(AND(G381=""),"",IF(AND($Y$373=""),"",ROUND(G381*Master!H$4%,0)))</f>
        <v/>
      </c>
      <c r="J381" s="9" t="str">
        <f>IF(AND(C381=""),"",SUM(G381:I381))</f>
        <v/>
      </c>
      <c r="K381" s="9" t="str">
        <f t="shared" ref="K381" si="548">IF(AND(C381=""),"",IF(AND(G381=""),"",C381-G381))</f>
        <v/>
      </c>
      <c r="L381" s="9" t="str">
        <f t="shared" ref="L381" si="549">IF(AND(D381=""),"",IF(AND(H381=""),"",D381-H381))</f>
        <v/>
      </c>
      <c r="M381" s="9" t="str">
        <f>IF(AND(E381=""),"",IF(AND(I381=""),"",E381-I381))</f>
        <v/>
      </c>
      <c r="N381" s="9" t="str">
        <f>IF(AND(F381=""),"",IF(AND(J381=""),"",F381-J381))</f>
        <v/>
      </c>
      <c r="O381" s="9">
        <v>0</v>
      </c>
      <c r="P381" s="9" t="str">
        <f>IF(AND($Y$373=""),"",IF(AND(N381=""),"",ROUND(N381*AA$1%,0)))</f>
        <v/>
      </c>
      <c r="Q381" s="9" t="str">
        <f>IF(AND($Y$373=""),"",IF(AND(C381=""),"",IF(AND(O381=""),"",SUM(O381,P381))))</f>
        <v/>
      </c>
      <c r="R381" s="9" t="str">
        <f t="shared" ref="R381" si="550">IF(AND(N381=""),"",IF(AND(Q381=""),"",N381-Q381))</f>
        <v/>
      </c>
      <c r="S381" s="20"/>
    </row>
    <row r="382" spans="1:27" ht="23.25" customHeight="1">
      <c r="A382" s="153" t="s">
        <v>9</v>
      </c>
      <c r="B382" s="154"/>
      <c r="C382" s="63">
        <f>IF(AND($Y$373=""),"",SUM(C378:C381))</f>
        <v>0</v>
      </c>
      <c r="D382" s="63">
        <f t="shared" ref="D382:R382" si="551">IF(AND($Y$373=""),"",SUM(D378:D381))</f>
        <v>0</v>
      </c>
      <c r="E382" s="63">
        <f t="shared" si="551"/>
        <v>0</v>
      </c>
      <c r="F382" s="63">
        <f t="shared" si="551"/>
        <v>0</v>
      </c>
      <c r="G382" s="63">
        <f t="shared" si="551"/>
        <v>0</v>
      </c>
      <c r="H382" s="63">
        <f t="shared" si="551"/>
        <v>0</v>
      </c>
      <c r="I382" s="63">
        <f t="shared" si="551"/>
        <v>0</v>
      </c>
      <c r="J382" s="63">
        <f t="shared" si="551"/>
        <v>0</v>
      </c>
      <c r="K382" s="63">
        <f t="shared" si="551"/>
        <v>0</v>
      </c>
      <c r="L382" s="63">
        <f t="shared" si="551"/>
        <v>0</v>
      </c>
      <c r="M382" s="63">
        <f t="shared" si="551"/>
        <v>0</v>
      </c>
      <c r="N382" s="63">
        <f t="shared" si="551"/>
        <v>0</v>
      </c>
      <c r="O382" s="63">
        <f t="shared" si="551"/>
        <v>0</v>
      </c>
      <c r="P382" s="63">
        <f t="shared" si="551"/>
        <v>0</v>
      </c>
      <c r="Q382" s="63">
        <f t="shared" si="551"/>
        <v>0</v>
      </c>
      <c r="R382" s="63">
        <f t="shared" si="551"/>
        <v>0</v>
      </c>
      <c r="S382" s="49"/>
    </row>
    <row r="383" spans="1:27" ht="10.5" customHeight="1">
      <c r="A383" s="73"/>
      <c r="B383" s="73"/>
      <c r="C383" s="74"/>
      <c r="D383" s="74"/>
      <c r="E383" s="74"/>
      <c r="F383" s="74"/>
      <c r="G383" s="74"/>
      <c r="H383" s="74"/>
      <c r="I383" s="74"/>
      <c r="J383" s="74"/>
      <c r="K383" s="74"/>
      <c r="L383" s="74"/>
      <c r="M383" s="74"/>
      <c r="N383" s="74"/>
      <c r="O383" s="74"/>
      <c r="P383" s="74"/>
      <c r="Q383" s="74"/>
      <c r="R383" s="74"/>
      <c r="S383" s="75"/>
    </row>
    <row r="384" spans="1:27" ht="23.25" customHeight="1">
      <c r="E384" s="133" t="s">
        <v>10</v>
      </c>
      <c r="F384" s="133"/>
      <c r="G384" s="133"/>
      <c r="H384" s="133"/>
      <c r="I384" s="133"/>
      <c r="J384" s="132" t="str">
        <f>IF(ISNA(VLOOKUP($Y$386,Master!A$8:N$127,2,FALSE)),"",VLOOKUP($Y$386,Master!A$8:AH$127,2,FALSE))</f>
        <v/>
      </c>
      <c r="K384" s="132"/>
      <c r="L384" s="132"/>
      <c r="M384" s="132"/>
      <c r="N384" s="132"/>
      <c r="O384" s="60" t="s">
        <v>31</v>
      </c>
      <c r="P384" s="132" t="str">
        <f>IF(ISNA(VLOOKUP($Y$386,Master!A$8:N$127,3,FALSE)),"",VLOOKUP($Y$386,Master!A$8:AH$127,3,FALSE))</f>
        <v/>
      </c>
      <c r="Q384" s="132"/>
      <c r="R384" s="132"/>
      <c r="S384" s="132"/>
    </row>
    <row r="385" spans="1:25" ht="9" customHeight="1">
      <c r="E385" s="19"/>
      <c r="F385" s="52"/>
      <c r="G385" s="22"/>
      <c r="H385" s="22"/>
      <c r="I385" s="22"/>
      <c r="J385" s="5"/>
      <c r="K385" s="5"/>
      <c r="L385" s="5"/>
      <c r="M385" s="5"/>
      <c r="N385" s="5"/>
      <c r="O385" s="6"/>
      <c r="P385" s="6"/>
    </row>
    <row r="386" spans="1:25" ht="21" customHeight="1">
      <c r="A386" s="8">
        <v>1</v>
      </c>
      <c r="B386" s="23" t="str">
        <f>IFERROR(IF(ISNA(VLOOKUP(Y386,Master!A$8:N$127,8,FALSE)),"",VLOOKUP($Y386,Master!A$8:AH$127,8,FALSE)),"")</f>
        <v/>
      </c>
      <c r="C386" s="9" t="str">
        <f>IF(ISNA(VLOOKUP($Y$386,Master!A$8:N$127,5,FALSE)),"",VLOOKUP($Y$386,Master!A$8:AH$127,5,FALSE))</f>
        <v/>
      </c>
      <c r="D386" s="9" t="str">
        <f>IF(AND(C386=""),"",IF(AND($Y$386=""),"",ROUND(C386*Master!C$5%,0)))</f>
        <v/>
      </c>
      <c r="E386" s="9" t="str">
        <f>IF(AND(C386=""),"",IF(AND($Y$386=""),"",ROUND(C386*Master!H$5%,0)))</f>
        <v/>
      </c>
      <c r="F386" s="9" t="str">
        <f t="shared" ref="F386:F388" si="552">IF(AND(C386=""),"",SUM(C386:E386))</f>
        <v/>
      </c>
      <c r="G386" s="9" t="str">
        <f>IF(ISNA(VLOOKUP($Y$386,Master!A$8:N$127,5,FALSE)),"",VLOOKUP($Y$386,Master!A$8:AH$127,5,FALSE))</f>
        <v/>
      </c>
      <c r="H386" s="9" t="str">
        <f>IF(AND(G386=""),"",IF(AND($Y$386=""),"",ROUND(G386*Master!C$4%,0)))</f>
        <v/>
      </c>
      <c r="I386" s="9" t="str">
        <f>IF(AND(G386=""),"",IF(AND($Y$386=""),"",ROUND(G386*Master!H$4%,0)))</f>
        <v/>
      </c>
      <c r="J386" s="9" t="str">
        <f t="shared" ref="J386:J388" si="553">IF(AND(C386=""),"",SUM(G386:I386))</f>
        <v/>
      </c>
      <c r="K386" s="9" t="str">
        <f t="shared" ref="K386" si="554">IF(AND(C386=""),"",IF(AND(G386=""),"",C386-G386))</f>
        <v/>
      </c>
      <c r="L386" s="9" t="str">
        <f>IF(AND(D386=""),"",IF(AND(H386=""),"",D386-H386))</f>
        <v/>
      </c>
      <c r="M386" s="9" t="str">
        <f t="shared" ref="M386:M388" si="555">IF(AND(E386=""),"",IF(AND(I386=""),"",E386-I386))</f>
        <v/>
      </c>
      <c r="N386" s="9" t="str">
        <f t="shared" ref="N386:N388" si="556">IF(AND(F386=""),"",IF(AND(J386=""),"",F386-J386))</f>
        <v/>
      </c>
      <c r="O386" s="9" t="str">
        <f>IF(AND(C386=""),"",N386-P386)</f>
        <v/>
      </c>
      <c r="P386" s="9" t="str">
        <f>IF(AND($Y$386=""),"",IF(AND(N386=""),"",ROUND(N386*X$17%,0)))</f>
        <v/>
      </c>
      <c r="Q386" s="9" t="str">
        <f>IF(AND($Y$386=""),"",IF(AND(C386=""),"",IF(AND(O386=""),"",SUM(O386,P386))))</f>
        <v/>
      </c>
      <c r="R386" s="9" t="str">
        <f>IF(AND(N386=""),"",IF(AND(Q386=""),"",N386-Q386))</f>
        <v/>
      </c>
      <c r="S386" s="20"/>
      <c r="X386" s="61" t="s">
        <v>49</v>
      </c>
      <c r="Y386" s="64">
        <v>32</v>
      </c>
    </row>
    <row r="387" spans="1:25" ht="21" customHeight="1">
      <c r="A387" s="8">
        <v>2</v>
      </c>
      <c r="B387" s="23" t="str">
        <f>IFERROR(DATE(YEAR(B386),MONTH(B386)+1,DAY(B386)),"")</f>
        <v/>
      </c>
      <c r="C387" s="9" t="str">
        <f>IF(AND($Y$386=""),"",C386)</f>
        <v/>
      </c>
      <c r="D387" s="9" t="str">
        <f>IF(AND(C387=""),"",IF(AND($Y$386=""),"",ROUND(C387*Master!C$5%,0)))</f>
        <v/>
      </c>
      <c r="E387" s="9" t="str">
        <f>IF(AND(C387=""),"",IF(AND($Y$386=""),"",ROUND(C387*Master!H$5%,0)))</f>
        <v/>
      </c>
      <c r="F387" s="9" t="str">
        <f t="shared" si="552"/>
        <v/>
      </c>
      <c r="G387" s="9" t="str">
        <f>IF(C387="","",IF(AND($Y$386=""),"",G386))</f>
        <v/>
      </c>
      <c r="H387" s="9" t="str">
        <f>IF(AND(G387=""),"",IF(AND($Y$386=""),"",ROUND(G387*Master!C$4%,0)))</f>
        <v/>
      </c>
      <c r="I387" s="9" t="str">
        <f>IF(AND(G387=""),"",IF(AND($Y$386=""),"",ROUND(G387*Master!H$4%,0)))</f>
        <v/>
      </c>
      <c r="J387" s="9" t="str">
        <f t="shared" si="553"/>
        <v/>
      </c>
      <c r="K387" s="9" t="str">
        <f>IF(AND(C387=""),"",IF(AND(G387=""),"",C387-G387))</f>
        <v/>
      </c>
      <c r="L387" s="9" t="str">
        <f t="shared" ref="L387:L388" si="557">IF(AND(D387=""),"",IF(AND(H387=""),"",D387-H387))</f>
        <v/>
      </c>
      <c r="M387" s="9" t="str">
        <f t="shared" si="555"/>
        <v/>
      </c>
      <c r="N387" s="9" t="str">
        <f t="shared" si="556"/>
        <v/>
      </c>
      <c r="O387" s="9" t="str">
        <f t="shared" ref="O387" si="558">IF(AND(C387=""),"",N387-P387)</f>
        <v/>
      </c>
      <c r="P387" s="9" t="str">
        <f>IF(AND($Y$386=""),"",IF(AND(N387=""),"",ROUND(N387*X$17%,0)))</f>
        <v/>
      </c>
      <c r="Q387" s="9" t="str">
        <f>IF(AND($Y$386=""),"",IF(AND(C387=""),"",IF(AND(O387=""),"",SUM(O387,P387))))</f>
        <v/>
      </c>
      <c r="R387" s="9" t="str">
        <f t="shared" ref="R387:R388" si="559">IF(AND(N387=""),"",IF(AND(Q387=""),"",N387-Q387))</f>
        <v/>
      </c>
      <c r="S387" s="20"/>
      <c r="X387" s="4" t="str">
        <f>IF(ISNA(VLOOKUP($Y$386,Master!A$8:N$127,7,FALSE)),"",VLOOKUP($Y$386,Master!A$8:AH$127,7,FALSE))</f>
        <v/>
      </c>
    </row>
    <row r="388" spans="1:25" ht="21" customHeight="1">
      <c r="A388" s="8">
        <v>3</v>
      </c>
      <c r="B388" s="23" t="str">
        <f>IFERROR(DATE(YEAR(B387),MONTH(B387)+1,DAY(B387)),"")</f>
        <v/>
      </c>
      <c r="C388" s="9"/>
      <c r="D388" s="9" t="str">
        <f>IF(AND(C388=""),"",IF(AND($Y$386=""),"",ROUND(C388*Master!C$5%,0)))</f>
        <v/>
      </c>
      <c r="E388" s="9" t="str">
        <f>IF(AND(C388=""),"",IF(AND($Y$386=""),"",ROUND(C388*Master!H$5%,0)))</f>
        <v/>
      </c>
      <c r="F388" s="9" t="str">
        <f t="shared" si="552"/>
        <v/>
      </c>
      <c r="G388" s="9" t="str">
        <f t="shared" ref="G388:G389" si="560">IF(C388="","",IF(AND($Y$386=""),"",G387))</f>
        <v/>
      </c>
      <c r="H388" s="9" t="str">
        <f>IF(AND(G388=""),"",IF(AND($Y$386=""),"",ROUND(G388*Master!C$4%,0)))</f>
        <v/>
      </c>
      <c r="I388" s="9" t="str">
        <f>IF(AND(G388=""),"",IF(AND($Y$386=""),"",ROUND(G388*Master!H$4%,0)))</f>
        <v/>
      </c>
      <c r="J388" s="9" t="str">
        <f t="shared" si="553"/>
        <v/>
      </c>
      <c r="K388" s="9" t="str">
        <f t="shared" ref="K388" si="561">IF(AND(C388=""),"",IF(AND(G388=""),"",C388-G388))</f>
        <v/>
      </c>
      <c r="L388" s="9" t="str">
        <f t="shared" si="557"/>
        <v/>
      </c>
      <c r="M388" s="9" t="str">
        <f t="shared" si="555"/>
        <v/>
      </c>
      <c r="N388" s="9" t="str">
        <f t="shared" si="556"/>
        <v/>
      </c>
      <c r="O388" s="9">
        <v>0</v>
      </c>
      <c r="P388" s="9" t="str">
        <f>IF(AND($Y$386=""),"",IF(AND(N388=""),"",ROUND(N388*X$17%,0)))</f>
        <v/>
      </c>
      <c r="Q388" s="9" t="str">
        <f>IF(AND($Y$386=""),"",IF(AND(C388=""),"",IF(AND(O388=""),"",SUM(O388,P388))))</f>
        <v/>
      </c>
      <c r="R388" s="9" t="str">
        <f t="shared" si="559"/>
        <v/>
      </c>
      <c r="S388" s="20"/>
    </row>
    <row r="389" spans="1:25" ht="21" customHeight="1">
      <c r="A389" s="8">
        <v>4</v>
      </c>
      <c r="B389" s="23" t="str">
        <f>IFERROR(DATE(YEAR(B388),MONTH(B388)+1,DAY(B388)),"")</f>
        <v/>
      </c>
      <c r="C389" s="9"/>
      <c r="D389" s="9" t="str">
        <f>IF(AND(C389=""),"",IF(AND($Y$386=""),"",ROUND(C389*Master!C$5%,0)))</f>
        <v/>
      </c>
      <c r="E389" s="9" t="str">
        <f>IF(AND(C389=""),"",IF(AND($Y$386=""),"",ROUND(C389*Master!H$5%,0)))</f>
        <v/>
      </c>
      <c r="F389" s="9" t="str">
        <f t="shared" ref="F389" si="562">IF(AND(C389=""),"",SUM(C389:E389))</f>
        <v/>
      </c>
      <c r="G389" s="9" t="str">
        <f t="shared" si="560"/>
        <v/>
      </c>
      <c r="H389" s="9" t="str">
        <f>IF(AND(G389=""),"",IF(AND($Y$386=""),"",ROUND(G389*Master!C$4%,0)))</f>
        <v/>
      </c>
      <c r="I389" s="9" t="str">
        <f>IF(AND(G389=""),"",IF(AND($Y$386=""),"",ROUND(G389*Master!H$4%,0)))</f>
        <v/>
      </c>
      <c r="J389" s="9" t="str">
        <f t="shared" ref="J389" si="563">IF(AND(C389=""),"",SUM(G389:I389))</f>
        <v/>
      </c>
      <c r="K389" s="9" t="str">
        <f t="shared" ref="K389" si="564">IF(AND(C389=""),"",IF(AND(G389=""),"",C389-G389))</f>
        <v/>
      </c>
      <c r="L389" s="9" t="str">
        <f t="shared" ref="L389" si="565">IF(AND(D389=""),"",IF(AND(H389=""),"",D389-H389))</f>
        <v/>
      </c>
      <c r="M389" s="9" t="str">
        <f t="shared" ref="M389" si="566">IF(AND(E389=""),"",IF(AND(I389=""),"",E389-I389))</f>
        <v/>
      </c>
      <c r="N389" s="9" t="str">
        <f t="shared" ref="N389" si="567">IF(AND(F389=""),"",IF(AND(J389=""),"",F389-J389))</f>
        <v/>
      </c>
      <c r="O389" s="9">
        <v>0</v>
      </c>
      <c r="P389" s="9" t="str">
        <f>IF(AND($Y$386=""),"",IF(AND(N389=""),"",ROUND(N389*X$17%,0)))</f>
        <v/>
      </c>
      <c r="Q389" s="9" t="str">
        <f>IF(AND($Y$386=""),"",IF(AND(C389=""),"",IF(AND(O389=""),"",SUM(O389,P389))))</f>
        <v/>
      </c>
      <c r="R389" s="9" t="str">
        <f t="shared" ref="R389" si="568">IF(AND(N389=""),"",IF(AND(Q389=""),"",N389-Q389))</f>
        <v/>
      </c>
      <c r="S389" s="20"/>
    </row>
    <row r="390" spans="1:25" ht="30.75" customHeight="1">
      <c r="A390" s="153" t="s">
        <v>9</v>
      </c>
      <c r="B390" s="154"/>
      <c r="C390" s="63">
        <f>IF(AND($Y$386=""),"",SUM(C386:C389))</f>
        <v>0</v>
      </c>
      <c r="D390" s="63">
        <f t="shared" ref="D390:Q390" si="569">IF(AND($Y$386=""),"",SUM(D386:D389))</f>
        <v>0</v>
      </c>
      <c r="E390" s="63">
        <f t="shared" si="569"/>
        <v>0</v>
      </c>
      <c r="F390" s="63">
        <f t="shared" si="569"/>
        <v>0</v>
      </c>
      <c r="G390" s="63">
        <f t="shared" si="569"/>
        <v>0</v>
      </c>
      <c r="H390" s="63">
        <f t="shared" si="569"/>
        <v>0</v>
      </c>
      <c r="I390" s="63">
        <f t="shared" si="569"/>
        <v>0</v>
      </c>
      <c r="J390" s="63">
        <f t="shared" si="569"/>
        <v>0</v>
      </c>
      <c r="K390" s="63">
        <f t="shared" si="569"/>
        <v>0</v>
      </c>
      <c r="L390" s="63">
        <f t="shared" si="569"/>
        <v>0</v>
      </c>
      <c r="M390" s="63">
        <f t="shared" si="569"/>
        <v>0</v>
      </c>
      <c r="N390" s="63">
        <f t="shared" si="569"/>
        <v>0</v>
      </c>
      <c r="O390" s="63">
        <f t="shared" si="569"/>
        <v>0</v>
      </c>
      <c r="P390" s="63">
        <f t="shared" si="569"/>
        <v>0</v>
      </c>
      <c r="Q390" s="63">
        <f t="shared" si="569"/>
        <v>0</v>
      </c>
      <c r="R390" s="63">
        <f>IF(AND($Y$386=""),"",SUM(R386:R389))</f>
        <v>0</v>
      </c>
      <c r="S390" s="49"/>
    </row>
    <row r="391" spans="1:25" ht="11.25" customHeight="1">
      <c r="A391" s="73"/>
      <c r="B391" s="73"/>
      <c r="C391" s="74"/>
      <c r="D391" s="74"/>
      <c r="E391" s="74"/>
      <c r="F391" s="74"/>
      <c r="G391" s="74"/>
      <c r="H391" s="74"/>
      <c r="I391" s="74"/>
      <c r="J391" s="74"/>
      <c r="K391" s="74"/>
      <c r="L391" s="74"/>
      <c r="M391" s="74"/>
      <c r="N391" s="74"/>
      <c r="O391" s="74"/>
      <c r="P391" s="74"/>
      <c r="Q391" s="74"/>
      <c r="R391" s="74"/>
      <c r="S391" s="75"/>
    </row>
    <row r="392" spans="1:25" ht="23.25" customHeight="1">
      <c r="E392" s="133" t="s">
        <v>10</v>
      </c>
      <c r="F392" s="133"/>
      <c r="G392" s="133"/>
      <c r="H392" s="133"/>
      <c r="I392" s="133"/>
      <c r="J392" s="132" t="str">
        <f>IF(ISNA(VLOOKUP($Y$394,Master!A$8:N$127,2,FALSE)),"",VLOOKUP($Y$394,Master!A$8:AH$127,2,FALSE))</f>
        <v/>
      </c>
      <c r="K392" s="132"/>
      <c r="L392" s="132"/>
      <c r="M392" s="132"/>
      <c r="N392" s="132"/>
      <c r="O392" s="60" t="s">
        <v>31</v>
      </c>
      <c r="P392" s="132" t="str">
        <f>IF(ISNA(VLOOKUP($Y$394,Master!A$8:N$127,3,FALSE)),"",VLOOKUP($Y$394,Master!A$8:AH$127,3,FALSE))</f>
        <v/>
      </c>
      <c r="Q392" s="132"/>
      <c r="R392" s="132"/>
      <c r="S392" s="132"/>
    </row>
    <row r="393" spans="1:25" ht="9" customHeight="1">
      <c r="E393" s="19"/>
      <c r="F393" s="52"/>
      <c r="G393" s="22"/>
      <c r="H393" s="22"/>
      <c r="I393" s="22"/>
      <c r="J393" s="5"/>
      <c r="K393" s="5"/>
      <c r="L393" s="5"/>
      <c r="M393" s="5"/>
      <c r="N393" s="5"/>
      <c r="O393" s="6"/>
      <c r="P393" s="6"/>
    </row>
    <row r="394" spans="1:25" ht="21" customHeight="1">
      <c r="A394" s="8">
        <v>1</v>
      </c>
      <c r="B394" s="23" t="str">
        <f>IFERROR(IF(ISNA(VLOOKUP(Y394,Master!A$8:N$127,8,FALSE)),"",VLOOKUP($Y394,Master!A$8:AH$127,8,FALSE)),"")</f>
        <v/>
      </c>
      <c r="C394" s="9" t="str">
        <f>IF(ISNA(VLOOKUP($Y$394,Master!A$8:N$127,5,FALSE)),"",VLOOKUP($Y$394,Master!A$8:AH$127,5,FALSE))</f>
        <v/>
      </c>
      <c r="D394" s="9" t="str">
        <f>IF(AND(C394=""),"",IF(AND($Y$394=""),"",ROUND(C394*Master!C$5%,0)))</f>
        <v/>
      </c>
      <c r="E394" s="9" t="str">
        <f>IF(AND(C394=""),"",IF(AND($Y$394=""),"",ROUND(C394*Master!H$5%,0)))</f>
        <v/>
      </c>
      <c r="F394" s="9" t="str">
        <f t="shared" ref="F394:F396" si="570">IF(AND(C394=""),"",SUM(C394:E394))</f>
        <v/>
      </c>
      <c r="G394" s="9" t="str">
        <f>IF(ISNA(VLOOKUP($Y$394,Master!A$8:N$127,5,FALSE)),"",VLOOKUP($Y$394,Master!A$8:AH$127,5,FALSE))</f>
        <v/>
      </c>
      <c r="H394" s="9" t="str">
        <f>IF(AND(G394=""),"",IF(AND($Y$394=""),"",ROUND(G394*Master!C$4%,0)))</f>
        <v/>
      </c>
      <c r="I394" s="9" t="str">
        <f>IF(AND(G394=""),"",IF(AND($Y$394=""),"",ROUND(G394*Master!H$4%,0)))</f>
        <v/>
      </c>
      <c r="J394" s="9" t="str">
        <f t="shared" ref="J394:J396" si="571">IF(AND(C394=""),"",SUM(G394:I394))</f>
        <v/>
      </c>
      <c r="K394" s="9" t="str">
        <f t="shared" ref="K394:K396" si="572">IF(AND(C394=""),"",IF(AND(G394=""),"",C394-G394))</f>
        <v/>
      </c>
      <c r="L394" s="9" t="str">
        <f t="shared" ref="L394:L396" si="573">IF(AND(D394=""),"",IF(AND(H394=""),"",D394-H394))</f>
        <v/>
      </c>
      <c r="M394" s="9" t="str">
        <f t="shared" ref="M394:M396" si="574">IF(AND(E394=""),"",IF(AND(I394=""),"",E394-I394))</f>
        <v/>
      </c>
      <c r="N394" s="9" t="str">
        <f t="shared" ref="N394:N396" si="575">IF(AND(F394=""),"",IF(AND(J394=""),"",F394-J394))</f>
        <v/>
      </c>
      <c r="O394" s="9" t="str">
        <f>IF(AND(C394=""),"",N394-P394)</f>
        <v/>
      </c>
      <c r="P394" s="9" t="str">
        <f>IF(AND($Y$394=""),"",IF(AND(N394=""),"",ROUND(N394*AA$1%,0)))</f>
        <v/>
      </c>
      <c r="Q394" s="9" t="str">
        <f>IF(AND($Y$394=""),"",IF(AND(C394=""),"",IF(AND(O394=""),"",SUM(O394,P394))))</f>
        <v/>
      </c>
      <c r="R394" s="9" t="str">
        <f>IF(AND(N394=""),"",IF(AND(Q394=""),"",N394-Q394))</f>
        <v/>
      </c>
      <c r="S394" s="20"/>
      <c r="X394" s="61" t="s">
        <v>49</v>
      </c>
      <c r="Y394" s="64">
        <v>33</v>
      </c>
    </row>
    <row r="395" spans="1:25" ht="21" customHeight="1">
      <c r="A395" s="8">
        <v>2</v>
      </c>
      <c r="B395" s="23" t="str">
        <f>IFERROR(DATE(YEAR(B394),MONTH(B394)+1,DAY(B394)),"")</f>
        <v/>
      </c>
      <c r="C395" s="9" t="str">
        <f>IF(AND($Y$394=""),"",C394)</f>
        <v/>
      </c>
      <c r="D395" s="9" t="str">
        <f>IF(AND(C395=""),"",IF(AND($Y$394=""),"",ROUND(C395*Master!C$5%,0)))</f>
        <v/>
      </c>
      <c r="E395" s="9" t="str">
        <f>IF(AND(C395=""),"",IF(AND($Y$394=""),"",ROUND(C395*Master!H$5%,0)))</f>
        <v/>
      </c>
      <c r="F395" s="9" t="str">
        <f t="shared" si="570"/>
        <v/>
      </c>
      <c r="G395" s="9" t="str">
        <f>IF(C395="","",IF(AND($Y$394=""),"",G394))</f>
        <v/>
      </c>
      <c r="H395" s="9" t="str">
        <f>IF(AND(G395=""),"",IF(AND($Y$394=""),"",ROUND(G395*Master!C$4%,0)))</f>
        <v/>
      </c>
      <c r="I395" s="9" t="str">
        <f>IF(AND(G395=""),"",IF(AND($Y$394=""),"",ROUND(G395*Master!H$4%,0)))</f>
        <v/>
      </c>
      <c r="J395" s="9" t="str">
        <f t="shared" si="571"/>
        <v/>
      </c>
      <c r="K395" s="9" t="str">
        <f t="shared" si="572"/>
        <v/>
      </c>
      <c r="L395" s="9" t="str">
        <f t="shared" si="573"/>
        <v/>
      </c>
      <c r="M395" s="9" t="str">
        <f t="shared" si="574"/>
        <v/>
      </c>
      <c r="N395" s="9" t="str">
        <f t="shared" si="575"/>
        <v/>
      </c>
      <c r="O395" s="9" t="str">
        <f t="shared" ref="O395" si="576">IF(AND(C395=""),"",N395-P395)</f>
        <v/>
      </c>
      <c r="P395" s="9" t="str">
        <f>IF(AND($Y$394=""),"",IF(AND(N395=""),"",ROUND(N395*AA$1%,0)))</f>
        <v/>
      </c>
      <c r="Q395" s="9" t="str">
        <f>IF(AND($Y$394=""),"",IF(AND(C395=""),"",IF(AND(O395=""),"",SUM(O395,P395))))</f>
        <v/>
      </c>
      <c r="R395" s="9" t="str">
        <f t="shared" ref="R395:R396" si="577">IF(AND(N395=""),"",IF(AND(Q395=""),"",N395-Q395))</f>
        <v/>
      </c>
      <c r="S395" s="20"/>
      <c r="X395" s="4" t="str">
        <f>IF(ISNA(VLOOKUP($Y$394,Master!A$8:N$127,7,FALSE)),"",VLOOKUP($Y$394,Master!A$8:AH$127,7,FALSE))</f>
        <v/>
      </c>
    </row>
    <row r="396" spans="1:25" ht="21" customHeight="1">
      <c r="A396" s="8">
        <v>3</v>
      </c>
      <c r="B396" s="23" t="str">
        <f>IFERROR(DATE(YEAR(B395),MONTH(B395)+1,DAY(B395)),"")</f>
        <v/>
      </c>
      <c r="C396" s="9"/>
      <c r="D396" s="9" t="str">
        <f>IF(AND(C396=""),"",IF(AND($Y$394=""),"",ROUND(C396*Master!C$5%,0)))</f>
        <v/>
      </c>
      <c r="E396" s="9" t="str">
        <f>IF(AND(C396=""),"",IF(AND($Y$394=""),"",ROUND(C396*Master!H$5%,0)))</f>
        <v/>
      </c>
      <c r="F396" s="9" t="str">
        <f t="shared" si="570"/>
        <v/>
      </c>
      <c r="G396" s="9" t="str">
        <f t="shared" ref="G396:G397" si="578">IF(C396="","",IF(AND($Y$394=""),"",G395))</f>
        <v/>
      </c>
      <c r="H396" s="9" t="str">
        <f>IF(AND(G396=""),"",IF(AND($Y$394=""),"",ROUND(G396*Master!C$4%,0)))</f>
        <v/>
      </c>
      <c r="I396" s="9" t="str">
        <f>IF(AND(G396=""),"",IF(AND($Y$394=""),"",ROUND(G396*Master!H$4%,0)))</f>
        <v/>
      </c>
      <c r="J396" s="9" t="str">
        <f t="shared" si="571"/>
        <v/>
      </c>
      <c r="K396" s="9" t="str">
        <f t="shared" si="572"/>
        <v/>
      </c>
      <c r="L396" s="9" t="str">
        <f t="shared" si="573"/>
        <v/>
      </c>
      <c r="M396" s="9" t="str">
        <f t="shared" si="574"/>
        <v/>
      </c>
      <c r="N396" s="9" t="str">
        <f t="shared" si="575"/>
        <v/>
      </c>
      <c r="O396" s="9">
        <v>0</v>
      </c>
      <c r="P396" s="9" t="str">
        <f>IF(AND($Y$394=""),"",IF(AND(N396=""),"",ROUND(N396*AA$1%,0)))</f>
        <v/>
      </c>
      <c r="Q396" s="9" t="str">
        <f>IF(AND($Y$394=""),"",IF(AND(C396=""),"",IF(AND(O396=""),"",SUM(O396,P396))))</f>
        <v/>
      </c>
      <c r="R396" s="9" t="str">
        <f t="shared" si="577"/>
        <v/>
      </c>
      <c r="S396" s="20"/>
    </row>
    <row r="397" spans="1:25" ht="21" customHeight="1">
      <c r="A397" s="8">
        <v>4</v>
      </c>
      <c r="B397" s="23" t="str">
        <f>IFERROR(DATE(YEAR(B396),MONTH(B396)+1,DAY(B396)),"")</f>
        <v/>
      </c>
      <c r="C397" s="9"/>
      <c r="D397" s="9" t="str">
        <f>IF(AND(C397=""),"",IF(AND($Y$394=""),"",ROUND(C397*Master!C$5%,0)))</f>
        <v/>
      </c>
      <c r="E397" s="9" t="str">
        <f>IF(AND(C397=""),"",IF(AND($Y$394=""),"",ROUND(C397*Master!H$5%,0)))</f>
        <v/>
      </c>
      <c r="F397" s="9" t="str">
        <f t="shared" ref="F397" si="579">IF(AND(C397=""),"",SUM(C397:E397))</f>
        <v/>
      </c>
      <c r="G397" s="9" t="str">
        <f t="shared" si="578"/>
        <v/>
      </c>
      <c r="H397" s="9" t="str">
        <f>IF(AND(G397=""),"",IF(AND($Y$394=""),"",ROUND(G397*Master!C$4%,0)))</f>
        <v/>
      </c>
      <c r="I397" s="9" t="str">
        <f>IF(AND(G397=""),"",IF(AND($Y$394=""),"",ROUND(G397*Master!H$4%,0)))</f>
        <v/>
      </c>
      <c r="J397" s="9" t="str">
        <f t="shared" ref="J397" si="580">IF(AND(C397=""),"",SUM(G397:I397))</f>
        <v/>
      </c>
      <c r="K397" s="9" t="str">
        <f t="shared" ref="K397" si="581">IF(AND(C397=""),"",IF(AND(G397=""),"",C397-G397))</f>
        <v/>
      </c>
      <c r="L397" s="9" t="str">
        <f t="shared" ref="L397" si="582">IF(AND(D397=""),"",IF(AND(H397=""),"",D397-H397))</f>
        <v/>
      </c>
      <c r="M397" s="9" t="str">
        <f t="shared" ref="M397" si="583">IF(AND(E397=""),"",IF(AND(I397=""),"",E397-I397))</f>
        <v/>
      </c>
      <c r="N397" s="9" t="str">
        <f t="shared" ref="N397" si="584">IF(AND(F397=""),"",IF(AND(J397=""),"",F397-J397))</f>
        <v/>
      </c>
      <c r="O397" s="9">
        <v>0</v>
      </c>
      <c r="P397" s="9" t="str">
        <f>IF(AND($Y$394=""),"",IF(AND(N397=""),"",ROUND(N397*AA$1%,0)))</f>
        <v/>
      </c>
      <c r="Q397" s="9" t="str">
        <f>IF(AND($Y$394=""),"",IF(AND(C397=""),"",IF(AND(O397=""),"",SUM(O397,P397))))</f>
        <v/>
      </c>
      <c r="R397" s="9" t="str">
        <f t="shared" ref="R397" si="585">IF(AND(N397=""),"",IF(AND(Q397=""),"",N397-Q397))</f>
        <v/>
      </c>
      <c r="S397" s="20"/>
    </row>
    <row r="398" spans="1:25" ht="30.75" customHeight="1">
      <c r="A398" s="153" t="s">
        <v>9</v>
      </c>
      <c r="B398" s="154"/>
      <c r="C398" s="63">
        <f>IF(AND($Y$394=""),"",SUM(C394:C397))</f>
        <v>0</v>
      </c>
      <c r="D398" s="63">
        <f t="shared" ref="D398:R398" si="586">IF(AND($Y$394=""),"",SUM(D394:D397))</f>
        <v>0</v>
      </c>
      <c r="E398" s="63">
        <f t="shared" si="586"/>
        <v>0</v>
      </c>
      <c r="F398" s="63">
        <f t="shared" si="586"/>
        <v>0</v>
      </c>
      <c r="G398" s="63">
        <f t="shared" si="586"/>
        <v>0</v>
      </c>
      <c r="H398" s="63">
        <f t="shared" si="586"/>
        <v>0</v>
      </c>
      <c r="I398" s="63">
        <f t="shared" si="586"/>
        <v>0</v>
      </c>
      <c r="J398" s="63">
        <f t="shared" si="586"/>
        <v>0</v>
      </c>
      <c r="K398" s="63">
        <f t="shared" si="586"/>
        <v>0</v>
      </c>
      <c r="L398" s="63">
        <f t="shared" si="586"/>
        <v>0</v>
      </c>
      <c r="M398" s="63">
        <f t="shared" si="586"/>
        <v>0</v>
      </c>
      <c r="N398" s="63">
        <f t="shared" si="586"/>
        <v>0</v>
      </c>
      <c r="O398" s="63">
        <f t="shared" si="586"/>
        <v>0</v>
      </c>
      <c r="P398" s="63">
        <f t="shared" si="586"/>
        <v>0</v>
      </c>
      <c r="Q398" s="63">
        <f t="shared" si="586"/>
        <v>0</v>
      </c>
      <c r="R398" s="63">
        <f t="shared" si="586"/>
        <v>0</v>
      </c>
      <c r="S398" s="49"/>
    </row>
    <row r="399" spans="1:25" ht="30.75" customHeight="1">
      <c r="A399" s="73"/>
      <c r="B399" s="73"/>
      <c r="C399" s="74"/>
      <c r="D399" s="74"/>
      <c r="E399" s="74"/>
      <c r="F399" s="74"/>
      <c r="G399" s="74"/>
      <c r="H399" s="74"/>
      <c r="I399" s="74"/>
      <c r="J399" s="74"/>
      <c r="K399" s="74"/>
      <c r="L399" s="74"/>
      <c r="M399" s="74"/>
      <c r="N399" s="74"/>
      <c r="O399" s="74"/>
      <c r="P399" s="74"/>
      <c r="Q399" s="74"/>
      <c r="R399" s="74"/>
      <c r="S399" s="75"/>
    </row>
    <row r="400" spans="1:25" ht="18.75">
      <c r="A400" s="21"/>
      <c r="B400" s="58"/>
      <c r="C400" s="58"/>
      <c r="D400" s="58"/>
      <c r="E400" s="58"/>
      <c r="F400" s="58"/>
      <c r="G400" s="58"/>
      <c r="H400" s="59"/>
      <c r="I400" s="59"/>
      <c r="J400" s="59"/>
      <c r="K400" s="66"/>
      <c r="L400" s="66"/>
      <c r="M400" s="66"/>
      <c r="N400" s="66"/>
      <c r="O400" s="138" t="s">
        <v>42</v>
      </c>
      <c r="P400" s="138"/>
      <c r="Q400" s="138"/>
      <c r="R400" s="138"/>
      <c r="S400" s="138"/>
    </row>
    <row r="401" spans="1:27" ht="18.75">
      <c r="A401" s="1"/>
      <c r="B401" s="24" t="s">
        <v>19</v>
      </c>
      <c r="C401" s="139"/>
      <c r="D401" s="139"/>
      <c r="E401" s="139"/>
      <c r="F401" s="139"/>
      <c r="G401" s="139"/>
      <c r="H401" s="25"/>
      <c r="I401" s="143" t="s">
        <v>20</v>
      </c>
      <c r="J401" s="143"/>
      <c r="K401" s="141"/>
      <c r="L401" s="141"/>
      <c r="M401" s="141"/>
      <c r="O401" s="138"/>
      <c r="P401" s="138"/>
      <c r="Q401" s="138"/>
      <c r="R401" s="138"/>
      <c r="S401" s="138"/>
    </row>
    <row r="402" spans="1:27" ht="18.75">
      <c r="A402" s="1"/>
      <c r="B402" s="140" t="s">
        <v>21</v>
      </c>
      <c r="C402" s="140"/>
      <c r="D402" s="140"/>
      <c r="E402" s="140"/>
      <c r="F402" s="140"/>
      <c r="G402" s="140"/>
      <c r="H402" s="140"/>
      <c r="I402" s="27"/>
      <c r="J402" s="26"/>
      <c r="K402" s="26"/>
      <c r="L402" s="26"/>
      <c r="M402" s="26"/>
    </row>
    <row r="403" spans="1:27" ht="18.75">
      <c r="A403" s="22">
        <v>1</v>
      </c>
      <c r="B403" s="142" t="s">
        <v>22</v>
      </c>
      <c r="C403" s="142"/>
      <c r="D403" s="142"/>
      <c r="E403" s="142"/>
      <c r="F403" s="142"/>
      <c r="G403" s="142"/>
      <c r="H403" s="142"/>
      <c r="I403" s="28"/>
      <c r="J403" s="26"/>
      <c r="K403" s="26"/>
      <c r="L403" s="26"/>
      <c r="M403" s="26"/>
    </row>
    <row r="404" spans="1:27" ht="18.75">
      <c r="A404" s="2">
        <v>2</v>
      </c>
      <c r="B404" s="142" t="s">
        <v>23</v>
      </c>
      <c r="C404" s="142"/>
      <c r="D404" s="142"/>
      <c r="E404" s="142"/>
      <c r="F404" s="142"/>
      <c r="G404" s="132"/>
      <c r="H404" s="132"/>
      <c r="I404" s="132"/>
      <c r="J404" s="132"/>
      <c r="K404" s="132"/>
      <c r="L404" s="132"/>
      <c r="M404" s="132"/>
    </row>
    <row r="405" spans="1:27" ht="18.75">
      <c r="A405" s="3">
        <v>3</v>
      </c>
      <c r="B405" s="142" t="s">
        <v>24</v>
      </c>
      <c r="C405" s="142"/>
      <c r="D405" s="142"/>
      <c r="E405" s="29"/>
      <c r="F405" s="28"/>
      <c r="G405" s="28"/>
      <c r="H405" s="30"/>
      <c r="I405" s="31"/>
      <c r="J405" s="26"/>
      <c r="K405" s="26"/>
      <c r="L405" s="26"/>
      <c r="M405" s="26"/>
    </row>
    <row r="406" spans="1:27" ht="15.75">
      <c r="O406" s="138" t="s">
        <v>42</v>
      </c>
      <c r="P406" s="138"/>
      <c r="Q406" s="138"/>
      <c r="R406" s="138"/>
      <c r="S406" s="138"/>
    </row>
    <row r="408" spans="1:27" ht="18" customHeight="1">
      <c r="A408" s="148" t="str">
        <f>A371</f>
        <v xml:space="preserve">DA (46% to 50%) Drawn Statement  </v>
      </c>
      <c r="B408" s="148"/>
      <c r="C408" s="148"/>
      <c r="D408" s="148"/>
      <c r="E408" s="148"/>
      <c r="F408" s="148"/>
      <c r="G408" s="148"/>
      <c r="H408" s="148"/>
      <c r="I408" s="148"/>
      <c r="J408" s="148"/>
      <c r="K408" s="148"/>
      <c r="L408" s="148"/>
      <c r="M408" s="148"/>
      <c r="N408" s="148"/>
      <c r="O408" s="148"/>
      <c r="P408" s="148"/>
      <c r="Q408" s="148"/>
      <c r="R408" s="148"/>
      <c r="S408" s="148"/>
      <c r="W408" s="4">
        <f>IF(ISNA(VLOOKUP($Y$3,Master!A$8:N$127,4,FALSE)),"",VLOOKUP($Y$3,Master!A$8:AH$127,4,FALSE))</f>
        <v>2</v>
      </c>
      <c r="X408" s="4" t="str">
        <f>IF(ISNA(VLOOKUP($Y$3,Master!A$8:N$127,6,FALSE)),"",VLOOKUP($Y$3,Master!A$8:AH$127,6,FALSE))</f>
        <v>GPF-2004</v>
      </c>
      <c r="Y408" s="4" t="s">
        <v>45</v>
      </c>
      <c r="Z408" s="4" t="s">
        <v>18</v>
      </c>
      <c r="AA408" s="4" t="str">
        <f>IF(ISNA(VLOOKUP(Y410,Master!A$8:N$127,7,FALSE)),"",VLOOKUP(Y410,Master!A$8:AH$127,7,FALSE))</f>
        <v/>
      </c>
    </row>
    <row r="409" spans="1:27" ht="18">
      <c r="A409" s="131" t="str">
        <f>IF(AND(Master!C377=""),"",CONCATENATE("Office Of  ",Master!C377))</f>
        <v/>
      </c>
      <c r="B409" s="131"/>
      <c r="C409" s="131"/>
      <c r="D409" s="131"/>
      <c r="E409" s="131"/>
      <c r="F409" s="131"/>
      <c r="G409" s="131"/>
      <c r="H409" s="131"/>
      <c r="I409" s="131"/>
      <c r="J409" s="131"/>
      <c r="K409" s="131"/>
      <c r="L409" s="131"/>
      <c r="M409" s="131"/>
      <c r="N409" s="131"/>
      <c r="O409" s="131"/>
      <c r="P409" s="131"/>
      <c r="Q409" s="131"/>
      <c r="R409" s="131"/>
      <c r="S409" s="131"/>
      <c r="X409" s="4">
        <f>IF(ISNA(VLOOKUP($Y$3,Master!A$8:N$127,8,FALSE)),"",VLOOKUP($Y$3,Master!A$8:AH$127,8,FALSE))</f>
        <v>45292</v>
      </c>
      <c r="Y409" s="4" t="s">
        <v>43</v>
      </c>
    </row>
    <row r="410" spans="1:27" ht="18.75">
      <c r="E410" s="133" t="s">
        <v>10</v>
      </c>
      <c r="F410" s="133"/>
      <c r="G410" s="133"/>
      <c r="H410" s="133"/>
      <c r="I410" s="133"/>
      <c r="J410" s="132" t="str">
        <f>IF(ISNA(VLOOKUP(Y410,Master!A$8:N$127,2,FALSE)),"",VLOOKUP(Y410,Master!A$8:AH$127,2,FALSE))</f>
        <v/>
      </c>
      <c r="K410" s="132"/>
      <c r="L410" s="132"/>
      <c r="M410" s="132"/>
      <c r="N410" s="132"/>
      <c r="O410" s="60" t="s">
        <v>31</v>
      </c>
      <c r="P410" s="132" t="str">
        <f>IF(ISNA(VLOOKUP(Y410,Master!A$8:N$127,3,FALSE)),"",VLOOKUP(Y410,Master!A$8:AH$127,3,FALSE))</f>
        <v/>
      </c>
      <c r="Q410" s="132"/>
      <c r="R410" s="132"/>
      <c r="S410" s="132"/>
      <c r="X410" s="61" t="s">
        <v>49</v>
      </c>
      <c r="Y410" s="64">
        <v>34</v>
      </c>
    </row>
    <row r="411" spans="1:27" ht="8.25" customHeight="1">
      <c r="E411" s="19"/>
      <c r="F411" s="52"/>
      <c r="G411" s="22"/>
      <c r="H411" s="22"/>
      <c r="I411" s="22"/>
      <c r="J411" s="5"/>
      <c r="K411" s="5"/>
      <c r="L411" s="5"/>
      <c r="M411" s="5"/>
      <c r="N411" s="5"/>
      <c r="O411" s="6"/>
      <c r="P411" s="6"/>
    </row>
    <row r="412" spans="1:27" ht="24.75" customHeight="1">
      <c r="A412" s="157" t="s">
        <v>0</v>
      </c>
      <c r="B412" s="158" t="s">
        <v>3</v>
      </c>
      <c r="C412" s="159" t="s">
        <v>5</v>
      </c>
      <c r="D412" s="159"/>
      <c r="E412" s="159"/>
      <c r="F412" s="159"/>
      <c r="G412" s="159" t="s">
        <v>6</v>
      </c>
      <c r="H412" s="159"/>
      <c r="I412" s="159"/>
      <c r="J412" s="159"/>
      <c r="K412" s="159" t="s">
        <v>7</v>
      </c>
      <c r="L412" s="159"/>
      <c r="M412" s="159"/>
      <c r="N412" s="159"/>
      <c r="O412" s="149" t="s">
        <v>8</v>
      </c>
      <c r="P412" s="150"/>
      <c r="Q412" s="151"/>
      <c r="R412" s="162" t="s">
        <v>54</v>
      </c>
      <c r="S412" s="162" t="s">
        <v>40</v>
      </c>
    </row>
    <row r="413" spans="1:27" ht="69" customHeight="1">
      <c r="A413" s="157"/>
      <c r="B413" s="158"/>
      <c r="C413" s="54" t="s">
        <v>29</v>
      </c>
      <c r="D413" s="55" t="s">
        <v>1</v>
      </c>
      <c r="E413" s="56" t="s">
        <v>2</v>
      </c>
      <c r="F413" s="54" t="s">
        <v>46</v>
      </c>
      <c r="G413" s="54" t="s">
        <v>29</v>
      </c>
      <c r="H413" s="55" t="s">
        <v>1</v>
      </c>
      <c r="I413" s="56" t="s">
        <v>2</v>
      </c>
      <c r="J413" s="54" t="s">
        <v>47</v>
      </c>
      <c r="K413" s="54" t="s">
        <v>4</v>
      </c>
      <c r="L413" s="55" t="s">
        <v>1</v>
      </c>
      <c r="M413" s="56" t="s">
        <v>2</v>
      </c>
      <c r="N413" s="57" t="s">
        <v>48</v>
      </c>
      <c r="O413" s="53" t="s">
        <v>69</v>
      </c>
      <c r="P413" s="65" t="s">
        <v>41</v>
      </c>
      <c r="Q413" s="57" t="s">
        <v>53</v>
      </c>
      <c r="R413" s="162"/>
      <c r="S413" s="162"/>
    </row>
    <row r="414" spans="1:27" ht="18" customHeight="1">
      <c r="A414" s="7">
        <v>1</v>
      </c>
      <c r="B414" s="7">
        <v>2</v>
      </c>
      <c r="C414" s="7">
        <v>3</v>
      </c>
      <c r="D414" s="7">
        <v>4</v>
      </c>
      <c r="E414" s="7">
        <v>5</v>
      </c>
      <c r="F414" s="7">
        <v>6</v>
      </c>
      <c r="G414" s="7">
        <v>7</v>
      </c>
      <c r="H414" s="7">
        <v>8</v>
      </c>
      <c r="I414" s="7">
        <v>9</v>
      </c>
      <c r="J414" s="7">
        <v>10</v>
      </c>
      <c r="K414" s="7">
        <v>11</v>
      </c>
      <c r="L414" s="7">
        <v>12</v>
      </c>
      <c r="M414" s="7">
        <v>13</v>
      </c>
      <c r="N414" s="7">
        <v>14</v>
      </c>
      <c r="O414" s="7">
        <v>15</v>
      </c>
      <c r="P414" s="7">
        <v>17</v>
      </c>
      <c r="Q414" s="7">
        <v>18</v>
      </c>
      <c r="R414" s="7">
        <v>19</v>
      </c>
      <c r="S414" s="7">
        <v>20</v>
      </c>
    </row>
    <row r="415" spans="1:27" ht="21" customHeight="1">
      <c r="A415" s="8">
        <v>1</v>
      </c>
      <c r="B415" s="23" t="str">
        <f>IFERROR(IF(ISNA(VLOOKUP(Y410,Master!A$8:N$127,8,FALSE)),"",VLOOKUP($Y410,Master!A$8:AH$127,8,FALSE)),"")</f>
        <v/>
      </c>
      <c r="C415" s="9" t="str">
        <f>IF(ISNA(VLOOKUP(Y410,Master!A$8:N$127,5,FALSE)),"",VLOOKUP(Y410,Master!A$8:AH$127,5,FALSE))</f>
        <v/>
      </c>
      <c r="D415" s="9" t="str">
        <f>IF(AND(C415=""),"",IF(AND(Y410=""),"",ROUND(C415*Master!C$5%,0)))</f>
        <v/>
      </c>
      <c r="E415" s="9" t="str">
        <f>IF(AND(C415=""),"",IF(AND(Y410=""),"",ROUND(C415*Master!H$5%,0)))</f>
        <v/>
      </c>
      <c r="F415" s="9" t="str">
        <f t="shared" ref="F415" si="587">IF(AND(C415=""),"",SUM(C415:E415))</f>
        <v/>
      </c>
      <c r="G415" s="9" t="str">
        <f>IF(ISNA(VLOOKUP(Y410,Master!A$8:N$127,5,FALSE)),"",VLOOKUP(Y410,Master!A$8:AH$127,5,FALSE))</f>
        <v/>
      </c>
      <c r="H415" s="9" t="str">
        <f>IF(AND(G415=""),"",IF(AND(Y410=""),"",ROUND(G415*Master!C$4%,0)))</f>
        <v/>
      </c>
      <c r="I415" s="9" t="str">
        <f>IF(AND(G415=""),"",IF(AND(Y410=""),"",ROUND(G415*Master!H$4%,0)))</f>
        <v/>
      </c>
      <c r="J415" s="9" t="str">
        <f t="shared" ref="J415:J416" si="588">IF(AND(C415=""),"",SUM(G415:I415))</f>
        <v/>
      </c>
      <c r="K415" s="9" t="str">
        <f t="shared" ref="K415:K417" si="589">IF(AND(C415=""),"",IF(AND(G415=""),"",C415-G415))</f>
        <v/>
      </c>
      <c r="L415" s="9" t="str">
        <f t="shared" ref="L415:L417" si="590">IF(AND(D415=""),"",IF(AND(H415=""),"",D415-H415))</f>
        <v/>
      </c>
      <c r="M415" s="9" t="str">
        <f t="shared" ref="M415:M416" si="591">IF(AND(E415=""),"",IF(AND(I415=""),"",E415-I415))</f>
        <v/>
      </c>
      <c r="N415" s="9" t="str">
        <f t="shared" ref="N415:N416" si="592">IF(AND(F415=""),"",IF(AND(J415=""),"",F415-J415))</f>
        <v/>
      </c>
      <c r="O415" s="9" t="str">
        <f>IF(AND(C415=""),"",N415-P415)</f>
        <v/>
      </c>
      <c r="P415" s="9" t="str">
        <f>IF(AND(Y410=""),"",IF(AND(N415=""),"",ROUND(N415*AA$1%,0)))</f>
        <v/>
      </c>
      <c r="Q415" s="9" t="str">
        <f>IF(AND(Y410=""),"",IF(AND(C415=""),"",IF(AND(O415=""),"",SUM(O415,P415))))</f>
        <v/>
      </c>
      <c r="R415" s="9" t="str">
        <f>IF(AND(N415=""),"",IF(AND(Q415=""),"",N415-Q415))</f>
        <v/>
      </c>
      <c r="S415" s="20"/>
    </row>
    <row r="416" spans="1:27" ht="21" customHeight="1">
      <c r="A416" s="8">
        <v>2</v>
      </c>
      <c r="B416" s="23" t="str">
        <f>IFERROR(DATE(YEAR(B415),MONTH(B415)+1,DAY(B415)),"")</f>
        <v/>
      </c>
      <c r="C416" s="9" t="str">
        <f>IF(AND(Y410=""),"",C415)</f>
        <v/>
      </c>
      <c r="D416" s="9" t="str">
        <f>IF(AND(C416=""),"",IF(AND(Y410=""),"",ROUND(C416*Master!C$5%,0)))</f>
        <v/>
      </c>
      <c r="E416" s="9" t="str">
        <f>IF(AND(C416=""),"",IF(AND(Y410=""),"",ROUND(C416*Master!H$5%,0)))</f>
        <v/>
      </c>
      <c r="F416" s="9" t="str">
        <f>IF(AND(C416=""),"",SUM(C416:E416))</f>
        <v/>
      </c>
      <c r="G416" s="9" t="str">
        <f>IF(C416="","",IF(AND(Y410=""),"",G415))</f>
        <v/>
      </c>
      <c r="H416" s="9" t="str">
        <f>IF(AND(G416=""),"",IF(AND(Y410=""),"",ROUND(G416*Master!C$4%,0)))</f>
        <v/>
      </c>
      <c r="I416" s="9" t="str">
        <f>IF(AND(G416=""),"",IF(AND(Y410=""),"",ROUND(G416*Master!H$4%,0)))</f>
        <v/>
      </c>
      <c r="J416" s="9" t="str">
        <f t="shared" si="588"/>
        <v/>
      </c>
      <c r="K416" s="9" t="str">
        <f t="shared" si="589"/>
        <v/>
      </c>
      <c r="L416" s="9" t="str">
        <f t="shared" si="590"/>
        <v/>
      </c>
      <c r="M416" s="9" t="str">
        <f t="shared" si="591"/>
        <v/>
      </c>
      <c r="N416" s="9" t="str">
        <f t="shared" si="592"/>
        <v/>
      </c>
      <c r="O416" s="9" t="str">
        <f t="shared" ref="O416" si="593">IF(AND(C416=""),"",N416-P416)</f>
        <v/>
      </c>
      <c r="P416" s="9" t="str">
        <f>IF(AND(Y410=""),"",IF(AND(N416=""),"",ROUND(N416*AA$1%,0)))</f>
        <v/>
      </c>
      <c r="Q416" s="9" t="str">
        <f>IF(AND(Y410=""),"",IF(AND(C416=""),"",IF(AND(O416=""),"",SUM(O416,P416))))</f>
        <v/>
      </c>
      <c r="R416" s="9" t="str">
        <f t="shared" ref="R416:R417" si="594">IF(AND(N416=""),"",IF(AND(Q416=""),"",N416-Q416))</f>
        <v/>
      </c>
      <c r="S416" s="20"/>
    </row>
    <row r="417" spans="1:25" ht="21" customHeight="1">
      <c r="A417" s="8">
        <v>3</v>
      </c>
      <c r="B417" s="23" t="str">
        <f>IFERROR(DATE(YEAR(B416),MONTH(B416)+1,DAY(B416)),"")</f>
        <v/>
      </c>
      <c r="C417" s="9"/>
      <c r="D417" s="9" t="str">
        <f>IF(AND(C417=""),"",IF(AND(Y410=""),"",ROUND(C417*Master!C$5%,0)))</f>
        <v/>
      </c>
      <c r="E417" s="9" t="str">
        <f>IF(AND(C417=""),"",IF(AND(Y410=""),"",ROUND(C417*Master!H$5%,0)))</f>
        <v/>
      </c>
      <c r="F417" s="9" t="str">
        <f t="shared" ref="F417" si="595">IF(AND(C417=""),"",SUM(C417:E417))</f>
        <v/>
      </c>
      <c r="G417" s="9" t="str">
        <f t="shared" ref="G417:G418" si="596">IF(C417="","",IF(AND(Y411=""),"",G416))</f>
        <v/>
      </c>
      <c r="H417" s="9" t="str">
        <f>IF(AND(G417=""),"",IF(AND(Y410=""),"",ROUND(G417*Master!C$4%,0)))</f>
        <v/>
      </c>
      <c r="I417" s="9" t="str">
        <f>IF(AND(G417=""),"",IF(AND(Y410=""),"",ROUND(G417*Master!H$4%,0)))</f>
        <v/>
      </c>
      <c r="J417" s="9" t="str">
        <f>IF(AND(C417=""),"",SUM(G417:I417))</f>
        <v/>
      </c>
      <c r="K417" s="9" t="str">
        <f t="shared" si="589"/>
        <v/>
      </c>
      <c r="L417" s="9" t="str">
        <f t="shared" si="590"/>
        <v/>
      </c>
      <c r="M417" s="9" t="str">
        <f>IF(AND(E417=""),"",IF(AND(I417=""),"",E417-I417))</f>
        <v/>
      </c>
      <c r="N417" s="9" t="str">
        <f>IF(AND(F417=""),"",IF(AND(J417=""),"",F417-J417))</f>
        <v/>
      </c>
      <c r="O417" s="9">
        <v>0</v>
      </c>
      <c r="P417" s="9" t="str">
        <f>IF(AND(Y410=""),"",IF(AND(N417=""),"",ROUND(N417*AA$1%,0)))</f>
        <v/>
      </c>
      <c r="Q417" s="9" t="str">
        <f>IF(AND(Y410=""),"",IF(AND(C417=""),"",IF(AND(O417=""),"",SUM(O417,P417))))</f>
        <v/>
      </c>
      <c r="R417" s="9" t="str">
        <f t="shared" si="594"/>
        <v/>
      </c>
      <c r="S417" s="20"/>
    </row>
    <row r="418" spans="1:25" ht="21" customHeight="1">
      <c r="A418" s="8">
        <v>4</v>
      </c>
      <c r="B418" s="23" t="str">
        <f>IFERROR(DATE(YEAR(B417),MONTH(B417)+1,DAY(B417)),"")</f>
        <v/>
      </c>
      <c r="C418" s="9"/>
      <c r="D418" s="9" t="str">
        <f>IF(AND(C418=""),"",IF(AND(Y411=""),"",ROUND(C418*Master!C$5%,0)))</f>
        <v/>
      </c>
      <c r="E418" s="9" t="str">
        <f>IF(AND(C418=""),"",IF(AND(Y411=""),"",ROUND(C418*Master!H$5%,0)))</f>
        <v/>
      </c>
      <c r="F418" s="9" t="str">
        <f t="shared" ref="F418" si="597">IF(AND(C418=""),"",SUM(C418:E418))</f>
        <v/>
      </c>
      <c r="G418" s="9" t="str">
        <f t="shared" si="596"/>
        <v/>
      </c>
      <c r="H418" s="9" t="str">
        <f>IF(AND(G418=""),"",IF(AND(Y411=""),"",ROUND(G418*Master!C$4%,0)))</f>
        <v/>
      </c>
      <c r="I418" s="9" t="str">
        <f>IF(AND(G418=""),"",IF(AND(Y411=""),"",ROUND(G418*Master!H$4%,0)))</f>
        <v/>
      </c>
      <c r="J418" s="9" t="str">
        <f>IF(AND(C418=""),"",SUM(G418:I418))</f>
        <v/>
      </c>
      <c r="K418" s="9" t="str">
        <f t="shared" ref="K418" si="598">IF(AND(C418=""),"",IF(AND(G418=""),"",C418-G418))</f>
        <v/>
      </c>
      <c r="L418" s="9" t="str">
        <f t="shared" ref="L418" si="599">IF(AND(D418=""),"",IF(AND(H418=""),"",D418-H418))</f>
        <v/>
      </c>
      <c r="M418" s="9" t="str">
        <f>IF(AND(E418=""),"",IF(AND(I418=""),"",E418-I418))</f>
        <v/>
      </c>
      <c r="N418" s="9" t="str">
        <f>IF(AND(F418=""),"",IF(AND(J418=""),"",F418-J418))</f>
        <v/>
      </c>
      <c r="O418" s="9">
        <v>0</v>
      </c>
      <c r="P418" s="9" t="str">
        <f>IF(AND(Y411=""),"",IF(AND(N418=""),"",ROUND(N418*AA$1%,0)))</f>
        <v/>
      </c>
      <c r="Q418" s="9" t="str">
        <f>IF(AND(Y411=""),"",IF(AND(C418=""),"",IF(AND(O418=""),"",SUM(O418,P418))))</f>
        <v/>
      </c>
      <c r="R418" s="9" t="str">
        <f t="shared" ref="R418" si="600">IF(AND(N418=""),"",IF(AND(Q418=""),"",N418-Q418))</f>
        <v/>
      </c>
      <c r="S418" s="20"/>
    </row>
    <row r="419" spans="1:25" ht="23.25" customHeight="1">
      <c r="A419" s="153" t="s">
        <v>9</v>
      </c>
      <c r="B419" s="154"/>
      <c r="C419" s="63">
        <f>IF(AND($Y$410=""),"",SUM(C415:C418))</f>
        <v>0</v>
      </c>
      <c r="D419" s="63">
        <f t="shared" ref="D419:Q419" si="601">IF(AND($Y$410=""),"",SUM(D415:D418))</f>
        <v>0</v>
      </c>
      <c r="E419" s="63">
        <f t="shared" si="601"/>
        <v>0</v>
      </c>
      <c r="F419" s="63">
        <f t="shared" si="601"/>
        <v>0</v>
      </c>
      <c r="G419" s="63">
        <f t="shared" si="601"/>
        <v>0</v>
      </c>
      <c r="H419" s="63">
        <f t="shared" si="601"/>
        <v>0</v>
      </c>
      <c r="I419" s="63">
        <f t="shared" si="601"/>
        <v>0</v>
      </c>
      <c r="J419" s="63">
        <f t="shared" si="601"/>
        <v>0</v>
      </c>
      <c r="K419" s="63">
        <f t="shared" si="601"/>
        <v>0</v>
      </c>
      <c r="L419" s="63">
        <f t="shared" si="601"/>
        <v>0</v>
      </c>
      <c r="M419" s="63">
        <f t="shared" si="601"/>
        <v>0</v>
      </c>
      <c r="N419" s="63">
        <f t="shared" si="601"/>
        <v>0</v>
      </c>
      <c r="O419" s="63">
        <f t="shared" si="601"/>
        <v>0</v>
      </c>
      <c r="P419" s="63">
        <f t="shared" si="601"/>
        <v>0</v>
      </c>
      <c r="Q419" s="63">
        <f t="shared" si="601"/>
        <v>0</v>
      </c>
      <c r="R419" s="63">
        <f>IF(AND($Y$410=""),"",SUM(R415:R418))</f>
        <v>0</v>
      </c>
      <c r="S419" s="49"/>
    </row>
    <row r="420" spans="1:25" ht="10.5" customHeight="1">
      <c r="A420" s="73"/>
      <c r="B420" s="73"/>
      <c r="C420" s="74"/>
      <c r="D420" s="74"/>
      <c r="E420" s="74"/>
      <c r="F420" s="74"/>
      <c r="G420" s="74"/>
      <c r="H420" s="74"/>
      <c r="I420" s="74"/>
      <c r="J420" s="74"/>
      <c r="K420" s="74"/>
      <c r="L420" s="74"/>
      <c r="M420" s="74"/>
      <c r="N420" s="74"/>
      <c r="O420" s="74"/>
      <c r="P420" s="74"/>
      <c r="Q420" s="74"/>
      <c r="R420" s="74"/>
      <c r="S420" s="75"/>
    </row>
    <row r="421" spans="1:25" ht="23.25" customHeight="1">
      <c r="E421" s="133" t="s">
        <v>10</v>
      </c>
      <c r="F421" s="133"/>
      <c r="G421" s="133"/>
      <c r="H421" s="133"/>
      <c r="I421" s="133"/>
      <c r="J421" s="132" t="str">
        <f>IF(ISNA(VLOOKUP(Y423,Master!A$8:N$127,2,FALSE)),"",VLOOKUP(Y423,Master!A$8:AH$127,2,FALSE))</f>
        <v/>
      </c>
      <c r="K421" s="132"/>
      <c r="L421" s="132"/>
      <c r="M421" s="132"/>
      <c r="N421" s="132"/>
      <c r="O421" s="60" t="s">
        <v>31</v>
      </c>
      <c r="P421" s="132" t="str">
        <f>IF(ISNA(VLOOKUP(Y423,Master!A$8:N$127,3,FALSE)),"",VLOOKUP(Y423,Master!A$8:AH$127,3,FALSE))</f>
        <v/>
      </c>
      <c r="Q421" s="132"/>
      <c r="R421" s="132"/>
      <c r="S421" s="132"/>
    </row>
    <row r="422" spans="1:25" ht="9" customHeight="1">
      <c r="E422" s="19"/>
      <c r="F422" s="52"/>
      <c r="G422" s="22"/>
      <c r="H422" s="22"/>
      <c r="I422" s="22"/>
      <c r="J422" s="5"/>
      <c r="K422" s="5"/>
      <c r="L422" s="5"/>
      <c r="M422" s="5"/>
      <c r="N422" s="5"/>
      <c r="O422" s="6"/>
      <c r="P422" s="6"/>
    </row>
    <row r="423" spans="1:25" ht="21" customHeight="1">
      <c r="A423" s="8">
        <v>1</v>
      </c>
      <c r="B423" s="23" t="str">
        <f>IFERROR(IF(ISNA(VLOOKUP(Y423,Master!A$8:N$127,8,FALSE)),"",VLOOKUP($Y423,Master!A$8:AH$127,8,FALSE)),"")</f>
        <v/>
      </c>
      <c r="C423" s="9" t="str">
        <f>IF(ISNA(VLOOKUP(Y423,Master!A$8:N$127,5,FALSE)),"",VLOOKUP(Y423,Master!A$8:AH$127,5,FALSE))</f>
        <v/>
      </c>
      <c r="D423" s="9" t="str">
        <f>IF(AND(C423=""),"",IF(AND(Y423=""),"",ROUND(C423*Master!C$5%,0)))</f>
        <v/>
      </c>
      <c r="E423" s="9" t="str">
        <f>IF(AND(C423=""),"",IF(AND(Y423=""),"",ROUND(C423*Master!H$5%,0)))</f>
        <v/>
      </c>
      <c r="F423" s="9" t="str">
        <f t="shared" ref="F423:F425" si="602">IF(AND(C423=""),"",SUM(C423:E423))</f>
        <v/>
      </c>
      <c r="G423" s="9" t="str">
        <f>IF(ISNA(VLOOKUP(Y423,Master!A$8:N$127,5,FALSE)),"",VLOOKUP(Y423,Master!A$8:AH$127,5,FALSE))</f>
        <v/>
      </c>
      <c r="H423" s="9" t="str">
        <f>IF(AND(G423=""),"",IF(AND(Y423=""),"",ROUND(G423*Master!C$4%,0)))</f>
        <v/>
      </c>
      <c r="I423" s="9" t="str">
        <f>IF(AND(G423=""),"",IF(AND(Y423=""),"",ROUND(G423*Master!H$4%,0)))</f>
        <v/>
      </c>
      <c r="J423" s="9" t="str">
        <f t="shared" ref="J423:J425" si="603">IF(AND(C423=""),"",SUM(G423:I423))</f>
        <v/>
      </c>
      <c r="K423" s="9" t="str">
        <f t="shared" ref="K423" si="604">IF(AND(C423=""),"",IF(AND(G423=""),"",C423-G423))</f>
        <v/>
      </c>
      <c r="L423" s="9" t="str">
        <f>IF(AND(D423=""),"",IF(AND(H423=""),"",D423-H423))</f>
        <v/>
      </c>
      <c r="M423" s="9" t="str">
        <f t="shared" ref="M423:M425" si="605">IF(AND(E423=""),"",IF(AND(I423=""),"",E423-I423))</f>
        <v/>
      </c>
      <c r="N423" s="9" t="str">
        <f t="shared" ref="N423:N425" si="606">IF(AND(F423=""),"",IF(AND(J423=""),"",F423-J423))</f>
        <v/>
      </c>
      <c r="O423" s="9" t="str">
        <f>IF(AND(C423=""),"",N423-P423)</f>
        <v/>
      </c>
      <c r="P423" s="9" t="str">
        <f>IF(AND(Y423=""),"",IF(AND(N423=""),"",ROUND(N423*X$17%,0)))</f>
        <v/>
      </c>
      <c r="Q423" s="9" t="str">
        <f>IF(AND(Y423=""),"",IF(AND(C423=""),"",IF(AND(O423=""),"",SUM(O423,P423))))</f>
        <v/>
      </c>
      <c r="R423" s="9" t="str">
        <f>IF(AND(N423=""),"",IF(AND(Q423=""),"",N423-Q423))</f>
        <v/>
      </c>
      <c r="S423" s="20"/>
      <c r="X423" s="61" t="s">
        <v>49</v>
      </c>
      <c r="Y423" s="64">
        <v>35</v>
      </c>
    </row>
    <row r="424" spans="1:25" ht="21" customHeight="1">
      <c r="A424" s="8">
        <v>2</v>
      </c>
      <c r="B424" s="23" t="str">
        <f>IFERROR(DATE(YEAR(B423),MONTH(B423)+1,DAY(B423)),"")</f>
        <v/>
      </c>
      <c r="C424" s="9" t="str">
        <f>IF(AND(Y423=""),"",C423)</f>
        <v/>
      </c>
      <c r="D424" s="9" t="str">
        <f>IF(AND(C424=""),"",IF(AND(Y423=""),"",ROUND(C424*Master!C$5%,0)))</f>
        <v/>
      </c>
      <c r="E424" s="9" t="str">
        <f>IF(AND(C424=""),"",IF(AND(Y423=""),"",ROUND(C424*Master!H$5%,0)))</f>
        <v/>
      </c>
      <c r="F424" s="9" t="str">
        <f t="shared" si="602"/>
        <v/>
      </c>
      <c r="G424" s="9" t="str">
        <f>IF(C424="","",IF(AND(Y423=""),"",G423))</f>
        <v/>
      </c>
      <c r="H424" s="9" t="str">
        <f>IF(AND(G424=""),"",IF(AND(Y423=""),"",ROUND(G424*Master!C$4%,0)))</f>
        <v/>
      </c>
      <c r="I424" s="9" t="str">
        <f>IF(AND(G424=""),"",IF(AND(Y423=""),"",ROUND(G424*Master!H$4%,0)))</f>
        <v/>
      </c>
      <c r="J424" s="9" t="str">
        <f t="shared" si="603"/>
        <v/>
      </c>
      <c r="K424" s="9" t="str">
        <f>IF(AND(C424=""),"",IF(AND(G424=""),"",C424-G424))</f>
        <v/>
      </c>
      <c r="L424" s="9" t="str">
        <f t="shared" ref="L424:L425" si="607">IF(AND(D424=""),"",IF(AND(H424=""),"",D424-H424))</f>
        <v/>
      </c>
      <c r="M424" s="9" t="str">
        <f t="shared" si="605"/>
        <v/>
      </c>
      <c r="N424" s="9" t="str">
        <f t="shared" si="606"/>
        <v/>
      </c>
      <c r="O424" s="9" t="str">
        <f t="shared" ref="O424" si="608">IF(AND(C424=""),"",N424-P424)</f>
        <v/>
      </c>
      <c r="P424" s="9" t="str">
        <f>IF(AND(Y423=""),"",IF(AND(N424=""),"",ROUND(N424*X$17%,0)))</f>
        <v/>
      </c>
      <c r="Q424" s="9" t="str">
        <f>IF(AND(Y423=""),"",IF(AND(C424=""),"",IF(AND(O424=""),"",SUM(O424,P424))))</f>
        <v/>
      </c>
      <c r="R424" s="9" t="str">
        <f t="shared" ref="R424:R425" si="609">IF(AND(N424=""),"",IF(AND(Q424=""),"",N424-Q424))</f>
        <v/>
      </c>
      <c r="S424" s="20"/>
      <c r="X424" s="4" t="str">
        <f>IF(ISNA(VLOOKUP(Y423,Master!A$8:N$127,7,FALSE)),"",VLOOKUP(Y423,Master!A$8:AH$127,7,FALSE))</f>
        <v/>
      </c>
    </row>
    <row r="425" spans="1:25" ht="21" customHeight="1">
      <c r="A425" s="8">
        <v>3</v>
      </c>
      <c r="B425" s="23" t="str">
        <f>IFERROR(DATE(YEAR(B424),MONTH(B424)+1,DAY(B424)),"")</f>
        <v/>
      </c>
      <c r="C425" s="9"/>
      <c r="D425" s="9" t="str">
        <f>IF(AND(C425=""),"",IF(AND(Y423=""),"",ROUND(C425*Master!C$5%,0)))</f>
        <v/>
      </c>
      <c r="E425" s="9" t="str">
        <f>IF(AND(C425=""),"",IF(AND(Y423=""),"",ROUND(C425*Master!H$5%,0)))</f>
        <v/>
      </c>
      <c r="F425" s="9" t="str">
        <f t="shared" si="602"/>
        <v/>
      </c>
      <c r="G425" s="9" t="str">
        <f t="shared" ref="G425:G426" si="610">IF(C425="","",IF(AND(Y424=""),"",G424))</f>
        <v/>
      </c>
      <c r="H425" s="9" t="str">
        <f>IF(AND(G425=""),"",IF(AND(Y423=""),"",ROUND(G425*Master!C$4%,0)))</f>
        <v/>
      </c>
      <c r="I425" s="9" t="str">
        <f>IF(AND(G425=""),"",IF(AND(Y423=""),"",ROUND(G425*Master!H$4%,0)))</f>
        <v/>
      </c>
      <c r="J425" s="9" t="str">
        <f t="shared" si="603"/>
        <v/>
      </c>
      <c r="K425" s="9" t="str">
        <f t="shared" ref="K425" si="611">IF(AND(C425=""),"",IF(AND(G425=""),"",C425-G425))</f>
        <v/>
      </c>
      <c r="L425" s="9" t="str">
        <f t="shared" si="607"/>
        <v/>
      </c>
      <c r="M425" s="9" t="str">
        <f t="shared" si="605"/>
        <v/>
      </c>
      <c r="N425" s="9" t="str">
        <f t="shared" si="606"/>
        <v/>
      </c>
      <c r="O425" s="9">
        <v>0</v>
      </c>
      <c r="P425" s="9" t="str">
        <f>IF(AND(Y423=""),"",IF(AND(N425=""),"",ROUND(N425*X$17%,0)))</f>
        <v/>
      </c>
      <c r="Q425" s="9" t="str">
        <f>IF(AND(Y423=""),"",IF(AND(C425=""),"",IF(AND(O425=""),"",SUM(O425,P425))))</f>
        <v/>
      </c>
      <c r="R425" s="9" t="str">
        <f t="shared" si="609"/>
        <v/>
      </c>
      <c r="S425" s="20"/>
    </row>
    <row r="426" spans="1:25" ht="21" customHeight="1">
      <c r="A426" s="8">
        <v>4</v>
      </c>
      <c r="B426" s="23" t="str">
        <f>IFERROR(DATE(YEAR(B425),MONTH(B425)+1,DAY(B425)),"")</f>
        <v/>
      </c>
      <c r="C426" s="9"/>
      <c r="D426" s="9" t="str">
        <f>IF(AND(C426=""),"",IF(AND(Y424=""),"",ROUND(C426*Master!C$5%,0)))</f>
        <v/>
      </c>
      <c r="E426" s="9" t="str">
        <f>IF(AND(C426=""),"",IF(AND(Y424=""),"",ROUND(C426*Master!H$5%,0)))</f>
        <v/>
      </c>
      <c r="F426" s="9" t="str">
        <f t="shared" ref="F426" si="612">IF(AND(C426=""),"",SUM(C426:E426))</f>
        <v/>
      </c>
      <c r="G426" s="9" t="str">
        <f t="shared" si="610"/>
        <v/>
      </c>
      <c r="H426" s="9" t="str">
        <f>IF(AND(G426=""),"",IF(AND(Y424=""),"",ROUND(G426*Master!C$4%,0)))</f>
        <v/>
      </c>
      <c r="I426" s="9" t="str">
        <f>IF(AND(G426=""),"",IF(AND(Y424=""),"",ROUND(G426*Master!H$4%,0)))</f>
        <v/>
      </c>
      <c r="J426" s="9" t="str">
        <f t="shared" ref="J426" si="613">IF(AND(C426=""),"",SUM(G426:I426))</f>
        <v/>
      </c>
      <c r="K426" s="9" t="str">
        <f t="shared" ref="K426" si="614">IF(AND(C426=""),"",IF(AND(G426=""),"",C426-G426))</f>
        <v/>
      </c>
      <c r="L426" s="9" t="str">
        <f t="shared" ref="L426" si="615">IF(AND(D426=""),"",IF(AND(H426=""),"",D426-H426))</f>
        <v/>
      </c>
      <c r="M426" s="9" t="str">
        <f t="shared" ref="M426" si="616">IF(AND(E426=""),"",IF(AND(I426=""),"",E426-I426))</f>
        <v/>
      </c>
      <c r="N426" s="9" t="str">
        <f t="shared" ref="N426" si="617">IF(AND(F426=""),"",IF(AND(J426=""),"",F426-J426))</f>
        <v/>
      </c>
      <c r="O426" s="9">
        <v>0</v>
      </c>
      <c r="P426" s="9" t="str">
        <f>IF(AND(Y424=""),"",IF(AND(N426=""),"",ROUND(N426*X$17%,0)))</f>
        <v/>
      </c>
      <c r="Q426" s="9" t="str">
        <f>IF(AND(Y424=""),"",IF(AND(C426=""),"",IF(AND(O426=""),"",SUM(O426,P426))))</f>
        <v/>
      </c>
      <c r="R426" s="9" t="str">
        <f t="shared" ref="R426" si="618">IF(AND(N426=""),"",IF(AND(Q426=""),"",N426-Q426))</f>
        <v/>
      </c>
      <c r="S426" s="20"/>
    </row>
    <row r="427" spans="1:25" ht="30.75" customHeight="1">
      <c r="A427" s="153" t="s">
        <v>9</v>
      </c>
      <c r="B427" s="154"/>
      <c r="C427" s="63">
        <f>IF(AND($Y$423=""),"",SUM(C423:C426))</f>
        <v>0</v>
      </c>
      <c r="D427" s="63">
        <f t="shared" ref="D427:R427" si="619">IF(AND($Y$423=""),"",SUM(D423:D426))</f>
        <v>0</v>
      </c>
      <c r="E427" s="63">
        <f t="shared" si="619"/>
        <v>0</v>
      </c>
      <c r="F427" s="63">
        <f t="shared" si="619"/>
        <v>0</v>
      </c>
      <c r="G427" s="63">
        <f t="shared" si="619"/>
        <v>0</v>
      </c>
      <c r="H427" s="63">
        <f t="shared" si="619"/>
        <v>0</v>
      </c>
      <c r="I427" s="63">
        <f t="shared" si="619"/>
        <v>0</v>
      </c>
      <c r="J427" s="63">
        <f t="shared" si="619"/>
        <v>0</v>
      </c>
      <c r="K427" s="63">
        <f t="shared" si="619"/>
        <v>0</v>
      </c>
      <c r="L427" s="63">
        <f t="shared" si="619"/>
        <v>0</v>
      </c>
      <c r="M427" s="63">
        <f t="shared" si="619"/>
        <v>0</v>
      </c>
      <c r="N427" s="63">
        <f t="shared" si="619"/>
        <v>0</v>
      </c>
      <c r="O427" s="63">
        <f t="shared" si="619"/>
        <v>0</v>
      </c>
      <c r="P427" s="63">
        <f t="shared" si="619"/>
        <v>0</v>
      </c>
      <c r="Q427" s="63">
        <f t="shared" si="619"/>
        <v>0</v>
      </c>
      <c r="R427" s="63">
        <f t="shared" si="619"/>
        <v>0</v>
      </c>
      <c r="S427" s="49"/>
    </row>
    <row r="428" spans="1:25" ht="11.25" customHeight="1">
      <c r="A428" s="73"/>
      <c r="B428" s="73"/>
      <c r="C428" s="74"/>
      <c r="D428" s="74"/>
      <c r="E428" s="74"/>
      <c r="F428" s="74"/>
      <c r="G428" s="74"/>
      <c r="H428" s="74"/>
      <c r="I428" s="74"/>
      <c r="J428" s="74"/>
      <c r="K428" s="74"/>
      <c r="L428" s="74"/>
      <c r="M428" s="74"/>
      <c r="N428" s="74"/>
      <c r="O428" s="74"/>
      <c r="P428" s="74"/>
      <c r="Q428" s="74"/>
      <c r="R428" s="74"/>
      <c r="S428" s="75"/>
    </row>
    <row r="429" spans="1:25" ht="23.25" customHeight="1">
      <c r="E429" s="133" t="s">
        <v>10</v>
      </c>
      <c r="F429" s="133"/>
      <c r="G429" s="133"/>
      <c r="H429" s="133"/>
      <c r="I429" s="133"/>
      <c r="J429" s="132" t="str">
        <f>IF(ISNA(VLOOKUP(Y431,Master!A$8:N$127,2,FALSE)),"",VLOOKUP(Y431,Master!A$8:AH$127,2,FALSE))</f>
        <v/>
      </c>
      <c r="K429" s="132"/>
      <c r="L429" s="132"/>
      <c r="M429" s="132"/>
      <c r="N429" s="132"/>
      <c r="O429" s="60" t="s">
        <v>31</v>
      </c>
      <c r="P429" s="132" t="str">
        <f>IF(ISNA(VLOOKUP($Y$431,Master!A$8:N$127,3,FALSE)),"",VLOOKUP($Y$431,Master!A$8:AH$127,3,FALSE))</f>
        <v/>
      </c>
      <c r="Q429" s="132"/>
      <c r="R429" s="132"/>
      <c r="S429" s="132"/>
    </row>
    <row r="430" spans="1:25" ht="9" customHeight="1">
      <c r="E430" s="19"/>
      <c r="F430" s="52"/>
      <c r="G430" s="22"/>
      <c r="H430" s="22"/>
      <c r="I430" s="22"/>
      <c r="J430" s="5"/>
      <c r="K430" s="5"/>
      <c r="L430" s="5"/>
      <c r="M430" s="5"/>
      <c r="N430" s="5"/>
      <c r="O430" s="6"/>
      <c r="P430" s="6"/>
    </row>
    <row r="431" spans="1:25" ht="21" customHeight="1">
      <c r="A431" s="8">
        <v>1</v>
      </c>
      <c r="B431" s="23" t="str">
        <f>IFERROR(IF(ISNA(VLOOKUP(Y431,Master!A$8:N$127,8,FALSE)),"",VLOOKUP($Y431,Master!A$8:AH$127,8,FALSE)),"")</f>
        <v/>
      </c>
      <c r="C431" s="9" t="str">
        <f>IF(ISNA(VLOOKUP(Y431,Master!A$8:N$127,5,FALSE)),"",VLOOKUP(Y431,Master!A$8:AH$127,5,FALSE))</f>
        <v/>
      </c>
      <c r="D431" s="9" t="str">
        <f>IF(AND(C431=""),"",IF(AND(Y431=""),"",ROUND(C431*Master!C$5%,0)))</f>
        <v/>
      </c>
      <c r="E431" s="9" t="str">
        <f>IF(AND(C431=""),"",IF(AND(Y431=""),"",ROUND(C431*Master!H$5%,0)))</f>
        <v/>
      </c>
      <c r="F431" s="9" t="str">
        <f t="shared" ref="F431:F433" si="620">IF(AND(C431=""),"",SUM(C431:E431))</f>
        <v/>
      </c>
      <c r="G431" s="9" t="str">
        <f>IF(ISNA(VLOOKUP(Y431,Master!A$8:N$127,5,FALSE)),"",VLOOKUP(Y431,Master!A$8:AH$127,5,FALSE))</f>
        <v/>
      </c>
      <c r="H431" s="9" t="str">
        <f>IF(AND(G431=""),"",IF(AND(Y431=""),"",ROUND(G431*Master!C$4%,0)))</f>
        <v/>
      </c>
      <c r="I431" s="9" t="str">
        <f>IF(AND(G431=""),"",IF(AND(Y431=""),"",ROUND(G431*Master!H$4%,0)))</f>
        <v/>
      </c>
      <c r="J431" s="9" t="str">
        <f t="shared" ref="J431:J433" si="621">IF(AND(C431=""),"",SUM(G431:I431))</f>
        <v/>
      </c>
      <c r="K431" s="9" t="str">
        <f t="shared" ref="K431:K433" si="622">IF(AND(C431=""),"",IF(AND(G431=""),"",C431-G431))</f>
        <v/>
      </c>
      <c r="L431" s="9" t="str">
        <f t="shared" ref="L431:L433" si="623">IF(AND(D431=""),"",IF(AND(H431=""),"",D431-H431))</f>
        <v/>
      </c>
      <c r="M431" s="9" t="str">
        <f t="shared" ref="M431:M433" si="624">IF(AND(E431=""),"",IF(AND(I431=""),"",E431-I431))</f>
        <v/>
      </c>
      <c r="N431" s="9" t="str">
        <f t="shared" ref="N431:N433" si="625">IF(AND(F431=""),"",IF(AND(J431=""),"",F431-J431))</f>
        <v/>
      </c>
      <c r="O431" s="9" t="str">
        <f>IF(AND(C431=""),"",N431-P431)</f>
        <v/>
      </c>
      <c r="P431" s="9" t="str">
        <f>IF(AND(Y431=""),"",IF(AND(N431=""),"",ROUND(N431*AA$1%,0)))</f>
        <v/>
      </c>
      <c r="Q431" s="9" t="str">
        <f>IF(AND(Y431=""),"",IF(AND(C431=""),"",IF(AND(O431=""),"",SUM(O431,P431))))</f>
        <v/>
      </c>
      <c r="R431" s="9" t="str">
        <f>IF(AND(N431=""),"",IF(AND(Q431=""),"",N431-Q431))</f>
        <v/>
      </c>
      <c r="S431" s="20"/>
      <c r="X431" s="61" t="s">
        <v>49</v>
      </c>
      <c r="Y431" s="64">
        <v>36</v>
      </c>
    </row>
    <row r="432" spans="1:25" ht="21" customHeight="1">
      <c r="A432" s="8">
        <v>2</v>
      </c>
      <c r="B432" s="23" t="str">
        <f>IFERROR(DATE(YEAR(B431),MONTH(B431)+1,DAY(B431)),"")</f>
        <v/>
      </c>
      <c r="C432" s="9" t="str">
        <f>IF(AND(Y431=""),"",C431)</f>
        <v/>
      </c>
      <c r="D432" s="9" t="str">
        <f>IF(AND(C432=""),"",IF(AND(Y431=""),"",ROUND(C432*Master!C$5%,0)))</f>
        <v/>
      </c>
      <c r="E432" s="9" t="str">
        <f>IF(AND(C432=""),"",IF(AND(Y431=""),"",ROUND(C432*Master!H$5%,0)))</f>
        <v/>
      </c>
      <c r="F432" s="9" t="str">
        <f t="shared" si="620"/>
        <v/>
      </c>
      <c r="G432" s="9" t="str">
        <f>IF(C432="","",IF(AND(Y431=""),"",G431))</f>
        <v/>
      </c>
      <c r="H432" s="9" t="str">
        <f>IF(AND(G432=""),"",IF(AND(Y431=""),"",ROUND(G432*Master!C$4%,0)))</f>
        <v/>
      </c>
      <c r="I432" s="9" t="str">
        <f>IF(AND(G432=""),"",IF(AND(Y431=""),"",ROUND(G432*Master!H$4%,0)))</f>
        <v/>
      </c>
      <c r="J432" s="9" t="str">
        <f t="shared" si="621"/>
        <v/>
      </c>
      <c r="K432" s="9" t="str">
        <f t="shared" si="622"/>
        <v/>
      </c>
      <c r="L432" s="9" t="str">
        <f t="shared" si="623"/>
        <v/>
      </c>
      <c r="M432" s="9" t="str">
        <f t="shared" si="624"/>
        <v/>
      </c>
      <c r="N432" s="9" t="str">
        <f t="shared" si="625"/>
        <v/>
      </c>
      <c r="O432" s="9" t="str">
        <f t="shared" ref="O432" si="626">IF(AND(C432=""),"",N432-P432)</f>
        <v/>
      </c>
      <c r="P432" s="9" t="str">
        <f>IF(AND(Y431=""),"",IF(AND(N432=""),"",ROUND(N432*AA$1%,0)))</f>
        <v/>
      </c>
      <c r="Q432" s="9" t="str">
        <f>IF(AND(Y431=""),"",IF(AND(C432=""),"",IF(AND(O432=""),"",SUM(O432,P432))))</f>
        <v/>
      </c>
      <c r="R432" s="9" t="str">
        <f t="shared" ref="R432:R433" si="627">IF(AND(N432=""),"",IF(AND(Q432=""),"",N432-Q432))</f>
        <v/>
      </c>
      <c r="S432" s="20"/>
      <c r="X432" s="4" t="str">
        <f>IF(ISNA(VLOOKUP(Y431,Master!A$8:N$127,7,FALSE)),"",VLOOKUP(Y431,Master!A$8:AH$127,7,FALSE))</f>
        <v/>
      </c>
    </row>
    <row r="433" spans="1:27" ht="21" customHeight="1">
      <c r="A433" s="8">
        <v>3</v>
      </c>
      <c r="B433" s="23" t="str">
        <f>IFERROR(DATE(YEAR(B432),MONTH(B432)+1,DAY(B432)),"")</f>
        <v/>
      </c>
      <c r="C433" s="9"/>
      <c r="D433" s="9" t="str">
        <f>IF(AND(C433=""),"",IF(AND(Y431=""),"",ROUND(C433*Master!C$5%,0)))</f>
        <v/>
      </c>
      <c r="E433" s="9" t="str">
        <f>IF(AND(C433=""),"",IF(AND(Y431=""),"",ROUND(C433*Master!H$5%,0)))</f>
        <v/>
      </c>
      <c r="F433" s="9" t="str">
        <f t="shared" si="620"/>
        <v/>
      </c>
      <c r="G433" s="9" t="str">
        <f t="shared" ref="G433:G434" si="628">IF(C433="","",IF(AND(Y432=""),"",G432))</f>
        <v/>
      </c>
      <c r="H433" s="9" t="str">
        <f>IF(AND(G433=""),"",IF(AND(Y431=""),"",ROUND(G433*Master!C$4%,0)))</f>
        <v/>
      </c>
      <c r="I433" s="9" t="str">
        <f>IF(AND(G433=""),"",IF(AND(Y431=""),"",ROUND(G433*Master!H$4%,0)))</f>
        <v/>
      </c>
      <c r="J433" s="9" t="str">
        <f t="shared" si="621"/>
        <v/>
      </c>
      <c r="K433" s="9" t="str">
        <f t="shared" si="622"/>
        <v/>
      </c>
      <c r="L433" s="9" t="str">
        <f t="shared" si="623"/>
        <v/>
      </c>
      <c r="M433" s="9" t="str">
        <f t="shared" si="624"/>
        <v/>
      </c>
      <c r="N433" s="9" t="str">
        <f t="shared" si="625"/>
        <v/>
      </c>
      <c r="O433" s="9">
        <v>0</v>
      </c>
      <c r="P433" s="9" t="str">
        <f>IF(AND(Y431=""),"",IF(AND(N433=""),"",ROUND(N433*AA$1%,0)))</f>
        <v/>
      </c>
      <c r="Q433" s="9" t="str">
        <f>IF(AND(Y431=""),"",IF(AND(C433=""),"",IF(AND(O433=""),"",SUM(O433,P433))))</f>
        <v/>
      </c>
      <c r="R433" s="9" t="str">
        <f t="shared" si="627"/>
        <v/>
      </c>
      <c r="S433" s="20"/>
    </row>
    <row r="434" spans="1:27" ht="21" customHeight="1">
      <c r="A434" s="8">
        <v>4</v>
      </c>
      <c r="B434" s="23" t="str">
        <f>IFERROR(DATE(YEAR(B433),MONTH(B433)+1,DAY(B433)),"")</f>
        <v/>
      </c>
      <c r="C434" s="9"/>
      <c r="D434" s="9" t="str">
        <f>IF(AND(C434=""),"",IF(AND(Y432=""),"",ROUND(C434*Master!C$5%,0)))</f>
        <v/>
      </c>
      <c r="E434" s="9" t="str">
        <f>IF(AND(C434=""),"",IF(AND(Y432=""),"",ROUND(C434*Master!H$5%,0)))</f>
        <v/>
      </c>
      <c r="F434" s="9" t="str">
        <f t="shared" ref="F434" si="629">IF(AND(C434=""),"",SUM(C434:E434))</f>
        <v/>
      </c>
      <c r="G434" s="9" t="str">
        <f t="shared" si="628"/>
        <v/>
      </c>
      <c r="H434" s="9" t="str">
        <f>IF(AND(G434=""),"",IF(AND(Y432=""),"",ROUND(G434*Master!C$4%,0)))</f>
        <v/>
      </c>
      <c r="I434" s="9" t="str">
        <f>IF(AND(G434=""),"",IF(AND(Y432=""),"",ROUND(G434*Master!H$4%,0)))</f>
        <v/>
      </c>
      <c r="J434" s="9" t="str">
        <f t="shared" ref="J434" si="630">IF(AND(C434=""),"",SUM(G434:I434))</f>
        <v/>
      </c>
      <c r="K434" s="9" t="str">
        <f t="shared" ref="K434" si="631">IF(AND(C434=""),"",IF(AND(G434=""),"",C434-G434))</f>
        <v/>
      </c>
      <c r="L434" s="9" t="str">
        <f t="shared" ref="L434" si="632">IF(AND(D434=""),"",IF(AND(H434=""),"",D434-H434))</f>
        <v/>
      </c>
      <c r="M434" s="9" t="str">
        <f t="shared" ref="M434" si="633">IF(AND(E434=""),"",IF(AND(I434=""),"",E434-I434))</f>
        <v/>
      </c>
      <c r="N434" s="9" t="str">
        <f t="shared" ref="N434" si="634">IF(AND(F434=""),"",IF(AND(J434=""),"",F434-J434))</f>
        <v/>
      </c>
      <c r="O434" s="9">
        <v>0</v>
      </c>
      <c r="P434" s="9" t="str">
        <f>IF(AND(Y432=""),"",IF(AND(N434=""),"",ROUND(N434*AA$1%,0)))</f>
        <v/>
      </c>
      <c r="Q434" s="9" t="str">
        <f>IF(AND(Y432=""),"",IF(AND(C434=""),"",IF(AND(O434=""),"",SUM(O434,P434))))</f>
        <v/>
      </c>
      <c r="R434" s="9" t="str">
        <f t="shared" ref="R434" si="635">IF(AND(N434=""),"",IF(AND(Q434=""),"",N434-Q434))</f>
        <v/>
      </c>
      <c r="S434" s="20"/>
    </row>
    <row r="435" spans="1:27" ht="30.75" customHeight="1">
      <c r="A435" s="153" t="s">
        <v>9</v>
      </c>
      <c r="B435" s="154"/>
      <c r="C435" s="63">
        <f>IF(AND($Y$431=""),"",SUM(C431:C434))</f>
        <v>0</v>
      </c>
      <c r="D435" s="63">
        <f t="shared" ref="D435:R435" si="636">IF(AND($Y$431=""),"",SUM(D431:D434))</f>
        <v>0</v>
      </c>
      <c r="E435" s="63">
        <f t="shared" si="636"/>
        <v>0</v>
      </c>
      <c r="F435" s="63">
        <f t="shared" si="636"/>
        <v>0</v>
      </c>
      <c r="G435" s="63">
        <f t="shared" si="636"/>
        <v>0</v>
      </c>
      <c r="H435" s="63">
        <f t="shared" si="636"/>
        <v>0</v>
      </c>
      <c r="I435" s="63">
        <f t="shared" si="636"/>
        <v>0</v>
      </c>
      <c r="J435" s="63">
        <f t="shared" si="636"/>
        <v>0</v>
      </c>
      <c r="K435" s="63">
        <f t="shared" si="636"/>
        <v>0</v>
      </c>
      <c r="L435" s="63">
        <f t="shared" si="636"/>
        <v>0</v>
      </c>
      <c r="M435" s="63">
        <f t="shared" si="636"/>
        <v>0</v>
      </c>
      <c r="N435" s="63">
        <f t="shared" si="636"/>
        <v>0</v>
      </c>
      <c r="O435" s="63">
        <f t="shared" si="636"/>
        <v>0</v>
      </c>
      <c r="P435" s="63">
        <f t="shared" si="636"/>
        <v>0</v>
      </c>
      <c r="Q435" s="63">
        <f t="shared" si="636"/>
        <v>0</v>
      </c>
      <c r="R435" s="63">
        <f t="shared" si="636"/>
        <v>0</v>
      </c>
      <c r="S435" s="49"/>
    </row>
    <row r="436" spans="1:27" ht="30.75" customHeight="1">
      <c r="A436" s="73"/>
      <c r="B436" s="73"/>
      <c r="C436" s="74"/>
      <c r="D436" s="74"/>
      <c r="E436" s="74"/>
      <c r="F436" s="74"/>
      <c r="G436" s="74"/>
      <c r="H436" s="74"/>
      <c r="I436" s="74"/>
      <c r="J436" s="74"/>
      <c r="K436" s="74"/>
      <c r="L436" s="74"/>
      <c r="M436" s="74"/>
      <c r="N436" s="74"/>
      <c r="O436" s="74"/>
      <c r="P436" s="74"/>
      <c r="Q436" s="74"/>
      <c r="R436" s="74"/>
      <c r="S436" s="75"/>
    </row>
    <row r="437" spans="1:27" ht="18.75">
      <c r="A437" s="21"/>
      <c r="B437" s="58"/>
      <c r="C437" s="58"/>
      <c r="D437" s="58"/>
      <c r="E437" s="58"/>
      <c r="F437" s="58"/>
      <c r="G437" s="58"/>
      <c r="H437" s="59"/>
      <c r="I437" s="59"/>
      <c r="J437" s="59"/>
      <c r="K437" s="66"/>
      <c r="L437" s="66"/>
      <c r="M437" s="66"/>
      <c r="N437" s="66"/>
      <c r="O437" s="138" t="s">
        <v>42</v>
      </c>
      <c r="P437" s="138"/>
      <c r="Q437" s="138"/>
      <c r="R437" s="138"/>
      <c r="S437" s="138"/>
    </row>
    <row r="438" spans="1:27" ht="18.75">
      <c r="A438" s="1"/>
      <c r="B438" s="24" t="s">
        <v>19</v>
      </c>
      <c r="C438" s="139"/>
      <c r="D438" s="139"/>
      <c r="E438" s="139"/>
      <c r="F438" s="139"/>
      <c r="G438" s="139"/>
      <c r="H438" s="25"/>
      <c r="I438" s="143" t="s">
        <v>20</v>
      </c>
      <c r="J438" s="143"/>
      <c r="K438" s="141"/>
      <c r="L438" s="141"/>
      <c r="M438" s="141"/>
      <c r="O438" s="138"/>
      <c r="P438" s="138"/>
      <c r="Q438" s="138"/>
      <c r="R438" s="138"/>
      <c r="S438" s="138"/>
    </row>
    <row r="439" spans="1:27" ht="18.75">
      <c r="A439" s="1"/>
      <c r="B439" s="140" t="s">
        <v>21</v>
      </c>
      <c r="C439" s="140"/>
      <c r="D439" s="140"/>
      <c r="E439" s="140"/>
      <c r="F439" s="140"/>
      <c r="G439" s="140"/>
      <c r="H439" s="140"/>
      <c r="I439" s="27"/>
      <c r="J439" s="26"/>
      <c r="K439" s="26"/>
      <c r="L439" s="26"/>
      <c r="M439" s="26"/>
    </row>
    <row r="440" spans="1:27" ht="18.75">
      <c r="A440" s="22">
        <v>1</v>
      </c>
      <c r="B440" s="142" t="s">
        <v>22</v>
      </c>
      <c r="C440" s="142"/>
      <c r="D440" s="142"/>
      <c r="E440" s="142"/>
      <c r="F440" s="142"/>
      <c r="G440" s="142"/>
      <c r="H440" s="142"/>
      <c r="I440" s="28"/>
      <c r="J440" s="26"/>
      <c r="K440" s="26"/>
      <c r="L440" s="26"/>
      <c r="M440" s="26"/>
    </row>
    <row r="441" spans="1:27" ht="18.75">
      <c r="A441" s="2">
        <v>2</v>
      </c>
      <c r="B441" s="142" t="s">
        <v>23</v>
      </c>
      <c r="C441" s="142"/>
      <c r="D441" s="142"/>
      <c r="E441" s="142"/>
      <c r="F441" s="142"/>
      <c r="G441" s="132"/>
      <c r="H441" s="132"/>
      <c r="I441" s="132"/>
      <c r="J441" s="132"/>
      <c r="K441" s="132"/>
      <c r="L441" s="132"/>
      <c r="M441" s="132"/>
    </row>
    <row r="442" spans="1:27" ht="18.75">
      <c r="A442" s="3">
        <v>3</v>
      </c>
      <c r="B442" s="142" t="s">
        <v>24</v>
      </c>
      <c r="C442" s="142"/>
      <c r="D442" s="142"/>
      <c r="E442" s="29"/>
      <c r="F442" s="28"/>
      <c r="G442" s="28"/>
      <c r="H442" s="30"/>
      <c r="I442" s="31"/>
      <c r="J442" s="26"/>
      <c r="K442" s="26"/>
      <c r="L442" s="26"/>
      <c r="M442" s="26"/>
    </row>
    <row r="443" spans="1:27" ht="15.75">
      <c r="O443" s="138" t="s">
        <v>42</v>
      </c>
      <c r="P443" s="138"/>
      <c r="Q443" s="138"/>
      <c r="R443" s="138"/>
      <c r="S443" s="138"/>
    </row>
    <row r="445" spans="1:27" ht="18" customHeight="1">
      <c r="A445" s="148" t="str">
        <f>A408</f>
        <v xml:space="preserve">DA (46% to 50%) Drawn Statement  </v>
      </c>
      <c r="B445" s="148"/>
      <c r="C445" s="148"/>
      <c r="D445" s="148"/>
      <c r="E445" s="148"/>
      <c r="F445" s="148"/>
      <c r="G445" s="148"/>
      <c r="H445" s="148"/>
      <c r="I445" s="148"/>
      <c r="J445" s="148"/>
      <c r="K445" s="148"/>
      <c r="L445" s="148"/>
      <c r="M445" s="148"/>
      <c r="N445" s="148"/>
      <c r="O445" s="148"/>
      <c r="P445" s="148"/>
      <c r="Q445" s="148"/>
      <c r="R445" s="148"/>
      <c r="S445" s="148"/>
      <c r="W445" s="4">
        <f>IF(ISNA(VLOOKUP($Y$3,Master!A$8:N$127,4,FALSE)),"",VLOOKUP($Y$3,Master!A$8:AH$127,4,FALSE))</f>
        <v>2</v>
      </c>
      <c r="X445" s="4" t="str">
        <f>IF(ISNA(VLOOKUP($Y$3,Master!A$8:N$127,6,FALSE)),"",VLOOKUP($Y$3,Master!A$8:AH$127,6,FALSE))</f>
        <v>GPF-2004</v>
      </c>
      <c r="Y445" s="4" t="s">
        <v>45</v>
      </c>
      <c r="Z445" s="4" t="s">
        <v>18</v>
      </c>
      <c r="AA445" s="4" t="str">
        <f>IF(ISNA(VLOOKUP(Y447,Master!A$8:N$127,7,FALSE)),"",VLOOKUP(Y447,Master!A$8:AH$127,7,FALSE))</f>
        <v/>
      </c>
    </row>
    <row r="446" spans="1:27" ht="18">
      <c r="A446" s="131" t="str">
        <f>IF(AND(Master!C411=""),"",CONCATENATE("Office Of  ",Master!C411))</f>
        <v/>
      </c>
      <c r="B446" s="131"/>
      <c r="C446" s="131"/>
      <c r="D446" s="131"/>
      <c r="E446" s="131"/>
      <c r="F446" s="131"/>
      <c r="G446" s="131"/>
      <c r="H446" s="131"/>
      <c r="I446" s="131"/>
      <c r="J446" s="131"/>
      <c r="K446" s="131"/>
      <c r="L446" s="131"/>
      <c r="M446" s="131"/>
      <c r="N446" s="131"/>
      <c r="O446" s="131"/>
      <c r="P446" s="131"/>
      <c r="Q446" s="131"/>
      <c r="R446" s="131"/>
      <c r="S446" s="131"/>
      <c r="X446" s="4">
        <f>IF(ISNA(VLOOKUP($Y$3,Master!A$8:N$127,8,FALSE)),"",VLOOKUP($Y$3,Master!A$8:AH$127,8,FALSE))</f>
        <v>45292</v>
      </c>
      <c r="Y446" s="4" t="s">
        <v>43</v>
      </c>
    </row>
    <row r="447" spans="1:27" ht="18.75">
      <c r="E447" s="133" t="s">
        <v>10</v>
      </c>
      <c r="F447" s="133"/>
      <c r="G447" s="133"/>
      <c r="H447" s="133"/>
      <c r="I447" s="133"/>
      <c r="J447" s="132" t="str">
        <f>IF(ISNA(VLOOKUP(Y447,Master!A$8:N$127,2,FALSE)),"",VLOOKUP(Y447,Master!A$8:AH$127,2,FALSE))</f>
        <v/>
      </c>
      <c r="K447" s="132"/>
      <c r="L447" s="132"/>
      <c r="M447" s="132"/>
      <c r="N447" s="132"/>
      <c r="O447" s="60" t="s">
        <v>31</v>
      </c>
      <c r="P447" s="132" t="str">
        <f>IF(ISNA(VLOOKUP(Y447,Master!A$8:N$127,3,FALSE)),"",VLOOKUP(Y447,Master!A$8:AH$127,3,FALSE))</f>
        <v/>
      </c>
      <c r="Q447" s="132"/>
      <c r="R447" s="132"/>
      <c r="S447" s="132"/>
      <c r="X447" s="61" t="s">
        <v>49</v>
      </c>
      <c r="Y447" s="64">
        <v>37</v>
      </c>
    </row>
    <row r="448" spans="1:27" ht="8.25" customHeight="1">
      <c r="E448" s="19"/>
      <c r="F448" s="52"/>
      <c r="G448" s="22"/>
      <c r="H448" s="22"/>
      <c r="I448" s="22"/>
      <c r="J448" s="5"/>
      <c r="K448" s="5"/>
      <c r="L448" s="5"/>
      <c r="M448" s="5"/>
      <c r="N448" s="5"/>
      <c r="O448" s="6"/>
      <c r="P448" s="6"/>
    </row>
    <row r="449" spans="1:25" ht="24.75" customHeight="1">
      <c r="A449" s="157" t="s">
        <v>0</v>
      </c>
      <c r="B449" s="158" t="s">
        <v>3</v>
      </c>
      <c r="C449" s="159" t="s">
        <v>5</v>
      </c>
      <c r="D449" s="159"/>
      <c r="E449" s="159"/>
      <c r="F449" s="159"/>
      <c r="G449" s="159" t="s">
        <v>6</v>
      </c>
      <c r="H449" s="159"/>
      <c r="I449" s="159"/>
      <c r="J449" s="159"/>
      <c r="K449" s="159" t="s">
        <v>7</v>
      </c>
      <c r="L449" s="159"/>
      <c r="M449" s="159"/>
      <c r="N449" s="159"/>
      <c r="O449" s="149" t="s">
        <v>8</v>
      </c>
      <c r="P449" s="150"/>
      <c r="Q449" s="151"/>
      <c r="R449" s="162" t="s">
        <v>54</v>
      </c>
      <c r="S449" s="162" t="s">
        <v>40</v>
      </c>
    </row>
    <row r="450" spans="1:25" ht="69" customHeight="1">
      <c r="A450" s="157"/>
      <c r="B450" s="158"/>
      <c r="C450" s="54" t="s">
        <v>29</v>
      </c>
      <c r="D450" s="55" t="s">
        <v>1</v>
      </c>
      <c r="E450" s="56" t="s">
        <v>2</v>
      </c>
      <c r="F450" s="54" t="s">
        <v>46</v>
      </c>
      <c r="G450" s="54" t="s">
        <v>29</v>
      </c>
      <c r="H450" s="55" t="s">
        <v>1</v>
      </c>
      <c r="I450" s="56" t="s">
        <v>2</v>
      </c>
      <c r="J450" s="54" t="s">
        <v>47</v>
      </c>
      <c r="K450" s="54" t="s">
        <v>4</v>
      </c>
      <c r="L450" s="55" t="s">
        <v>1</v>
      </c>
      <c r="M450" s="56" t="s">
        <v>2</v>
      </c>
      <c r="N450" s="57" t="s">
        <v>48</v>
      </c>
      <c r="O450" s="53" t="s">
        <v>69</v>
      </c>
      <c r="P450" s="65" t="s">
        <v>41</v>
      </c>
      <c r="Q450" s="57" t="s">
        <v>53</v>
      </c>
      <c r="R450" s="162"/>
      <c r="S450" s="162"/>
    </row>
    <row r="451" spans="1:25" ht="18" customHeight="1">
      <c r="A451" s="7">
        <v>1</v>
      </c>
      <c r="B451" s="7">
        <v>2</v>
      </c>
      <c r="C451" s="7">
        <v>3</v>
      </c>
      <c r="D451" s="7">
        <v>4</v>
      </c>
      <c r="E451" s="7">
        <v>5</v>
      </c>
      <c r="F451" s="7">
        <v>6</v>
      </c>
      <c r="G451" s="7">
        <v>7</v>
      </c>
      <c r="H451" s="7">
        <v>8</v>
      </c>
      <c r="I451" s="7">
        <v>9</v>
      </c>
      <c r="J451" s="7">
        <v>10</v>
      </c>
      <c r="K451" s="7">
        <v>11</v>
      </c>
      <c r="L451" s="7">
        <v>12</v>
      </c>
      <c r="M451" s="7">
        <v>13</v>
      </c>
      <c r="N451" s="7">
        <v>14</v>
      </c>
      <c r="O451" s="7">
        <v>15</v>
      </c>
      <c r="P451" s="7">
        <v>17</v>
      </c>
      <c r="Q451" s="7">
        <v>18</v>
      </c>
      <c r="R451" s="7">
        <v>19</v>
      </c>
      <c r="S451" s="7">
        <v>20</v>
      </c>
    </row>
    <row r="452" spans="1:25" ht="21" customHeight="1">
      <c r="A452" s="8">
        <v>1</v>
      </c>
      <c r="B452" s="23" t="str">
        <f>IFERROR(IF(ISNA(VLOOKUP(Y447,Master!A$8:N$127,8,FALSE)),"",VLOOKUP($Y447,Master!A$8:AH$127,8,FALSE)),"")</f>
        <v/>
      </c>
      <c r="C452" s="9" t="str">
        <f>IF(ISNA(VLOOKUP(Y447,Master!A$8:N$127,5,FALSE)),"",VLOOKUP(Y447,Master!A$8:AH$127,5,FALSE))</f>
        <v/>
      </c>
      <c r="D452" s="9" t="str">
        <f>IF(AND(C452=""),"",IF(AND(Y447=""),"",ROUND(C452*Master!C$5%,0)))</f>
        <v/>
      </c>
      <c r="E452" s="9" t="str">
        <f>IF(AND(C452=""),"",IF(AND(Y447=""),"",ROUND(C452*Master!H$5%,0)))</f>
        <v/>
      </c>
      <c r="F452" s="9" t="str">
        <f t="shared" ref="F452" si="637">IF(AND(C452=""),"",SUM(C452:E452))</f>
        <v/>
      </c>
      <c r="G452" s="9" t="str">
        <f>IF(ISNA(VLOOKUP(Y447,Master!A$8:N$127,5,FALSE)),"",VLOOKUP(Y447,Master!A$8:AH$127,5,FALSE))</f>
        <v/>
      </c>
      <c r="H452" s="9" t="str">
        <f>IF(AND(G452=""),"",IF(AND(Y447=""),"",ROUND(G452*Master!C$4%,0)))</f>
        <v/>
      </c>
      <c r="I452" s="9" t="str">
        <f>IF(AND(G452=""),"",IF(AND(Y447=""),"",ROUND(G452*Master!H$4%,0)))</f>
        <v/>
      </c>
      <c r="J452" s="9" t="str">
        <f t="shared" ref="J452:J453" si="638">IF(AND(C452=""),"",SUM(G452:I452))</f>
        <v/>
      </c>
      <c r="K452" s="9" t="str">
        <f t="shared" ref="K452:K454" si="639">IF(AND(C452=""),"",IF(AND(G452=""),"",C452-G452))</f>
        <v/>
      </c>
      <c r="L452" s="9" t="str">
        <f t="shared" ref="L452:L454" si="640">IF(AND(D452=""),"",IF(AND(H452=""),"",D452-H452))</f>
        <v/>
      </c>
      <c r="M452" s="9" t="str">
        <f t="shared" ref="M452:M453" si="641">IF(AND(E452=""),"",IF(AND(I452=""),"",E452-I452))</f>
        <v/>
      </c>
      <c r="N452" s="9" t="str">
        <f t="shared" ref="N452:N453" si="642">IF(AND(F452=""),"",IF(AND(J452=""),"",F452-J452))</f>
        <v/>
      </c>
      <c r="O452" s="9" t="str">
        <f>IF(AND(C452=""),"",N452-P452)</f>
        <v/>
      </c>
      <c r="P452" s="9" t="str">
        <f>IF(AND(Y447=""),"",IF(AND(N452=""),"",ROUND(N452*AA$1%,0)))</f>
        <v/>
      </c>
      <c r="Q452" s="9" t="str">
        <f>IF(AND(Y447=""),"",IF(AND(C452=""),"",IF(AND(O452=""),"",SUM(O452,P452))))</f>
        <v/>
      </c>
      <c r="R452" s="9" t="str">
        <f>IF(AND(N452=""),"",IF(AND(Q452=""),"",N452-Q452))</f>
        <v/>
      </c>
      <c r="S452" s="20"/>
    </row>
    <row r="453" spans="1:25" ht="21" customHeight="1">
      <c r="A453" s="8">
        <v>2</v>
      </c>
      <c r="B453" s="23" t="str">
        <f>IFERROR(DATE(YEAR(B452),MONTH(B452)+1,DAY(B452)),"")</f>
        <v/>
      </c>
      <c r="C453" s="9" t="str">
        <f>IF(AND(Y447=""),"",C452)</f>
        <v/>
      </c>
      <c r="D453" s="9" t="str">
        <f>IF(AND(C453=""),"",IF(AND(Y447=""),"",ROUND(C453*Master!C$5%,0)))</f>
        <v/>
      </c>
      <c r="E453" s="9" t="str">
        <f>IF(AND(C453=""),"",IF(AND(Y447=""),"",ROUND(C453*Master!H$5%,0)))</f>
        <v/>
      </c>
      <c r="F453" s="9" t="str">
        <f>IF(AND(C453=""),"",SUM(C453:E453))</f>
        <v/>
      </c>
      <c r="G453" s="9" t="str">
        <f>IF(AND(Y447=""),"",G452)</f>
        <v/>
      </c>
      <c r="H453" s="9" t="str">
        <f>IF(AND(G453=""),"",IF(AND(Y447=""),"",ROUND(G453*Master!C$4%,0)))</f>
        <v/>
      </c>
      <c r="I453" s="9" t="str">
        <f>IF(AND(G453=""),"",IF(AND(Y447=""),"",ROUND(G453*Master!H$4%,0)))</f>
        <v/>
      </c>
      <c r="J453" s="9" t="str">
        <f t="shared" si="638"/>
        <v/>
      </c>
      <c r="K453" s="9" t="str">
        <f t="shared" si="639"/>
        <v/>
      </c>
      <c r="L453" s="9" t="str">
        <f t="shared" si="640"/>
        <v/>
      </c>
      <c r="M453" s="9" t="str">
        <f t="shared" si="641"/>
        <v/>
      </c>
      <c r="N453" s="9" t="str">
        <f t="shared" si="642"/>
        <v/>
      </c>
      <c r="O453" s="9" t="str">
        <f t="shared" ref="O453:O454" si="643">IF(AND(C453=""),"",N453-P453)</f>
        <v/>
      </c>
      <c r="P453" s="9" t="str">
        <f>IF(AND(Y447=""),"",IF(AND(N453=""),"",ROUND(N453*AA$1%,0)))</f>
        <v/>
      </c>
      <c r="Q453" s="9" t="str">
        <f>IF(AND(Y447=""),"",IF(AND(C453=""),"",IF(AND(O453=""),"",SUM(O453,P453))))</f>
        <v/>
      </c>
      <c r="R453" s="9" t="str">
        <f t="shared" ref="R453:R454" si="644">IF(AND(N453=""),"",IF(AND(Q453=""),"",N453-Q453))</f>
        <v/>
      </c>
      <c r="S453" s="20"/>
    </row>
    <row r="454" spans="1:25" ht="21" customHeight="1">
      <c r="A454" s="8">
        <v>3</v>
      </c>
      <c r="B454" s="23" t="str">
        <f>IFERROR(DATE(YEAR(B453),MONTH(B453)+1,DAY(B453)),"")</f>
        <v/>
      </c>
      <c r="C454" s="9" t="str">
        <f>IF(AND(Y447=""),"",C453)</f>
        <v/>
      </c>
      <c r="D454" s="9" t="str">
        <f>IF(AND(C454=""),"",IF(AND(Y447=""),"",ROUND(C454*Master!C$5%,0)))</f>
        <v/>
      </c>
      <c r="E454" s="9" t="str">
        <f>IF(AND(C454=""),"",IF(AND(Y447=""),"",ROUND(C454*Master!H$5%,0)))</f>
        <v/>
      </c>
      <c r="F454" s="9" t="str">
        <f t="shared" ref="F454" si="645">IF(AND(C454=""),"",SUM(C454:E454))</f>
        <v/>
      </c>
      <c r="G454" s="9" t="str">
        <f>IF(AND(Y447=""),"",G453)</f>
        <v/>
      </c>
      <c r="H454" s="9" t="str">
        <f>IF(AND(G454=""),"",IF(AND(Y447=""),"",ROUND(G454*Master!C$4%,0)))</f>
        <v/>
      </c>
      <c r="I454" s="9" t="str">
        <f>IF(AND(G454=""),"",IF(AND(Y447=""),"",ROUND(G454*Master!H$4%,0)))</f>
        <v/>
      </c>
      <c r="J454" s="9" t="str">
        <f>IF(AND(C454=""),"",SUM(G454:I454))</f>
        <v/>
      </c>
      <c r="K454" s="9" t="str">
        <f t="shared" si="639"/>
        <v/>
      </c>
      <c r="L454" s="9" t="str">
        <f t="shared" si="640"/>
        <v/>
      </c>
      <c r="M454" s="9" t="str">
        <f>IF(AND(E454=""),"",IF(AND(I454=""),"",E454-I454))</f>
        <v/>
      </c>
      <c r="N454" s="9" t="str">
        <f>IF(AND(F454=""),"",IF(AND(J454=""),"",F454-J454))</f>
        <v/>
      </c>
      <c r="O454" s="9" t="str">
        <f t="shared" si="643"/>
        <v/>
      </c>
      <c r="P454" s="9" t="str">
        <f>IF(AND(Y447=""),"",IF(AND(N454=""),"",ROUND(N454*AA$1%,0)))</f>
        <v/>
      </c>
      <c r="Q454" s="9" t="str">
        <f>IF(AND(Y447=""),"",IF(AND(C454=""),"",IF(AND(O454=""),"",SUM(O454,P454))))</f>
        <v/>
      </c>
      <c r="R454" s="9" t="str">
        <f t="shared" si="644"/>
        <v/>
      </c>
      <c r="S454" s="20"/>
    </row>
    <row r="455" spans="1:25" ht="21" customHeight="1">
      <c r="A455" s="8">
        <v>4</v>
      </c>
      <c r="B455" s="23" t="str">
        <f>IFERROR(DATE(YEAR(B454),MONTH(B454)+1,DAY(B454)),"")</f>
        <v/>
      </c>
      <c r="C455" s="9" t="str">
        <f>IF(AND(Y448=""),"",C454)</f>
        <v/>
      </c>
      <c r="D455" s="9" t="str">
        <f>IF(AND(C455=""),"",IF(AND(Y448=""),"",ROUND(C455*Master!C$5%,0)))</f>
        <v/>
      </c>
      <c r="E455" s="9" t="str">
        <f>IF(AND(C455=""),"",IF(AND(Y448=""),"",ROUND(C455*Master!H$5%,0)))</f>
        <v/>
      </c>
      <c r="F455" s="9" t="str">
        <f t="shared" ref="F455" si="646">IF(AND(C455=""),"",SUM(C455:E455))</f>
        <v/>
      </c>
      <c r="G455" s="9" t="str">
        <f>IF(AND(Y448=""),"",G454)</f>
        <v/>
      </c>
      <c r="H455" s="9" t="str">
        <f>IF(AND(G455=""),"",IF(AND(Y448=""),"",ROUND(G455*Master!C$4%,0)))</f>
        <v/>
      </c>
      <c r="I455" s="9" t="str">
        <f>IF(AND(G455=""),"",IF(AND(Y448=""),"",ROUND(G455*Master!H$4%,0)))</f>
        <v/>
      </c>
      <c r="J455" s="9" t="str">
        <f>IF(AND(C455=""),"",SUM(G455:I455))</f>
        <v/>
      </c>
      <c r="K455" s="9" t="str">
        <f t="shared" ref="K455" si="647">IF(AND(C455=""),"",IF(AND(G455=""),"",C455-G455))</f>
        <v/>
      </c>
      <c r="L455" s="9" t="str">
        <f t="shared" ref="L455" si="648">IF(AND(D455=""),"",IF(AND(H455=""),"",D455-H455))</f>
        <v/>
      </c>
      <c r="M455" s="9" t="str">
        <f>IF(AND(E455=""),"",IF(AND(I455=""),"",E455-I455))</f>
        <v/>
      </c>
      <c r="N455" s="9" t="str">
        <f>IF(AND(F455=""),"",IF(AND(J455=""),"",F455-J455))</f>
        <v/>
      </c>
      <c r="O455" s="9" t="str">
        <f t="shared" ref="O455" si="649">IF(AND(C455=""),"",N455-P455)</f>
        <v/>
      </c>
      <c r="P455" s="9" t="str">
        <f>IF(AND(Y448=""),"",IF(AND(N455=""),"",ROUND(N455*AA$1%,0)))</f>
        <v/>
      </c>
      <c r="Q455" s="9" t="str">
        <f>IF(AND(Y448=""),"",IF(AND(C455=""),"",IF(AND(O455=""),"",SUM(O455,P455))))</f>
        <v/>
      </c>
      <c r="R455" s="9" t="str">
        <f t="shared" ref="R455" si="650">IF(AND(N455=""),"",IF(AND(Q455=""),"",N455-Q455))</f>
        <v/>
      </c>
      <c r="S455" s="20"/>
    </row>
    <row r="456" spans="1:25" ht="23.25" customHeight="1">
      <c r="A456" s="153" t="s">
        <v>9</v>
      </c>
      <c r="B456" s="154"/>
      <c r="C456" s="63">
        <f>IF(AND($Y$447=""),"",SUM(C452:C455))</f>
        <v>0</v>
      </c>
      <c r="D456" s="63">
        <f t="shared" ref="D456:R456" si="651">IF(AND($Y$447=""),"",SUM(D452:D455))</f>
        <v>0</v>
      </c>
      <c r="E456" s="63">
        <f t="shared" si="651"/>
        <v>0</v>
      </c>
      <c r="F456" s="63">
        <f t="shared" si="651"/>
        <v>0</v>
      </c>
      <c r="G456" s="63">
        <f t="shared" si="651"/>
        <v>0</v>
      </c>
      <c r="H456" s="63">
        <f t="shared" si="651"/>
        <v>0</v>
      </c>
      <c r="I456" s="63">
        <f t="shared" si="651"/>
        <v>0</v>
      </c>
      <c r="J456" s="63">
        <f t="shared" si="651"/>
        <v>0</v>
      </c>
      <c r="K456" s="63">
        <f t="shared" si="651"/>
        <v>0</v>
      </c>
      <c r="L456" s="63">
        <f t="shared" si="651"/>
        <v>0</v>
      </c>
      <c r="M456" s="63">
        <f t="shared" si="651"/>
        <v>0</v>
      </c>
      <c r="N456" s="63">
        <f t="shared" si="651"/>
        <v>0</v>
      </c>
      <c r="O456" s="63">
        <f t="shared" si="651"/>
        <v>0</v>
      </c>
      <c r="P456" s="63">
        <f t="shared" si="651"/>
        <v>0</v>
      </c>
      <c r="Q456" s="63">
        <f t="shared" si="651"/>
        <v>0</v>
      </c>
      <c r="R456" s="63">
        <f t="shared" si="651"/>
        <v>0</v>
      </c>
      <c r="S456" s="49"/>
    </row>
    <row r="457" spans="1:25" ht="10.5" customHeight="1">
      <c r="A457" s="73"/>
      <c r="B457" s="73"/>
      <c r="C457" s="74"/>
      <c r="D457" s="74"/>
      <c r="E457" s="74"/>
      <c r="F457" s="74"/>
      <c r="G457" s="74"/>
      <c r="H457" s="74"/>
      <c r="I457" s="74"/>
      <c r="J457" s="74"/>
      <c r="K457" s="74"/>
      <c r="L457" s="74"/>
      <c r="M457" s="74"/>
      <c r="N457" s="74"/>
      <c r="O457" s="74"/>
      <c r="P457" s="74"/>
      <c r="Q457" s="74"/>
      <c r="R457" s="74"/>
      <c r="S457" s="75"/>
    </row>
    <row r="458" spans="1:25" ht="23.25" customHeight="1">
      <c r="E458" s="133" t="s">
        <v>10</v>
      </c>
      <c r="F458" s="133"/>
      <c r="G458" s="133"/>
      <c r="H458" s="133"/>
      <c r="I458" s="133"/>
      <c r="J458" s="132" t="str">
        <f>IF(ISNA(VLOOKUP(Y460,Master!A$8:N$127,2,FALSE)),"",VLOOKUP(Y460,Master!A$8:AH$127,2,FALSE))</f>
        <v/>
      </c>
      <c r="K458" s="132"/>
      <c r="L458" s="132"/>
      <c r="M458" s="132"/>
      <c r="N458" s="132"/>
      <c r="O458" s="60" t="s">
        <v>31</v>
      </c>
      <c r="P458" s="132" t="str">
        <f>IF(ISNA(VLOOKUP(Y460,Master!A$8:N$127,3,FALSE)),"",VLOOKUP(Y460,Master!A$8:AH$127,3,FALSE))</f>
        <v/>
      </c>
      <c r="Q458" s="132"/>
      <c r="R458" s="132"/>
      <c r="S458" s="132"/>
    </row>
    <row r="459" spans="1:25" ht="9" customHeight="1">
      <c r="E459" s="19"/>
      <c r="F459" s="52"/>
      <c r="G459" s="22"/>
      <c r="H459" s="22"/>
      <c r="I459" s="22"/>
      <c r="J459" s="5"/>
      <c r="K459" s="5"/>
      <c r="L459" s="5"/>
      <c r="M459" s="5"/>
      <c r="N459" s="5"/>
      <c r="O459" s="6"/>
      <c r="P459" s="6"/>
    </row>
    <row r="460" spans="1:25" ht="21" customHeight="1">
      <c r="A460" s="8">
        <v>1</v>
      </c>
      <c r="B460" s="23" t="str">
        <f>IFERROR(IF(ISNA(VLOOKUP(Y460,Master!A$8:N$127,8,FALSE)),"",VLOOKUP($Y460,Master!A$8:AH$127,8,FALSE)),"")</f>
        <v/>
      </c>
      <c r="C460" s="9" t="str">
        <f>IF(ISNA(VLOOKUP(Y460,Master!A$8:N$127,5,FALSE)),"",VLOOKUP(Y460,Master!A$8:AH$127,5,FALSE))</f>
        <v/>
      </c>
      <c r="D460" s="9" t="str">
        <f>IF(AND(C460=""),"",IF(AND(Y460=""),"",ROUND(C460*Master!C$5%,0)))</f>
        <v/>
      </c>
      <c r="E460" s="9" t="str">
        <f>IF(AND(C460=""),"",IF(AND(Y460=""),"",ROUND(C460*Master!H$5%,0)))</f>
        <v/>
      </c>
      <c r="F460" s="9" t="str">
        <f t="shared" ref="F460:F462" si="652">IF(AND(C460=""),"",SUM(C460:E460))</f>
        <v/>
      </c>
      <c r="G460" s="9" t="str">
        <f>IF(ISNA(VLOOKUP(Y460,Master!A$8:N$127,5,FALSE)),"",VLOOKUP(Y460,Master!A$8:AH$127,5,FALSE))</f>
        <v/>
      </c>
      <c r="H460" s="9" t="str">
        <f>IF(AND(G460=""),"",IF(AND(Y460=""),"",ROUND(G460*Master!C$4%,0)))</f>
        <v/>
      </c>
      <c r="I460" s="9" t="str">
        <f>IF(AND(G460=""),"",IF(AND(Y460=""),"",ROUND(G460*Master!H$4%,0)))</f>
        <v/>
      </c>
      <c r="J460" s="9" t="str">
        <f t="shared" ref="J460:J462" si="653">IF(AND(C460=""),"",SUM(G460:I460))</f>
        <v/>
      </c>
      <c r="K460" s="9" t="str">
        <f t="shared" ref="K460" si="654">IF(AND(C460=""),"",IF(AND(G460=""),"",C460-G460))</f>
        <v/>
      </c>
      <c r="L460" s="9" t="str">
        <f>IF(AND(D460=""),"",IF(AND(H460=""),"",D460-H460))</f>
        <v/>
      </c>
      <c r="M460" s="9" t="str">
        <f t="shared" ref="M460:M462" si="655">IF(AND(E460=""),"",IF(AND(I460=""),"",E460-I460))</f>
        <v/>
      </c>
      <c r="N460" s="9" t="str">
        <f t="shared" ref="N460:N462" si="656">IF(AND(F460=""),"",IF(AND(J460=""),"",F460-J460))</f>
        <v/>
      </c>
      <c r="O460" s="9" t="str">
        <f>IF(AND(C460=""),"",N460-P460)</f>
        <v/>
      </c>
      <c r="P460" s="9" t="str">
        <f>IF(AND(Y460=""),"",IF(AND(N460=""),"",ROUND(N460*X$17%,0)))</f>
        <v/>
      </c>
      <c r="Q460" s="9" t="str">
        <f>IF(AND(Y460=""),"",IF(AND(C460=""),"",IF(AND(O460=""),"",SUM(O460,P460))))</f>
        <v/>
      </c>
      <c r="R460" s="9" t="str">
        <f>IF(AND(N460=""),"",IF(AND(Q460=""),"",N460-Q460))</f>
        <v/>
      </c>
      <c r="S460" s="20"/>
      <c r="X460" s="61" t="s">
        <v>49</v>
      </c>
      <c r="Y460" s="64">
        <v>38</v>
      </c>
    </row>
    <row r="461" spans="1:25" ht="21" customHeight="1">
      <c r="A461" s="8">
        <v>2</v>
      </c>
      <c r="B461" s="23" t="str">
        <f>IFERROR(DATE(YEAR(B460),MONTH(B460)+1,DAY(B460)),"")</f>
        <v/>
      </c>
      <c r="C461" s="9" t="str">
        <f>IF(AND(Y460=""),"",C460)</f>
        <v/>
      </c>
      <c r="D461" s="9" t="str">
        <f>IF(AND(C461=""),"",IF(AND(Y460=""),"",ROUND(C461*Master!C$5%,0)))</f>
        <v/>
      </c>
      <c r="E461" s="9" t="str">
        <f>IF(AND(C461=""),"",IF(AND(Y460=""),"",ROUND(C461*Master!H$5%,0)))</f>
        <v/>
      </c>
      <c r="F461" s="9" t="str">
        <f t="shared" si="652"/>
        <v/>
      </c>
      <c r="G461" s="9" t="str">
        <f>IF(AND(Y460=""),"",G460)</f>
        <v/>
      </c>
      <c r="H461" s="9" t="str">
        <f>IF(AND(G461=""),"",IF(AND(Y460=""),"",ROUND(G461*Master!C$4%,0)))</f>
        <v/>
      </c>
      <c r="I461" s="9" t="str">
        <f>IF(AND(G461=""),"",IF(AND(Y460=""),"",ROUND(G461*Master!H$4%,0)))</f>
        <v/>
      </c>
      <c r="J461" s="9" t="str">
        <f t="shared" si="653"/>
        <v/>
      </c>
      <c r="K461" s="9" t="str">
        <f>IF(AND(C461=""),"",IF(AND(G461=""),"",C461-G461))</f>
        <v/>
      </c>
      <c r="L461" s="9" t="str">
        <f t="shared" ref="L461:L462" si="657">IF(AND(D461=""),"",IF(AND(H461=""),"",D461-H461))</f>
        <v/>
      </c>
      <c r="M461" s="9" t="str">
        <f t="shared" si="655"/>
        <v/>
      </c>
      <c r="N461" s="9" t="str">
        <f t="shared" si="656"/>
        <v/>
      </c>
      <c r="O461" s="9" t="str">
        <f t="shared" ref="O461:O462" si="658">IF(AND(C461=""),"",N461-P461)</f>
        <v/>
      </c>
      <c r="P461" s="9" t="str">
        <f>IF(AND(Y460=""),"",IF(AND(N461=""),"",ROUND(N461*X$17%,0)))</f>
        <v/>
      </c>
      <c r="Q461" s="9" t="str">
        <f>IF(AND(Y460=""),"",IF(AND(C461=""),"",IF(AND(O461=""),"",SUM(O461,P461))))</f>
        <v/>
      </c>
      <c r="R461" s="9" t="str">
        <f t="shared" ref="R461:R462" si="659">IF(AND(N461=""),"",IF(AND(Q461=""),"",N461-Q461))</f>
        <v/>
      </c>
      <c r="S461" s="20"/>
      <c r="X461" s="4" t="str">
        <f>IF(ISNA(VLOOKUP(Y460,Master!A$8:N$127,7,FALSE)),"",VLOOKUP(Y460,Master!A$8:AH$127,7,FALSE))</f>
        <v/>
      </c>
    </row>
    <row r="462" spans="1:25" ht="21" customHeight="1">
      <c r="A462" s="8">
        <v>3</v>
      </c>
      <c r="B462" s="23" t="str">
        <f>IFERROR(DATE(YEAR(B461),MONTH(B461)+1,DAY(B461)),"")</f>
        <v/>
      </c>
      <c r="C462" s="9" t="str">
        <f>IF(AND(Y460=""),"",C461)</f>
        <v/>
      </c>
      <c r="D462" s="9" t="str">
        <f>IF(AND(C462=""),"",IF(AND(Y460=""),"",ROUND(C462*Master!C$5%,0)))</f>
        <v/>
      </c>
      <c r="E462" s="9" t="str">
        <f>IF(AND(C462=""),"",IF(AND(Y460=""),"",ROUND(C462*Master!H$5%,0)))</f>
        <v/>
      </c>
      <c r="F462" s="9" t="str">
        <f t="shared" si="652"/>
        <v/>
      </c>
      <c r="G462" s="9" t="str">
        <f>IF(AND(Y460=""),"",G461)</f>
        <v/>
      </c>
      <c r="H462" s="9" t="str">
        <f>IF(AND(G462=""),"",IF(AND(Y460=""),"",ROUND(G462*Master!C$4%,0)))</f>
        <v/>
      </c>
      <c r="I462" s="9" t="str">
        <f>IF(AND(G462=""),"",IF(AND(Y460=""),"",ROUND(G462*Master!H$4%,0)))</f>
        <v/>
      </c>
      <c r="J462" s="9" t="str">
        <f t="shared" si="653"/>
        <v/>
      </c>
      <c r="K462" s="9" t="str">
        <f t="shared" ref="K462" si="660">IF(AND(C462=""),"",IF(AND(G462=""),"",C462-G462))</f>
        <v/>
      </c>
      <c r="L462" s="9" t="str">
        <f t="shared" si="657"/>
        <v/>
      </c>
      <c r="M462" s="9" t="str">
        <f t="shared" si="655"/>
        <v/>
      </c>
      <c r="N462" s="9" t="str">
        <f t="shared" si="656"/>
        <v/>
      </c>
      <c r="O462" s="9" t="str">
        <f t="shared" si="658"/>
        <v/>
      </c>
      <c r="P462" s="9" t="str">
        <f>IF(AND(Y460=""),"",IF(AND(N462=""),"",ROUND(N462*X$17%,0)))</f>
        <v/>
      </c>
      <c r="Q462" s="9" t="str">
        <f>IF(AND(Y460=""),"",IF(AND(C462=""),"",IF(AND(O462=""),"",SUM(O462,P462))))</f>
        <v/>
      </c>
      <c r="R462" s="9" t="str">
        <f t="shared" si="659"/>
        <v/>
      </c>
      <c r="S462" s="20"/>
    </row>
    <row r="463" spans="1:25" ht="21" customHeight="1">
      <c r="A463" s="8">
        <v>4</v>
      </c>
      <c r="B463" s="23" t="str">
        <f>IFERROR(DATE(YEAR(B462),MONTH(B462)+1,DAY(B462)),"")</f>
        <v/>
      </c>
      <c r="C463" s="9" t="str">
        <f>IF(AND(Y461=""),"",C462)</f>
        <v/>
      </c>
      <c r="D463" s="9" t="str">
        <f>IF(AND(C463=""),"",IF(AND(Y461=""),"",ROUND(C463*Master!C$5%,0)))</f>
        <v/>
      </c>
      <c r="E463" s="9" t="str">
        <f>IF(AND(C463=""),"",IF(AND(Y461=""),"",ROUND(C463*Master!H$5%,0)))</f>
        <v/>
      </c>
      <c r="F463" s="9" t="str">
        <f t="shared" ref="F463" si="661">IF(AND(C463=""),"",SUM(C463:E463))</f>
        <v/>
      </c>
      <c r="G463" s="9" t="str">
        <f>IF(AND(Y461=""),"",G462)</f>
        <v/>
      </c>
      <c r="H463" s="9" t="str">
        <f>IF(AND(G463=""),"",IF(AND(Y461=""),"",ROUND(G463*Master!C$4%,0)))</f>
        <v/>
      </c>
      <c r="I463" s="9" t="str">
        <f>IF(AND(G463=""),"",IF(AND(Y461=""),"",ROUND(G463*Master!H$4%,0)))</f>
        <v/>
      </c>
      <c r="J463" s="9" t="str">
        <f t="shared" ref="J463" si="662">IF(AND(C463=""),"",SUM(G463:I463))</f>
        <v/>
      </c>
      <c r="K463" s="9" t="str">
        <f t="shared" ref="K463" si="663">IF(AND(C463=""),"",IF(AND(G463=""),"",C463-G463))</f>
        <v/>
      </c>
      <c r="L463" s="9" t="str">
        <f t="shared" ref="L463" si="664">IF(AND(D463=""),"",IF(AND(H463=""),"",D463-H463))</f>
        <v/>
      </c>
      <c r="M463" s="9" t="str">
        <f t="shared" ref="M463" si="665">IF(AND(E463=""),"",IF(AND(I463=""),"",E463-I463))</f>
        <v/>
      </c>
      <c r="N463" s="9" t="str">
        <f t="shared" ref="N463" si="666">IF(AND(F463=""),"",IF(AND(J463=""),"",F463-J463))</f>
        <v/>
      </c>
      <c r="O463" s="9" t="str">
        <f t="shared" ref="O463" si="667">IF(AND(C463=""),"",N463-P463)</f>
        <v/>
      </c>
      <c r="P463" s="9" t="str">
        <f>IF(AND(Y461=""),"",IF(AND(N463=""),"",ROUND(N463*X$17%,0)))</f>
        <v/>
      </c>
      <c r="Q463" s="9" t="str">
        <f>IF(AND(Y461=""),"",IF(AND(C463=""),"",IF(AND(O463=""),"",SUM(O463,P463))))</f>
        <v/>
      </c>
      <c r="R463" s="9" t="str">
        <f t="shared" ref="R463" si="668">IF(AND(N463=""),"",IF(AND(Q463=""),"",N463-Q463))</f>
        <v/>
      </c>
      <c r="S463" s="20"/>
    </row>
    <row r="464" spans="1:25" ht="30.75" customHeight="1">
      <c r="A464" s="153" t="s">
        <v>9</v>
      </c>
      <c r="B464" s="154"/>
      <c r="C464" s="63">
        <f>IF(AND($Y$460=""),"",SUM(C460:C463))</f>
        <v>0</v>
      </c>
      <c r="D464" s="63">
        <f t="shared" ref="D464:R464" si="669">IF(AND($Y$460=""),"",SUM(D460:D463))</f>
        <v>0</v>
      </c>
      <c r="E464" s="63">
        <f t="shared" si="669"/>
        <v>0</v>
      </c>
      <c r="F464" s="63">
        <f t="shared" si="669"/>
        <v>0</v>
      </c>
      <c r="G464" s="63">
        <f t="shared" si="669"/>
        <v>0</v>
      </c>
      <c r="H464" s="63">
        <f t="shared" si="669"/>
        <v>0</v>
      </c>
      <c r="I464" s="63">
        <f t="shared" si="669"/>
        <v>0</v>
      </c>
      <c r="J464" s="63">
        <f t="shared" si="669"/>
        <v>0</v>
      </c>
      <c r="K464" s="63">
        <f t="shared" si="669"/>
        <v>0</v>
      </c>
      <c r="L464" s="63">
        <f t="shared" si="669"/>
        <v>0</v>
      </c>
      <c r="M464" s="63">
        <f t="shared" si="669"/>
        <v>0</v>
      </c>
      <c r="N464" s="63">
        <f t="shared" si="669"/>
        <v>0</v>
      </c>
      <c r="O464" s="63">
        <f t="shared" si="669"/>
        <v>0</v>
      </c>
      <c r="P464" s="63">
        <f t="shared" si="669"/>
        <v>0</v>
      </c>
      <c r="Q464" s="63">
        <f t="shared" si="669"/>
        <v>0</v>
      </c>
      <c r="R464" s="63">
        <f t="shared" si="669"/>
        <v>0</v>
      </c>
      <c r="S464" s="49"/>
    </row>
    <row r="465" spans="1:25" ht="11.25" customHeight="1">
      <c r="A465" s="73"/>
      <c r="B465" s="73"/>
      <c r="C465" s="74"/>
      <c r="D465" s="74"/>
      <c r="E465" s="74"/>
      <c r="F465" s="74"/>
      <c r="G465" s="74"/>
      <c r="H465" s="74"/>
      <c r="I465" s="74"/>
      <c r="J465" s="74"/>
      <c r="K465" s="74"/>
      <c r="L465" s="74"/>
      <c r="M465" s="74"/>
      <c r="N465" s="74"/>
      <c r="O465" s="74"/>
      <c r="P465" s="74"/>
      <c r="Q465" s="74"/>
      <c r="R465" s="74"/>
      <c r="S465" s="75"/>
    </row>
    <row r="466" spans="1:25" ht="23.25" customHeight="1">
      <c r="E466" s="133" t="s">
        <v>10</v>
      </c>
      <c r="F466" s="133"/>
      <c r="G466" s="133"/>
      <c r="H466" s="133"/>
      <c r="I466" s="133"/>
      <c r="J466" s="132" t="str">
        <f>IF(ISNA(VLOOKUP(Y468,Master!A$8:N$127,2,FALSE)),"",VLOOKUP(Y468,Master!A$8:AH$127,2,FALSE))</f>
        <v/>
      </c>
      <c r="K466" s="132"/>
      <c r="L466" s="132"/>
      <c r="M466" s="132"/>
      <c r="N466" s="132"/>
      <c r="O466" s="60" t="s">
        <v>31</v>
      </c>
      <c r="P466" s="132" t="str">
        <f>IF(ISNA(VLOOKUP($Y$431,Master!A$8:N$127,3,FALSE)),"",VLOOKUP($Y$431,Master!A$8:AH$127,3,FALSE))</f>
        <v/>
      </c>
      <c r="Q466" s="132"/>
      <c r="R466" s="132"/>
      <c r="S466" s="132"/>
    </row>
    <row r="467" spans="1:25" ht="9" customHeight="1">
      <c r="E467" s="19"/>
      <c r="F467" s="52"/>
      <c r="G467" s="22"/>
      <c r="H467" s="22"/>
      <c r="I467" s="22"/>
      <c r="J467" s="5"/>
      <c r="K467" s="5"/>
      <c r="L467" s="5"/>
      <c r="M467" s="5"/>
      <c r="N467" s="5"/>
      <c r="O467" s="6"/>
      <c r="P467" s="6"/>
    </row>
    <row r="468" spans="1:25" ht="21" customHeight="1">
      <c r="A468" s="8">
        <v>1</v>
      </c>
      <c r="B468" s="23" t="str">
        <f>IFERROR(IF(ISNA(VLOOKUP(Y468,Master!A$8:N$127,8,FALSE)),"",VLOOKUP($Y468,Master!A$8:AH$127,8,FALSE)),"")</f>
        <v/>
      </c>
      <c r="C468" s="9" t="str">
        <f>IF(ISNA(VLOOKUP(Y468,Master!A$8:N$127,5,FALSE)),"",VLOOKUP(Y468,Master!A$8:AH$127,5,FALSE))</f>
        <v/>
      </c>
      <c r="D468" s="9" t="str">
        <f>IF(AND(C468=""),"",IF(AND(Y468=""),"",ROUND(C468*Master!C$5%,0)))</f>
        <v/>
      </c>
      <c r="E468" s="9" t="str">
        <f>IF(AND(C468=""),"",IF(AND(Y468=""),"",ROUND(C468*Master!H$5%,0)))</f>
        <v/>
      </c>
      <c r="F468" s="9" t="str">
        <f t="shared" ref="F468:F470" si="670">IF(AND(C468=""),"",SUM(C468:E468))</f>
        <v/>
      </c>
      <c r="G468" s="9" t="str">
        <f>IF(ISNA(VLOOKUP(Y468,Master!A$8:N$127,5,FALSE)),"",VLOOKUP(Y468,Master!A$8:AH$127,5,FALSE))</f>
        <v/>
      </c>
      <c r="H468" s="9" t="str">
        <f>IF(AND(G468=""),"",IF(AND(Y468=""),"",ROUND(G468*Master!C$4%,0)))</f>
        <v/>
      </c>
      <c r="I468" s="9" t="str">
        <f>IF(AND(G468=""),"",IF(AND(Y468=""),"",ROUND(G468*Master!H$4%,0)))</f>
        <v/>
      </c>
      <c r="J468" s="9" t="str">
        <f t="shared" ref="J468:J470" si="671">IF(AND(C468=""),"",SUM(G468:I468))</f>
        <v/>
      </c>
      <c r="K468" s="9" t="str">
        <f t="shared" ref="K468:K470" si="672">IF(AND(C468=""),"",IF(AND(G468=""),"",C468-G468))</f>
        <v/>
      </c>
      <c r="L468" s="9" t="str">
        <f t="shared" ref="L468:L470" si="673">IF(AND(D468=""),"",IF(AND(H468=""),"",D468-H468))</f>
        <v/>
      </c>
      <c r="M468" s="9" t="str">
        <f t="shared" ref="M468:M470" si="674">IF(AND(E468=""),"",IF(AND(I468=""),"",E468-I468))</f>
        <v/>
      </c>
      <c r="N468" s="9" t="str">
        <f t="shared" ref="N468:N470" si="675">IF(AND(F468=""),"",IF(AND(J468=""),"",F468-J468))</f>
        <v/>
      </c>
      <c r="O468" s="9" t="str">
        <f>IF(AND(C468=""),"",N468-P468)</f>
        <v/>
      </c>
      <c r="P468" s="9" t="str">
        <f>IF(AND(Y468=""),"",IF(AND(N468=""),"",ROUND(N468*AA$1%,0)))</f>
        <v/>
      </c>
      <c r="Q468" s="9" t="str">
        <f>IF(AND(Y468=""),"",IF(AND(C468=""),"",IF(AND(O468=""),"",SUM(O468,P468))))</f>
        <v/>
      </c>
      <c r="R468" s="9" t="str">
        <f>IF(AND(N468=""),"",IF(AND(Q468=""),"",N468-Q468))</f>
        <v/>
      </c>
      <c r="S468" s="20"/>
      <c r="X468" s="61" t="s">
        <v>49</v>
      </c>
      <c r="Y468" s="64">
        <v>39</v>
      </c>
    </row>
    <row r="469" spans="1:25" ht="21" customHeight="1">
      <c r="A469" s="8">
        <v>2</v>
      </c>
      <c r="B469" s="23" t="str">
        <f>IFERROR(DATE(YEAR(B468),MONTH(B468)+1,DAY(B468)),"")</f>
        <v/>
      </c>
      <c r="C469" s="9" t="str">
        <f>IF(AND(Y468=""),"",C468)</f>
        <v/>
      </c>
      <c r="D469" s="9" t="str">
        <f>IF(AND(C469=""),"",IF(AND(Y468=""),"",ROUND(C469*Master!C$5%,0)))</f>
        <v/>
      </c>
      <c r="E469" s="9" t="str">
        <f>IF(AND(C469=""),"",IF(AND(Y468=""),"",ROUND(C469*Master!H$5%,0)))</f>
        <v/>
      </c>
      <c r="F469" s="9" t="str">
        <f t="shared" si="670"/>
        <v/>
      </c>
      <c r="G469" s="9" t="str">
        <f>IF(AND(Y468=""),"",G468)</f>
        <v/>
      </c>
      <c r="H469" s="9" t="str">
        <f>IF(AND(G469=""),"",IF(AND(Y468=""),"",ROUND(G469*Master!C$4%,0)))</f>
        <v/>
      </c>
      <c r="I469" s="9" t="str">
        <f>IF(AND(G469=""),"",IF(AND(Y468=""),"",ROUND(G469*Master!H$4%,0)))</f>
        <v/>
      </c>
      <c r="J469" s="9" t="str">
        <f t="shared" si="671"/>
        <v/>
      </c>
      <c r="K469" s="9" t="str">
        <f t="shared" si="672"/>
        <v/>
      </c>
      <c r="L469" s="9" t="str">
        <f t="shared" si="673"/>
        <v/>
      </c>
      <c r="M469" s="9" t="str">
        <f t="shared" si="674"/>
        <v/>
      </c>
      <c r="N469" s="9" t="str">
        <f t="shared" si="675"/>
        <v/>
      </c>
      <c r="O469" s="9" t="str">
        <f t="shared" ref="O469:O470" si="676">IF(AND(C469=""),"",N469-P469)</f>
        <v/>
      </c>
      <c r="P469" s="9" t="str">
        <f>IF(AND(Y468=""),"",IF(AND(N469=""),"",ROUND(N469*AA$1%,0)))</f>
        <v/>
      </c>
      <c r="Q469" s="9" t="str">
        <f>IF(AND(Y468=""),"",IF(AND(C469=""),"",IF(AND(O469=""),"",SUM(O469,P469))))</f>
        <v/>
      </c>
      <c r="R469" s="9" t="str">
        <f t="shared" ref="R469:R470" si="677">IF(AND(N469=""),"",IF(AND(Q469=""),"",N469-Q469))</f>
        <v/>
      </c>
      <c r="S469" s="20"/>
      <c r="X469" s="4" t="str">
        <f>IF(ISNA(VLOOKUP(Y468,Master!A$8:N$127,7,FALSE)),"",VLOOKUP(Y468,Master!A$8:AH$127,7,FALSE))</f>
        <v/>
      </c>
    </row>
    <row r="470" spans="1:25" ht="21" customHeight="1">
      <c r="A470" s="8">
        <v>3</v>
      </c>
      <c r="B470" s="23" t="str">
        <f>IFERROR(DATE(YEAR(B469),MONTH(B469)+1,DAY(B469)),"")</f>
        <v/>
      </c>
      <c r="C470" s="9" t="str">
        <f>IF(AND(Y468=""),"",C469)</f>
        <v/>
      </c>
      <c r="D470" s="9" t="str">
        <f>IF(AND(C470=""),"",IF(AND(Y468=""),"",ROUND(C470*Master!C$5%,0)))</f>
        <v/>
      </c>
      <c r="E470" s="9" t="str">
        <f>IF(AND(C470=""),"",IF(AND(Y468=""),"",ROUND(C470*Master!H$5%,0)))</f>
        <v/>
      </c>
      <c r="F470" s="9" t="str">
        <f t="shared" si="670"/>
        <v/>
      </c>
      <c r="G470" s="9" t="str">
        <f>IF(AND(Y468=""),"",G469)</f>
        <v/>
      </c>
      <c r="H470" s="9" t="str">
        <f>IF(AND(G470=""),"",IF(AND(Y468=""),"",ROUND(G470*Master!C$4%,0)))</f>
        <v/>
      </c>
      <c r="I470" s="9" t="str">
        <f>IF(AND(G470=""),"",IF(AND(Y468=""),"",ROUND(G470*Master!H$4%,0)))</f>
        <v/>
      </c>
      <c r="J470" s="9" t="str">
        <f t="shared" si="671"/>
        <v/>
      </c>
      <c r="K470" s="9" t="str">
        <f t="shared" si="672"/>
        <v/>
      </c>
      <c r="L470" s="9" t="str">
        <f t="shared" si="673"/>
        <v/>
      </c>
      <c r="M470" s="9" t="str">
        <f t="shared" si="674"/>
        <v/>
      </c>
      <c r="N470" s="9" t="str">
        <f t="shared" si="675"/>
        <v/>
      </c>
      <c r="O470" s="9" t="str">
        <f t="shared" si="676"/>
        <v/>
      </c>
      <c r="P470" s="9" t="str">
        <f>IF(AND(Y468=""),"",IF(AND(N470=""),"",ROUND(N470*AA$1%,0)))</f>
        <v/>
      </c>
      <c r="Q470" s="9" t="str">
        <f>IF(AND(Y468=""),"",IF(AND(C470=""),"",IF(AND(O470=""),"",SUM(O470,P470))))</f>
        <v/>
      </c>
      <c r="R470" s="9" t="str">
        <f t="shared" si="677"/>
        <v/>
      </c>
      <c r="S470" s="20"/>
    </row>
    <row r="471" spans="1:25" ht="21" customHeight="1">
      <c r="A471" s="8">
        <v>4</v>
      </c>
      <c r="B471" s="23" t="str">
        <f>IFERROR(DATE(YEAR(B470),MONTH(B470)+1,DAY(B470)),"")</f>
        <v/>
      </c>
      <c r="C471" s="9" t="str">
        <f>IF(AND(Y469=""),"",C470)</f>
        <v/>
      </c>
      <c r="D471" s="9" t="str">
        <f>IF(AND(C471=""),"",IF(AND(Y469=""),"",ROUND(C471*Master!C$5%,0)))</f>
        <v/>
      </c>
      <c r="E471" s="9" t="str">
        <f>IF(AND(C471=""),"",IF(AND(Y469=""),"",ROUND(C471*Master!H$5%,0)))</f>
        <v/>
      </c>
      <c r="F471" s="9" t="str">
        <f t="shared" ref="F471" si="678">IF(AND(C471=""),"",SUM(C471:E471))</f>
        <v/>
      </c>
      <c r="G471" s="9" t="str">
        <f>IF(AND(Y469=""),"",G470)</f>
        <v/>
      </c>
      <c r="H471" s="9" t="str">
        <f>IF(AND(G471=""),"",IF(AND(Y469=""),"",ROUND(G471*Master!C$4%,0)))</f>
        <v/>
      </c>
      <c r="I471" s="9" t="str">
        <f>IF(AND(G471=""),"",IF(AND(Y469=""),"",ROUND(G471*Master!H$4%,0)))</f>
        <v/>
      </c>
      <c r="J471" s="9" t="str">
        <f t="shared" ref="J471" si="679">IF(AND(C471=""),"",SUM(G471:I471))</f>
        <v/>
      </c>
      <c r="K471" s="9" t="str">
        <f t="shared" ref="K471" si="680">IF(AND(C471=""),"",IF(AND(G471=""),"",C471-G471))</f>
        <v/>
      </c>
      <c r="L471" s="9" t="str">
        <f t="shared" ref="L471" si="681">IF(AND(D471=""),"",IF(AND(H471=""),"",D471-H471))</f>
        <v/>
      </c>
      <c r="M471" s="9" t="str">
        <f t="shared" ref="M471" si="682">IF(AND(E471=""),"",IF(AND(I471=""),"",E471-I471))</f>
        <v/>
      </c>
      <c r="N471" s="9" t="str">
        <f t="shared" ref="N471" si="683">IF(AND(F471=""),"",IF(AND(J471=""),"",F471-J471))</f>
        <v/>
      </c>
      <c r="O471" s="9" t="str">
        <f t="shared" ref="O471" si="684">IF(AND(C471=""),"",N471-P471)</f>
        <v/>
      </c>
      <c r="P471" s="9" t="str">
        <f>IF(AND(Y469=""),"",IF(AND(N471=""),"",ROUND(N471*AA$1%,0)))</f>
        <v/>
      </c>
      <c r="Q471" s="9" t="str">
        <f>IF(AND(Y469=""),"",IF(AND(C471=""),"",IF(AND(O471=""),"",SUM(O471,P471))))</f>
        <v/>
      </c>
      <c r="R471" s="9" t="str">
        <f t="shared" ref="R471" si="685">IF(AND(N471=""),"",IF(AND(Q471=""),"",N471-Q471))</f>
        <v/>
      </c>
      <c r="S471" s="20"/>
    </row>
    <row r="472" spans="1:25" ht="30.75" customHeight="1">
      <c r="A472" s="153" t="s">
        <v>9</v>
      </c>
      <c r="B472" s="154"/>
      <c r="C472" s="63">
        <f>IF(AND($Y$468=""),"",SUM(C468:C471))</f>
        <v>0</v>
      </c>
      <c r="D472" s="63">
        <f t="shared" ref="D472:R472" si="686">IF(AND($Y$468=""),"",SUM(D468:D471))</f>
        <v>0</v>
      </c>
      <c r="E472" s="63">
        <f t="shared" si="686"/>
        <v>0</v>
      </c>
      <c r="F472" s="63">
        <f t="shared" si="686"/>
        <v>0</v>
      </c>
      <c r="G472" s="63">
        <f t="shared" si="686"/>
        <v>0</v>
      </c>
      <c r="H472" s="63">
        <f t="shared" si="686"/>
        <v>0</v>
      </c>
      <c r="I472" s="63">
        <f t="shared" si="686"/>
        <v>0</v>
      </c>
      <c r="J472" s="63">
        <f t="shared" si="686"/>
        <v>0</v>
      </c>
      <c r="K472" s="63">
        <f t="shared" si="686"/>
        <v>0</v>
      </c>
      <c r="L472" s="63">
        <f t="shared" si="686"/>
        <v>0</v>
      </c>
      <c r="M472" s="63">
        <f t="shared" si="686"/>
        <v>0</v>
      </c>
      <c r="N472" s="63">
        <f t="shared" si="686"/>
        <v>0</v>
      </c>
      <c r="O472" s="63">
        <f t="shared" si="686"/>
        <v>0</v>
      </c>
      <c r="P472" s="63">
        <f t="shared" si="686"/>
        <v>0</v>
      </c>
      <c r="Q472" s="63">
        <f t="shared" si="686"/>
        <v>0</v>
      </c>
      <c r="R472" s="63">
        <f t="shared" si="686"/>
        <v>0</v>
      </c>
      <c r="S472" s="49"/>
    </row>
    <row r="473" spans="1:25" ht="30.75" customHeight="1">
      <c r="A473" s="73"/>
      <c r="B473" s="73"/>
      <c r="C473" s="74"/>
      <c r="D473" s="74"/>
      <c r="E473" s="74"/>
      <c r="F473" s="74"/>
      <c r="G473" s="74"/>
      <c r="H473" s="74"/>
      <c r="I473" s="74"/>
      <c r="J473" s="74"/>
      <c r="K473" s="74"/>
      <c r="L473" s="74"/>
      <c r="M473" s="74"/>
      <c r="N473" s="74"/>
      <c r="O473" s="74"/>
      <c r="P473" s="74"/>
      <c r="Q473" s="74"/>
      <c r="R473" s="74"/>
      <c r="S473" s="75"/>
    </row>
    <row r="474" spans="1:25" ht="18.75">
      <c r="A474" s="21"/>
      <c r="B474" s="58"/>
      <c r="C474" s="58"/>
      <c r="D474" s="58"/>
      <c r="E474" s="58"/>
      <c r="F474" s="58"/>
      <c r="G474" s="58"/>
      <c r="H474" s="59"/>
      <c r="I474" s="59"/>
      <c r="J474" s="59"/>
      <c r="K474" s="66"/>
      <c r="L474" s="66"/>
      <c r="M474" s="66"/>
      <c r="N474" s="66"/>
      <c r="O474" s="138" t="s">
        <v>42</v>
      </c>
      <c r="P474" s="138"/>
      <c r="Q474" s="138"/>
      <c r="R474" s="138"/>
      <c r="S474" s="138"/>
    </row>
    <row r="475" spans="1:25" ht="18.75">
      <c r="A475" s="1"/>
      <c r="B475" s="24" t="s">
        <v>19</v>
      </c>
      <c r="C475" s="139"/>
      <c r="D475" s="139"/>
      <c r="E475" s="139"/>
      <c r="F475" s="139"/>
      <c r="G475" s="139"/>
      <c r="H475" s="25"/>
      <c r="I475" s="143" t="s">
        <v>20</v>
      </c>
      <c r="J475" s="143"/>
      <c r="K475" s="141"/>
      <c r="L475" s="141"/>
      <c r="M475" s="141"/>
      <c r="O475" s="138"/>
      <c r="P475" s="138"/>
      <c r="Q475" s="138"/>
      <c r="R475" s="138"/>
      <c r="S475" s="138"/>
    </row>
    <row r="476" spans="1:25" ht="18.75">
      <c r="A476" s="1"/>
      <c r="B476" s="140" t="s">
        <v>21</v>
      </c>
      <c r="C476" s="140"/>
      <c r="D476" s="140"/>
      <c r="E476" s="140"/>
      <c r="F476" s="140"/>
      <c r="G476" s="140"/>
      <c r="H476" s="140"/>
      <c r="I476" s="27"/>
      <c r="J476" s="26"/>
      <c r="K476" s="26"/>
      <c r="L476" s="26"/>
      <c r="M476" s="26"/>
    </row>
    <row r="477" spans="1:25" ht="18.75">
      <c r="A477" s="22">
        <v>1</v>
      </c>
      <c r="B477" s="142" t="s">
        <v>22</v>
      </c>
      <c r="C477" s="142"/>
      <c r="D477" s="142"/>
      <c r="E477" s="142"/>
      <c r="F477" s="142"/>
      <c r="G477" s="142"/>
      <c r="H477" s="142"/>
      <c r="I477" s="28"/>
      <c r="J477" s="26"/>
      <c r="K477" s="26"/>
      <c r="L477" s="26"/>
      <c r="M477" s="26"/>
    </row>
    <row r="478" spans="1:25" ht="18.75">
      <c r="A478" s="2">
        <v>2</v>
      </c>
      <c r="B478" s="142" t="s">
        <v>23</v>
      </c>
      <c r="C478" s="142"/>
      <c r="D478" s="142"/>
      <c r="E478" s="142"/>
      <c r="F478" s="142"/>
      <c r="G478" s="132"/>
      <c r="H478" s="132"/>
      <c r="I478" s="132"/>
      <c r="J478" s="132"/>
      <c r="K478" s="132"/>
      <c r="L478" s="132"/>
      <c r="M478" s="132"/>
    </row>
    <row r="479" spans="1:25" ht="18.75">
      <c r="A479" s="3">
        <v>3</v>
      </c>
      <c r="B479" s="142" t="s">
        <v>24</v>
      </c>
      <c r="C479" s="142"/>
      <c r="D479" s="142"/>
      <c r="E479" s="29"/>
      <c r="F479" s="28"/>
      <c r="G479" s="28"/>
      <c r="H479" s="30"/>
      <c r="I479" s="31"/>
      <c r="J479" s="26"/>
      <c r="K479" s="26"/>
      <c r="L479" s="26"/>
      <c r="M479" s="26"/>
    </row>
    <row r="480" spans="1:25" ht="15.75">
      <c r="O480" s="138" t="s">
        <v>42</v>
      </c>
      <c r="P480" s="138"/>
      <c r="Q480" s="138"/>
      <c r="R480" s="138"/>
      <c r="S480" s="138"/>
    </row>
    <row r="482" spans="1:27" ht="18" customHeight="1">
      <c r="A482" s="148" t="str">
        <f>A445</f>
        <v xml:space="preserve">DA (46% to 50%) Drawn Statement  </v>
      </c>
      <c r="B482" s="148"/>
      <c r="C482" s="148"/>
      <c r="D482" s="148"/>
      <c r="E482" s="148"/>
      <c r="F482" s="148"/>
      <c r="G482" s="148"/>
      <c r="H482" s="148"/>
      <c r="I482" s="148"/>
      <c r="J482" s="148"/>
      <c r="K482" s="148"/>
      <c r="L482" s="148"/>
      <c r="M482" s="148"/>
      <c r="N482" s="148"/>
      <c r="O482" s="148"/>
      <c r="P482" s="148"/>
      <c r="Q482" s="148"/>
      <c r="R482" s="148"/>
      <c r="S482" s="148"/>
      <c r="W482" s="4">
        <f>IF(ISNA(VLOOKUP($Y$3,Master!A$8:N$127,4,FALSE)),"",VLOOKUP($Y$3,Master!A$8:AH$127,4,FALSE))</f>
        <v>2</v>
      </c>
      <c r="X482" s="4" t="str">
        <f>IF(ISNA(VLOOKUP($Y$3,Master!A$8:N$127,6,FALSE)),"",VLOOKUP($Y$3,Master!A$8:AH$127,6,FALSE))</f>
        <v>GPF-2004</v>
      </c>
      <c r="Y482" s="4" t="s">
        <v>45</v>
      </c>
      <c r="Z482" s="4" t="s">
        <v>18</v>
      </c>
      <c r="AA482" s="4" t="str">
        <f>IF(ISNA(VLOOKUP(Y484,Master!A$8:N$127,7,FALSE)),"",VLOOKUP(Y484,Master!A$8:AH$127,7,FALSE))</f>
        <v/>
      </c>
    </row>
    <row r="483" spans="1:27" ht="18">
      <c r="A483" s="131" t="str">
        <f>IF(AND(Master!C445=""),"",CONCATENATE("Office Of  ",Master!C445))</f>
        <v/>
      </c>
      <c r="B483" s="131"/>
      <c r="C483" s="131"/>
      <c r="D483" s="131"/>
      <c r="E483" s="131"/>
      <c r="F483" s="131"/>
      <c r="G483" s="131"/>
      <c r="H483" s="131"/>
      <c r="I483" s="131"/>
      <c r="J483" s="131"/>
      <c r="K483" s="131"/>
      <c r="L483" s="131"/>
      <c r="M483" s="131"/>
      <c r="N483" s="131"/>
      <c r="O483" s="131"/>
      <c r="P483" s="131"/>
      <c r="Q483" s="131"/>
      <c r="R483" s="131"/>
      <c r="S483" s="131"/>
      <c r="X483" s="4">
        <f>IF(ISNA(VLOOKUP($Y$3,Master!A$8:N$127,8,FALSE)),"",VLOOKUP($Y$3,Master!A$8:AH$127,8,FALSE))</f>
        <v>45292</v>
      </c>
      <c r="Y483" s="4" t="s">
        <v>43</v>
      </c>
    </row>
    <row r="484" spans="1:27" ht="18.75">
      <c r="E484" s="133" t="s">
        <v>10</v>
      </c>
      <c r="F484" s="133"/>
      <c r="G484" s="133"/>
      <c r="H484" s="133"/>
      <c r="I484" s="133"/>
      <c r="J484" s="132" t="str">
        <f>IF(ISNA(VLOOKUP(Y484,Master!A$8:N$127,2,FALSE)),"",VLOOKUP(Y484,Master!A$8:AH$127,2,FALSE))</f>
        <v/>
      </c>
      <c r="K484" s="132"/>
      <c r="L484" s="132"/>
      <c r="M484" s="132"/>
      <c r="N484" s="132"/>
      <c r="O484" s="60" t="s">
        <v>31</v>
      </c>
      <c r="P484" s="132" t="str">
        <f>IF(ISNA(VLOOKUP(Y484,Master!A$8:N$127,3,FALSE)),"",VLOOKUP(Y484,Master!A$8:AH$127,3,FALSE))</f>
        <v/>
      </c>
      <c r="Q484" s="132"/>
      <c r="R484" s="132"/>
      <c r="S484" s="132"/>
      <c r="X484" s="61" t="s">
        <v>49</v>
      </c>
      <c r="Y484" s="64">
        <v>40</v>
      </c>
    </row>
    <row r="485" spans="1:27" ht="8.25" customHeight="1">
      <c r="E485" s="19"/>
      <c r="F485" s="52"/>
      <c r="G485" s="22"/>
      <c r="H485" s="22"/>
      <c r="I485" s="22"/>
      <c r="J485" s="5"/>
      <c r="K485" s="5"/>
      <c r="L485" s="5"/>
      <c r="M485" s="5"/>
      <c r="N485" s="5"/>
      <c r="O485" s="6"/>
      <c r="P485" s="6"/>
    </row>
    <row r="486" spans="1:27" ht="24.75" customHeight="1">
      <c r="A486" s="157" t="s">
        <v>0</v>
      </c>
      <c r="B486" s="158" t="s">
        <v>3</v>
      </c>
      <c r="C486" s="159" t="s">
        <v>5</v>
      </c>
      <c r="D486" s="159"/>
      <c r="E486" s="159"/>
      <c r="F486" s="159"/>
      <c r="G486" s="159" t="s">
        <v>6</v>
      </c>
      <c r="H486" s="159"/>
      <c r="I486" s="159"/>
      <c r="J486" s="159"/>
      <c r="K486" s="159" t="s">
        <v>7</v>
      </c>
      <c r="L486" s="159"/>
      <c r="M486" s="159"/>
      <c r="N486" s="159"/>
      <c r="O486" s="149" t="s">
        <v>8</v>
      </c>
      <c r="P486" s="150"/>
      <c r="Q486" s="151"/>
      <c r="R486" s="162" t="s">
        <v>54</v>
      </c>
      <c r="S486" s="162" t="s">
        <v>40</v>
      </c>
    </row>
    <row r="487" spans="1:27" ht="69" customHeight="1">
      <c r="A487" s="157"/>
      <c r="B487" s="158"/>
      <c r="C487" s="54" t="s">
        <v>29</v>
      </c>
      <c r="D487" s="55" t="s">
        <v>1</v>
      </c>
      <c r="E487" s="56" t="s">
        <v>2</v>
      </c>
      <c r="F487" s="54" t="s">
        <v>46</v>
      </c>
      <c r="G487" s="54" t="s">
        <v>29</v>
      </c>
      <c r="H487" s="55" t="s">
        <v>1</v>
      </c>
      <c r="I487" s="56" t="s">
        <v>2</v>
      </c>
      <c r="J487" s="54" t="s">
        <v>47</v>
      </c>
      <c r="K487" s="54" t="s">
        <v>4</v>
      </c>
      <c r="L487" s="55" t="s">
        <v>1</v>
      </c>
      <c r="M487" s="56" t="s">
        <v>2</v>
      </c>
      <c r="N487" s="57" t="s">
        <v>48</v>
      </c>
      <c r="O487" s="53" t="s">
        <v>69</v>
      </c>
      <c r="P487" s="65" t="s">
        <v>41</v>
      </c>
      <c r="Q487" s="57" t="s">
        <v>53</v>
      </c>
      <c r="R487" s="162"/>
      <c r="S487" s="162"/>
    </row>
    <row r="488" spans="1:27" ht="18" customHeight="1">
      <c r="A488" s="7">
        <v>1</v>
      </c>
      <c r="B488" s="7">
        <v>2</v>
      </c>
      <c r="C488" s="7">
        <v>3</v>
      </c>
      <c r="D488" s="7">
        <v>4</v>
      </c>
      <c r="E488" s="7">
        <v>5</v>
      </c>
      <c r="F488" s="7">
        <v>6</v>
      </c>
      <c r="G488" s="7">
        <v>7</v>
      </c>
      <c r="H488" s="7">
        <v>8</v>
      </c>
      <c r="I488" s="7">
        <v>9</v>
      </c>
      <c r="J488" s="7">
        <v>10</v>
      </c>
      <c r="K488" s="7">
        <v>11</v>
      </c>
      <c r="L488" s="7">
        <v>12</v>
      </c>
      <c r="M488" s="7">
        <v>13</v>
      </c>
      <c r="N488" s="7">
        <v>14</v>
      </c>
      <c r="O488" s="7">
        <v>15</v>
      </c>
      <c r="P488" s="7">
        <v>17</v>
      </c>
      <c r="Q488" s="7">
        <v>18</v>
      </c>
      <c r="R488" s="7">
        <v>19</v>
      </c>
      <c r="S488" s="7">
        <v>20</v>
      </c>
    </row>
    <row r="489" spans="1:27" ht="21" customHeight="1">
      <c r="A489" s="8">
        <v>1</v>
      </c>
      <c r="B489" s="23" t="str">
        <f>IFERROR(IF(ISNA(VLOOKUP(Y484,Master!A$8:N$127,8,FALSE)),"",VLOOKUP($Y484,Master!A$8:AH$127,8,FALSE)),"")</f>
        <v/>
      </c>
      <c r="C489" s="9" t="str">
        <f>IF(ISNA(VLOOKUP(Y484,Master!A$8:N$127,5,FALSE)),"",VLOOKUP(Y484,Master!A$8:AH$127,5,FALSE))</f>
        <v/>
      </c>
      <c r="D489" s="9" t="str">
        <f>IF(AND(C489=""),"",IF(AND(Y484=""),"",ROUND(C489*Master!C$5%,0)))</f>
        <v/>
      </c>
      <c r="E489" s="9" t="str">
        <f>IF(AND(C489=""),"",IF(AND(Y484=""),"",ROUND(C489*Master!H$5%,0)))</f>
        <v/>
      </c>
      <c r="F489" s="9" t="str">
        <f t="shared" ref="F489" si="687">IF(AND(C489=""),"",SUM(C489:E489))</f>
        <v/>
      </c>
      <c r="G489" s="9" t="str">
        <f>IF(ISNA(VLOOKUP(Y484,Master!A$8:N$127,5,FALSE)),"",VLOOKUP(Y484,Master!A$8:AH$127,5,FALSE))</f>
        <v/>
      </c>
      <c r="H489" s="9" t="str">
        <f>IF(AND(G489=""),"",IF(AND(Y484=""),"",ROUND(G489*Master!C$4%,0)))</f>
        <v/>
      </c>
      <c r="I489" s="9" t="str">
        <f>IF(AND(G489=""),"",IF(AND(Y484=""),"",ROUND(G489*Master!H$4%,0)))</f>
        <v/>
      </c>
      <c r="J489" s="9" t="str">
        <f t="shared" ref="J489:J490" si="688">IF(AND(C489=""),"",SUM(G489:I489))</f>
        <v/>
      </c>
      <c r="K489" s="9" t="str">
        <f t="shared" ref="K489:K491" si="689">IF(AND(C489=""),"",IF(AND(G489=""),"",C489-G489))</f>
        <v/>
      </c>
      <c r="L489" s="9" t="str">
        <f t="shared" ref="L489:L491" si="690">IF(AND(D489=""),"",IF(AND(H489=""),"",D489-H489))</f>
        <v/>
      </c>
      <c r="M489" s="9" t="str">
        <f t="shared" ref="M489:M490" si="691">IF(AND(E489=""),"",IF(AND(I489=""),"",E489-I489))</f>
        <v/>
      </c>
      <c r="N489" s="9" t="str">
        <f t="shared" ref="N489:N490" si="692">IF(AND(F489=""),"",IF(AND(J489=""),"",F489-J489))</f>
        <v/>
      </c>
      <c r="O489" s="9" t="str">
        <f>IF(AND(C489=""),"",N489-P489)</f>
        <v/>
      </c>
      <c r="P489" s="9" t="str">
        <f>IF(AND(Y484=""),"",IF(AND(N489=""),"",ROUND(N489*AA$1%,0)))</f>
        <v/>
      </c>
      <c r="Q489" s="9" t="str">
        <f>IF(AND(Y484=""),"",IF(AND(C489=""),"",IF(AND(O489=""),"",SUM(O489,P489))))</f>
        <v/>
      </c>
      <c r="R489" s="9" t="str">
        <f>IF(AND(N489=""),"",IF(AND(Q489=""),"",N489-Q489))</f>
        <v/>
      </c>
      <c r="S489" s="20"/>
    </row>
    <row r="490" spans="1:27" ht="21" customHeight="1">
      <c r="A490" s="8">
        <v>2</v>
      </c>
      <c r="B490" s="23" t="str">
        <f>IFERROR(DATE(YEAR(B489),MONTH(B489)+1,DAY(B489)),"")</f>
        <v/>
      </c>
      <c r="C490" s="9" t="str">
        <f>IF(AND(Y484=""),"",C489)</f>
        <v/>
      </c>
      <c r="D490" s="9" t="str">
        <f>IF(AND(C490=""),"",IF(AND(Y484=""),"",ROUND(C490*Master!C$5%,0)))</f>
        <v/>
      </c>
      <c r="E490" s="9" t="str">
        <f>IF(AND(C490=""),"",IF(AND(Y484=""),"",ROUND(C490*Master!H$5%,0)))</f>
        <v/>
      </c>
      <c r="F490" s="9" t="str">
        <f>IF(AND(C490=""),"",SUM(C490:E490))</f>
        <v/>
      </c>
      <c r="G490" s="9" t="str">
        <f>IF(AND(Y484=""),"",G489)</f>
        <v/>
      </c>
      <c r="H490" s="9" t="str">
        <f>IF(AND(G490=""),"",IF(AND(Y484=""),"",ROUND(G490*Master!C$4%,0)))</f>
        <v/>
      </c>
      <c r="I490" s="9" t="str">
        <f>IF(AND(G490=""),"",IF(AND(Y484=""),"",ROUND(G490*Master!H$4%,0)))</f>
        <v/>
      </c>
      <c r="J490" s="9" t="str">
        <f t="shared" si="688"/>
        <v/>
      </c>
      <c r="K490" s="9" t="str">
        <f t="shared" si="689"/>
        <v/>
      </c>
      <c r="L490" s="9" t="str">
        <f t="shared" si="690"/>
        <v/>
      </c>
      <c r="M490" s="9" t="str">
        <f t="shared" si="691"/>
        <v/>
      </c>
      <c r="N490" s="9" t="str">
        <f t="shared" si="692"/>
        <v/>
      </c>
      <c r="O490" s="9" t="str">
        <f t="shared" ref="O490:O491" si="693">IF(AND(C490=""),"",N490-P490)</f>
        <v/>
      </c>
      <c r="P490" s="9" t="str">
        <f>IF(AND(Y484=""),"",IF(AND(N490=""),"",ROUND(N490*AA$1%,0)))</f>
        <v/>
      </c>
      <c r="Q490" s="9" t="str">
        <f>IF(AND(Y484=""),"",IF(AND(C490=""),"",IF(AND(O490=""),"",SUM(O490,P490))))</f>
        <v/>
      </c>
      <c r="R490" s="9" t="str">
        <f t="shared" ref="R490:R491" si="694">IF(AND(N490=""),"",IF(AND(Q490=""),"",N490-Q490))</f>
        <v/>
      </c>
      <c r="S490" s="20"/>
    </row>
    <row r="491" spans="1:27" ht="21" customHeight="1">
      <c r="A491" s="8">
        <v>3</v>
      </c>
      <c r="B491" s="23" t="str">
        <f>IFERROR(DATE(YEAR(B490),MONTH(B490)+1,DAY(B490)),"")</f>
        <v/>
      </c>
      <c r="C491" s="9" t="str">
        <f>IF(AND(Y484=""),"",C490)</f>
        <v/>
      </c>
      <c r="D491" s="9" t="str">
        <f>IF(AND(C491=""),"",IF(AND(Y484=""),"",ROUND(C491*Master!C$5%,0)))</f>
        <v/>
      </c>
      <c r="E491" s="9" t="str">
        <f>IF(AND(C491=""),"",IF(AND(Y484=""),"",ROUND(C491*Master!H$5%,0)))</f>
        <v/>
      </c>
      <c r="F491" s="9" t="str">
        <f t="shared" ref="F491" si="695">IF(AND(C491=""),"",SUM(C491:E491))</f>
        <v/>
      </c>
      <c r="G491" s="9" t="str">
        <f>IF(AND(Y484=""),"",G490)</f>
        <v/>
      </c>
      <c r="H491" s="9" t="str">
        <f>IF(AND(G491=""),"",IF(AND(Y484=""),"",ROUND(G491*Master!C$4%,0)))</f>
        <v/>
      </c>
      <c r="I491" s="9" t="str">
        <f>IF(AND(G491=""),"",IF(AND(Y484=""),"",ROUND(G491*Master!H$4%,0)))</f>
        <v/>
      </c>
      <c r="J491" s="9" t="str">
        <f>IF(AND(C491=""),"",SUM(G491:I491))</f>
        <v/>
      </c>
      <c r="K491" s="9" t="str">
        <f t="shared" si="689"/>
        <v/>
      </c>
      <c r="L491" s="9" t="str">
        <f t="shared" si="690"/>
        <v/>
      </c>
      <c r="M491" s="9" t="str">
        <f>IF(AND(E491=""),"",IF(AND(I491=""),"",E491-I491))</f>
        <v/>
      </c>
      <c r="N491" s="9" t="str">
        <f>IF(AND(F491=""),"",IF(AND(J491=""),"",F491-J491))</f>
        <v/>
      </c>
      <c r="O491" s="9" t="str">
        <f t="shared" si="693"/>
        <v/>
      </c>
      <c r="P491" s="9" t="str">
        <f>IF(AND(Y484=""),"",IF(AND(N491=""),"",ROUND(N491*AA$1%,0)))</f>
        <v/>
      </c>
      <c r="Q491" s="9" t="str">
        <f>IF(AND(Y484=""),"",IF(AND(C491=""),"",IF(AND(O491=""),"",SUM(O491,P491))))</f>
        <v/>
      </c>
      <c r="R491" s="9" t="str">
        <f t="shared" si="694"/>
        <v/>
      </c>
      <c r="S491" s="20"/>
    </row>
    <row r="492" spans="1:27" ht="21" customHeight="1">
      <c r="A492" s="8">
        <v>4</v>
      </c>
      <c r="B492" s="23" t="str">
        <f>IFERROR(DATE(YEAR(B491),MONTH(B491)+1,DAY(B491)),"")</f>
        <v/>
      </c>
      <c r="C492" s="9" t="str">
        <f>IF(AND(Y485=""),"",C491)</f>
        <v/>
      </c>
      <c r="D492" s="9" t="str">
        <f>IF(AND(C492=""),"",IF(AND(Y485=""),"",ROUND(C492*Master!C$5%,0)))</f>
        <v/>
      </c>
      <c r="E492" s="9" t="str">
        <f>IF(AND(C492=""),"",IF(AND(Y485=""),"",ROUND(C492*Master!H$5%,0)))</f>
        <v/>
      </c>
      <c r="F492" s="9" t="str">
        <f t="shared" ref="F492" si="696">IF(AND(C492=""),"",SUM(C492:E492))</f>
        <v/>
      </c>
      <c r="G492" s="9" t="str">
        <f>IF(AND(Y485=""),"",G491)</f>
        <v/>
      </c>
      <c r="H492" s="9" t="str">
        <f>IF(AND(G492=""),"",IF(AND(Y485=""),"",ROUND(G492*Master!C$4%,0)))</f>
        <v/>
      </c>
      <c r="I492" s="9" t="str">
        <f>IF(AND(G492=""),"",IF(AND(Y485=""),"",ROUND(G492*Master!H$4%,0)))</f>
        <v/>
      </c>
      <c r="J492" s="9" t="str">
        <f>IF(AND(C492=""),"",SUM(G492:I492))</f>
        <v/>
      </c>
      <c r="K492" s="9" t="str">
        <f t="shared" ref="K492" si="697">IF(AND(C492=""),"",IF(AND(G492=""),"",C492-G492))</f>
        <v/>
      </c>
      <c r="L492" s="9" t="str">
        <f t="shared" ref="L492" si="698">IF(AND(D492=""),"",IF(AND(H492=""),"",D492-H492))</f>
        <v/>
      </c>
      <c r="M492" s="9" t="str">
        <f>IF(AND(E492=""),"",IF(AND(I492=""),"",E492-I492))</f>
        <v/>
      </c>
      <c r="N492" s="9" t="str">
        <f>IF(AND(F492=""),"",IF(AND(J492=""),"",F492-J492))</f>
        <v/>
      </c>
      <c r="O492" s="9" t="str">
        <f t="shared" ref="O492" si="699">IF(AND(C492=""),"",N492-P492)</f>
        <v/>
      </c>
      <c r="P492" s="9" t="str">
        <f>IF(AND(Y485=""),"",IF(AND(N492=""),"",ROUND(N492*AA$1%,0)))</f>
        <v/>
      </c>
      <c r="Q492" s="9" t="str">
        <f>IF(AND(Y485=""),"",IF(AND(C492=""),"",IF(AND(O492=""),"",SUM(O492,P492))))</f>
        <v/>
      </c>
      <c r="R492" s="9" t="str">
        <f t="shared" ref="R492" si="700">IF(AND(N492=""),"",IF(AND(Q492=""),"",N492-Q492))</f>
        <v/>
      </c>
      <c r="S492" s="20"/>
    </row>
    <row r="493" spans="1:27" ht="23.25" customHeight="1">
      <c r="A493" s="153" t="s">
        <v>9</v>
      </c>
      <c r="B493" s="154"/>
      <c r="C493" s="63">
        <f>IF(AND($Y$484=""),"",SUM(C489:C492))</f>
        <v>0</v>
      </c>
      <c r="D493" s="63">
        <f t="shared" ref="D493:R493" si="701">IF(AND($Y$484=""),"",SUM(D489:D492))</f>
        <v>0</v>
      </c>
      <c r="E493" s="63">
        <f t="shared" si="701"/>
        <v>0</v>
      </c>
      <c r="F493" s="63">
        <f t="shared" si="701"/>
        <v>0</v>
      </c>
      <c r="G493" s="63">
        <f t="shared" si="701"/>
        <v>0</v>
      </c>
      <c r="H493" s="63">
        <f t="shared" si="701"/>
        <v>0</v>
      </c>
      <c r="I493" s="63">
        <f t="shared" si="701"/>
        <v>0</v>
      </c>
      <c r="J493" s="63">
        <f t="shared" si="701"/>
        <v>0</v>
      </c>
      <c r="K493" s="63">
        <f t="shared" si="701"/>
        <v>0</v>
      </c>
      <c r="L493" s="63">
        <f t="shared" si="701"/>
        <v>0</v>
      </c>
      <c r="M493" s="63">
        <f t="shared" si="701"/>
        <v>0</v>
      </c>
      <c r="N493" s="63">
        <f t="shared" si="701"/>
        <v>0</v>
      </c>
      <c r="O493" s="63">
        <f t="shared" si="701"/>
        <v>0</v>
      </c>
      <c r="P493" s="63">
        <f t="shared" si="701"/>
        <v>0</v>
      </c>
      <c r="Q493" s="63">
        <f t="shared" si="701"/>
        <v>0</v>
      </c>
      <c r="R493" s="63">
        <f t="shared" si="701"/>
        <v>0</v>
      </c>
      <c r="S493" s="49"/>
    </row>
    <row r="494" spans="1:27" ht="10.5" customHeight="1">
      <c r="A494" s="73"/>
      <c r="B494" s="73"/>
      <c r="C494" s="74"/>
      <c r="D494" s="74"/>
      <c r="E494" s="74"/>
      <c r="F494" s="74"/>
      <c r="G494" s="74"/>
      <c r="H494" s="74"/>
      <c r="I494" s="74"/>
      <c r="J494" s="74"/>
      <c r="K494" s="74"/>
      <c r="L494" s="74"/>
      <c r="M494" s="74"/>
      <c r="N494" s="74"/>
      <c r="O494" s="74"/>
      <c r="P494" s="74"/>
      <c r="Q494" s="74"/>
      <c r="R494" s="74"/>
      <c r="S494" s="75"/>
    </row>
    <row r="495" spans="1:27" ht="23.25" customHeight="1">
      <c r="E495" s="133" t="s">
        <v>10</v>
      </c>
      <c r="F495" s="133"/>
      <c r="G495" s="133"/>
      <c r="H495" s="133"/>
      <c r="I495" s="133"/>
      <c r="J495" s="132" t="str">
        <f>IF(ISNA(VLOOKUP(Y497,Master!A$8:N$127,2,FALSE)),"",VLOOKUP(Y497,Master!A$8:AH$127,2,FALSE))</f>
        <v/>
      </c>
      <c r="K495" s="132"/>
      <c r="L495" s="132"/>
      <c r="M495" s="132"/>
      <c r="N495" s="132"/>
      <c r="O495" s="60" t="s">
        <v>31</v>
      </c>
      <c r="P495" s="132" t="str">
        <f>IF(ISNA(VLOOKUP(Y497,Master!A$8:N$127,3,FALSE)),"",VLOOKUP(Y497,Master!A$8:AH$127,3,FALSE))</f>
        <v/>
      </c>
      <c r="Q495" s="132"/>
      <c r="R495" s="132"/>
      <c r="S495" s="132"/>
    </row>
    <row r="496" spans="1:27" ht="9" customHeight="1">
      <c r="E496" s="19"/>
      <c r="F496" s="52"/>
      <c r="G496" s="22"/>
      <c r="H496" s="22"/>
      <c r="I496" s="22"/>
      <c r="J496" s="5"/>
      <c r="K496" s="5"/>
      <c r="L496" s="5"/>
      <c r="M496" s="5"/>
      <c r="N496" s="5"/>
      <c r="O496" s="6"/>
      <c r="P496" s="6"/>
    </row>
    <row r="497" spans="1:25" ht="21" customHeight="1">
      <c r="A497" s="8">
        <v>1</v>
      </c>
      <c r="B497" s="23" t="str">
        <f>IFERROR(IF(ISNA(VLOOKUP(Y497,Master!A$8:N$127,8,FALSE)),"",VLOOKUP($Y497,Master!A$8:AH$127,8,FALSE)),"")</f>
        <v/>
      </c>
      <c r="C497" s="9" t="str">
        <f>IF(ISNA(VLOOKUP(Y497,Master!A$8:N$127,5,FALSE)),"",VLOOKUP(Y497,Master!A$8:AH$127,5,FALSE))</f>
        <v/>
      </c>
      <c r="D497" s="9" t="str">
        <f>IF(AND(C497=""),"",IF(AND(Y497=""),"",ROUND(C497*Master!C$5%,0)))</f>
        <v/>
      </c>
      <c r="E497" s="9" t="str">
        <f>IF(AND(C497=""),"",IF(AND(Y497=""),"",ROUND(C497*Master!H$5%,0)))</f>
        <v/>
      </c>
      <c r="F497" s="9" t="str">
        <f t="shared" ref="F497:F499" si="702">IF(AND(C497=""),"",SUM(C497:E497))</f>
        <v/>
      </c>
      <c r="G497" s="9" t="str">
        <f>IF(ISNA(VLOOKUP(Y497,Master!A$8:N$127,5,FALSE)),"",VLOOKUP(Y497,Master!A$8:AH$127,5,FALSE))</f>
        <v/>
      </c>
      <c r="H497" s="9" t="str">
        <f>IF(AND(G497=""),"",IF(AND(Y497=""),"",ROUND(G497*Master!C$4%,0)))</f>
        <v/>
      </c>
      <c r="I497" s="9" t="str">
        <f>IF(AND(G497=""),"",IF(AND(Y497=""),"",ROUND(G497*Master!H$4%,0)))</f>
        <v/>
      </c>
      <c r="J497" s="9" t="str">
        <f t="shared" ref="J497:J499" si="703">IF(AND(C497=""),"",SUM(G497:I497))</f>
        <v/>
      </c>
      <c r="K497" s="9" t="str">
        <f t="shared" ref="K497" si="704">IF(AND(C497=""),"",IF(AND(G497=""),"",C497-G497))</f>
        <v/>
      </c>
      <c r="L497" s="9" t="str">
        <f>IF(AND(D497=""),"",IF(AND(H497=""),"",D497-H497))</f>
        <v/>
      </c>
      <c r="M497" s="9" t="str">
        <f t="shared" ref="M497:M499" si="705">IF(AND(E497=""),"",IF(AND(I497=""),"",E497-I497))</f>
        <v/>
      </c>
      <c r="N497" s="9" t="str">
        <f t="shared" ref="N497:N499" si="706">IF(AND(F497=""),"",IF(AND(J497=""),"",F497-J497))</f>
        <v/>
      </c>
      <c r="O497" s="9" t="str">
        <f>IF(AND(C497=""),"",N497-P497)</f>
        <v/>
      </c>
      <c r="P497" s="9" t="str">
        <f>IF(AND(Y497=""),"",IF(AND(N497=""),"",ROUND(N497*X$17%,0)))</f>
        <v/>
      </c>
      <c r="Q497" s="9" t="str">
        <f>IF(AND(Y497=""),"",IF(AND(C497=""),"",IF(AND(O497=""),"",SUM(O497,P497))))</f>
        <v/>
      </c>
      <c r="R497" s="9" t="str">
        <f>IF(AND(N497=""),"",IF(AND(Q497=""),"",N497-Q497))</f>
        <v/>
      </c>
      <c r="S497" s="20"/>
      <c r="X497" s="61" t="s">
        <v>49</v>
      </c>
      <c r="Y497" s="64">
        <v>41</v>
      </c>
    </row>
    <row r="498" spans="1:25" ht="21" customHeight="1">
      <c r="A498" s="8">
        <v>2</v>
      </c>
      <c r="B498" s="23" t="str">
        <f>IFERROR(DATE(YEAR(B497),MONTH(B497)+1,DAY(B497)),"")</f>
        <v/>
      </c>
      <c r="C498" s="9" t="str">
        <f>IF(AND(Y497=""),"",C497)</f>
        <v/>
      </c>
      <c r="D498" s="9" t="str">
        <f>IF(AND(C498=""),"",IF(AND(Y497=""),"",ROUND(C498*Master!C$5%,0)))</f>
        <v/>
      </c>
      <c r="E498" s="9" t="str">
        <f>IF(AND(C498=""),"",IF(AND(Y497=""),"",ROUND(C498*Master!H$5%,0)))</f>
        <v/>
      </c>
      <c r="F498" s="9" t="str">
        <f t="shared" si="702"/>
        <v/>
      </c>
      <c r="G498" s="9" t="str">
        <f>IF(AND(Y497=""),"",G497)</f>
        <v/>
      </c>
      <c r="H498" s="9" t="str">
        <f>IF(AND(G498=""),"",IF(AND(Y497=""),"",ROUND(G498*Master!C$4%,0)))</f>
        <v/>
      </c>
      <c r="I498" s="9" t="str">
        <f>IF(AND(G498=""),"",IF(AND(Y497=""),"",ROUND(G498*Master!H$4%,0)))</f>
        <v/>
      </c>
      <c r="J498" s="9" t="str">
        <f t="shared" si="703"/>
        <v/>
      </c>
      <c r="K498" s="9" t="str">
        <f>IF(AND(C498=""),"",IF(AND(G498=""),"",C498-G498))</f>
        <v/>
      </c>
      <c r="L498" s="9" t="str">
        <f t="shared" ref="L498:L499" si="707">IF(AND(D498=""),"",IF(AND(H498=""),"",D498-H498))</f>
        <v/>
      </c>
      <c r="M498" s="9" t="str">
        <f t="shared" si="705"/>
        <v/>
      </c>
      <c r="N498" s="9" t="str">
        <f t="shared" si="706"/>
        <v/>
      </c>
      <c r="O498" s="9" t="str">
        <f t="shared" ref="O498:O499" si="708">IF(AND(C498=""),"",N498-P498)</f>
        <v/>
      </c>
      <c r="P498" s="9" t="str">
        <f>IF(AND(Y497=""),"",IF(AND(N498=""),"",ROUND(N498*X$17%,0)))</f>
        <v/>
      </c>
      <c r="Q498" s="9" t="str">
        <f>IF(AND(Y497=""),"",IF(AND(C498=""),"",IF(AND(O498=""),"",SUM(O498,P498))))</f>
        <v/>
      </c>
      <c r="R498" s="9" t="str">
        <f t="shared" ref="R498:R499" si="709">IF(AND(N498=""),"",IF(AND(Q498=""),"",N498-Q498))</f>
        <v/>
      </c>
      <c r="S498" s="20"/>
      <c r="X498" s="4" t="str">
        <f>IF(ISNA(VLOOKUP(Y497,Master!A$8:N$127,7,FALSE)),"",VLOOKUP(Y497,Master!A$8:AH$127,7,FALSE))</f>
        <v/>
      </c>
    </row>
    <row r="499" spans="1:25" ht="21" customHeight="1">
      <c r="A499" s="8">
        <v>3</v>
      </c>
      <c r="B499" s="23" t="str">
        <f>IFERROR(DATE(YEAR(B498),MONTH(B498)+1,DAY(B498)),"")</f>
        <v/>
      </c>
      <c r="C499" s="9" t="str">
        <f>IF(AND(Y497=""),"",C498)</f>
        <v/>
      </c>
      <c r="D499" s="9" t="str">
        <f>IF(AND(C499=""),"",IF(AND(Y497=""),"",ROUND(C499*Master!C$5%,0)))</f>
        <v/>
      </c>
      <c r="E499" s="9" t="str">
        <f>IF(AND(C499=""),"",IF(AND(Y497=""),"",ROUND(C499*Master!H$5%,0)))</f>
        <v/>
      </c>
      <c r="F499" s="9" t="str">
        <f t="shared" si="702"/>
        <v/>
      </c>
      <c r="G499" s="9" t="str">
        <f>IF(AND(Y497=""),"",G498)</f>
        <v/>
      </c>
      <c r="H499" s="9" t="str">
        <f>IF(AND(G499=""),"",IF(AND(Y497=""),"",ROUND(G499*Master!C$4%,0)))</f>
        <v/>
      </c>
      <c r="I499" s="9" t="str">
        <f>IF(AND(G499=""),"",IF(AND(Y497=""),"",ROUND(G499*Master!H$4%,0)))</f>
        <v/>
      </c>
      <c r="J499" s="9" t="str">
        <f t="shared" si="703"/>
        <v/>
      </c>
      <c r="K499" s="9" t="str">
        <f t="shared" ref="K499" si="710">IF(AND(C499=""),"",IF(AND(G499=""),"",C499-G499))</f>
        <v/>
      </c>
      <c r="L499" s="9" t="str">
        <f t="shared" si="707"/>
        <v/>
      </c>
      <c r="M499" s="9" t="str">
        <f t="shared" si="705"/>
        <v/>
      </c>
      <c r="N499" s="9" t="str">
        <f t="shared" si="706"/>
        <v/>
      </c>
      <c r="O499" s="9" t="str">
        <f t="shared" si="708"/>
        <v/>
      </c>
      <c r="P499" s="9" t="str">
        <f>IF(AND(Y497=""),"",IF(AND(N499=""),"",ROUND(N499*X$17%,0)))</f>
        <v/>
      </c>
      <c r="Q499" s="9" t="str">
        <f>IF(AND(Y497=""),"",IF(AND(C499=""),"",IF(AND(O499=""),"",SUM(O499,P499))))</f>
        <v/>
      </c>
      <c r="R499" s="9" t="str">
        <f t="shared" si="709"/>
        <v/>
      </c>
      <c r="S499" s="20"/>
    </row>
    <row r="500" spans="1:25" ht="21" customHeight="1">
      <c r="A500" s="8">
        <v>4</v>
      </c>
      <c r="B500" s="23" t="str">
        <f>IFERROR(DATE(YEAR(B499),MONTH(B499)+1,DAY(B499)),"")</f>
        <v/>
      </c>
      <c r="C500" s="9" t="str">
        <f>IF(AND(Y498=""),"",C499)</f>
        <v/>
      </c>
      <c r="D500" s="9" t="str">
        <f>IF(AND(C500=""),"",IF(AND(Y498=""),"",ROUND(C500*Master!C$5%,0)))</f>
        <v/>
      </c>
      <c r="E500" s="9" t="str">
        <f>IF(AND(C500=""),"",IF(AND(Y498=""),"",ROUND(C500*Master!H$5%,0)))</f>
        <v/>
      </c>
      <c r="F500" s="9" t="str">
        <f t="shared" ref="F500" si="711">IF(AND(C500=""),"",SUM(C500:E500))</f>
        <v/>
      </c>
      <c r="G500" s="9" t="str">
        <f>IF(AND(Y498=""),"",G499)</f>
        <v/>
      </c>
      <c r="H500" s="9" t="str">
        <f>IF(AND(G500=""),"",IF(AND(Y498=""),"",ROUND(G500*Master!C$4%,0)))</f>
        <v/>
      </c>
      <c r="I500" s="9" t="str">
        <f>IF(AND(G500=""),"",IF(AND(Y498=""),"",ROUND(G500*Master!H$4%,0)))</f>
        <v/>
      </c>
      <c r="J500" s="9" t="str">
        <f t="shared" ref="J500" si="712">IF(AND(C500=""),"",SUM(G500:I500))</f>
        <v/>
      </c>
      <c r="K500" s="9" t="str">
        <f t="shared" ref="K500" si="713">IF(AND(C500=""),"",IF(AND(G500=""),"",C500-G500))</f>
        <v/>
      </c>
      <c r="L500" s="9" t="str">
        <f t="shared" ref="L500" si="714">IF(AND(D500=""),"",IF(AND(H500=""),"",D500-H500))</f>
        <v/>
      </c>
      <c r="M500" s="9" t="str">
        <f t="shared" ref="M500" si="715">IF(AND(E500=""),"",IF(AND(I500=""),"",E500-I500))</f>
        <v/>
      </c>
      <c r="N500" s="9" t="str">
        <f t="shared" ref="N500" si="716">IF(AND(F500=""),"",IF(AND(J500=""),"",F500-J500))</f>
        <v/>
      </c>
      <c r="O500" s="9" t="str">
        <f t="shared" ref="O500" si="717">IF(AND(C500=""),"",N500-P500)</f>
        <v/>
      </c>
      <c r="P500" s="9" t="str">
        <f>IF(AND(Y498=""),"",IF(AND(N500=""),"",ROUND(N500*X$17%,0)))</f>
        <v/>
      </c>
      <c r="Q500" s="9" t="str">
        <f>IF(AND(Y498=""),"",IF(AND(C500=""),"",IF(AND(O500=""),"",SUM(O500,P500))))</f>
        <v/>
      </c>
      <c r="R500" s="9" t="str">
        <f t="shared" ref="R500" si="718">IF(AND(N500=""),"",IF(AND(Q500=""),"",N500-Q500))</f>
        <v/>
      </c>
      <c r="S500" s="20"/>
    </row>
    <row r="501" spans="1:25" ht="30.75" customHeight="1">
      <c r="A501" s="153" t="s">
        <v>9</v>
      </c>
      <c r="B501" s="154"/>
      <c r="C501" s="63">
        <f>IF(AND($Y$497=""),"",SUM(C497:C500))</f>
        <v>0</v>
      </c>
      <c r="D501" s="63">
        <f t="shared" ref="D501:R501" si="719">IF(AND($Y$497=""),"",SUM(D497:D500))</f>
        <v>0</v>
      </c>
      <c r="E501" s="63">
        <f t="shared" si="719"/>
        <v>0</v>
      </c>
      <c r="F501" s="63">
        <f t="shared" si="719"/>
        <v>0</v>
      </c>
      <c r="G501" s="63">
        <f t="shared" si="719"/>
        <v>0</v>
      </c>
      <c r="H501" s="63">
        <f t="shared" si="719"/>
        <v>0</v>
      </c>
      <c r="I501" s="63">
        <f t="shared" si="719"/>
        <v>0</v>
      </c>
      <c r="J501" s="63">
        <f t="shared" si="719"/>
        <v>0</v>
      </c>
      <c r="K501" s="63">
        <f t="shared" si="719"/>
        <v>0</v>
      </c>
      <c r="L501" s="63">
        <f t="shared" si="719"/>
        <v>0</v>
      </c>
      <c r="M501" s="63">
        <f t="shared" si="719"/>
        <v>0</v>
      </c>
      <c r="N501" s="63">
        <f t="shared" si="719"/>
        <v>0</v>
      </c>
      <c r="O501" s="63">
        <f t="shared" si="719"/>
        <v>0</v>
      </c>
      <c r="P501" s="63">
        <f t="shared" si="719"/>
        <v>0</v>
      </c>
      <c r="Q501" s="63">
        <f t="shared" si="719"/>
        <v>0</v>
      </c>
      <c r="R501" s="63">
        <f t="shared" si="719"/>
        <v>0</v>
      </c>
      <c r="S501" s="49"/>
    </row>
    <row r="502" spans="1:25" ht="11.25" customHeight="1">
      <c r="A502" s="73"/>
      <c r="B502" s="73"/>
      <c r="C502" s="74"/>
      <c r="D502" s="74"/>
      <c r="E502" s="74"/>
      <c r="F502" s="74"/>
      <c r="G502" s="74"/>
      <c r="H502" s="74"/>
      <c r="I502" s="74"/>
      <c r="J502" s="74"/>
      <c r="K502" s="74"/>
      <c r="L502" s="74"/>
      <c r="M502" s="74"/>
      <c r="N502" s="74"/>
      <c r="O502" s="74"/>
      <c r="P502" s="74"/>
      <c r="Q502" s="74"/>
      <c r="R502" s="74"/>
      <c r="S502" s="75"/>
    </row>
    <row r="503" spans="1:25" ht="23.25" customHeight="1">
      <c r="E503" s="133" t="s">
        <v>10</v>
      </c>
      <c r="F503" s="133"/>
      <c r="G503" s="133"/>
      <c r="H503" s="133"/>
      <c r="I503" s="133"/>
      <c r="J503" s="132" t="str">
        <f>IF(ISNA(VLOOKUP(Y505,Master!A$8:N$127,2,FALSE)),"",VLOOKUP(Y505,Master!A$8:AH$127,2,FALSE))</f>
        <v/>
      </c>
      <c r="K503" s="132"/>
      <c r="L503" s="132"/>
      <c r="M503" s="132"/>
      <c r="N503" s="132"/>
      <c r="O503" s="60" t="s">
        <v>31</v>
      </c>
      <c r="P503" s="132" t="str">
        <f>IF(ISNA(VLOOKUP($Y$431,Master!A$8:N$127,3,FALSE)),"",VLOOKUP($Y$431,Master!A$8:AH$127,3,FALSE))</f>
        <v/>
      </c>
      <c r="Q503" s="132"/>
      <c r="R503" s="132"/>
      <c r="S503" s="132"/>
    </row>
    <row r="504" spans="1:25" ht="9" customHeight="1">
      <c r="E504" s="19"/>
      <c r="F504" s="52"/>
      <c r="G504" s="22"/>
      <c r="H504" s="22"/>
      <c r="I504" s="22"/>
      <c r="J504" s="5"/>
      <c r="K504" s="5"/>
      <c r="L504" s="5"/>
      <c r="M504" s="5"/>
      <c r="N504" s="5"/>
      <c r="O504" s="6"/>
      <c r="P504" s="6"/>
    </row>
    <row r="505" spans="1:25" ht="21" customHeight="1">
      <c r="A505" s="8">
        <v>1</v>
      </c>
      <c r="B505" s="23" t="str">
        <f>IFERROR(IF(ISNA(VLOOKUP(Y505,Master!A$8:N$127,8,FALSE)),"",VLOOKUP($Y505,Master!A$8:AH$127,8,FALSE)),"")</f>
        <v/>
      </c>
      <c r="C505" s="9" t="str">
        <f>IF(ISNA(VLOOKUP(Y505,Master!A$8:N$127,5,FALSE)),"",VLOOKUP(Y505,Master!A$8:AH$127,5,FALSE))</f>
        <v/>
      </c>
      <c r="D505" s="9" t="str">
        <f>IF(AND(C505=""),"",IF(AND(Y505=""),"",ROUND(C505*Master!C$5%,0)))</f>
        <v/>
      </c>
      <c r="E505" s="9" t="str">
        <f>IF(AND(C505=""),"",IF(AND(Y505=""),"",ROUND(C505*Master!H$5%,0)))</f>
        <v/>
      </c>
      <c r="F505" s="9" t="str">
        <f t="shared" ref="F505:F507" si="720">IF(AND(C505=""),"",SUM(C505:E505))</f>
        <v/>
      </c>
      <c r="G505" s="9" t="str">
        <f>IF(ISNA(VLOOKUP(Y505,Master!A$8:N$127,5,FALSE)),"",VLOOKUP(Y505,Master!A$8:AH$127,5,FALSE))</f>
        <v/>
      </c>
      <c r="H505" s="9" t="str">
        <f>IF(AND(G505=""),"",IF(AND(Y505=""),"",ROUND(G505*Master!C$4%,0)))</f>
        <v/>
      </c>
      <c r="I505" s="9" t="str">
        <f>IF(AND(G505=""),"",IF(AND(Y505=""),"",ROUND(G505*Master!H$4%,0)))</f>
        <v/>
      </c>
      <c r="J505" s="9" t="str">
        <f t="shared" ref="J505:J507" si="721">IF(AND(C505=""),"",SUM(G505:I505))</f>
        <v/>
      </c>
      <c r="K505" s="9" t="str">
        <f t="shared" ref="K505:K507" si="722">IF(AND(C505=""),"",IF(AND(G505=""),"",C505-G505))</f>
        <v/>
      </c>
      <c r="L505" s="9" t="str">
        <f t="shared" ref="L505:L507" si="723">IF(AND(D505=""),"",IF(AND(H505=""),"",D505-H505))</f>
        <v/>
      </c>
      <c r="M505" s="9" t="str">
        <f t="shared" ref="M505:M507" si="724">IF(AND(E505=""),"",IF(AND(I505=""),"",E505-I505))</f>
        <v/>
      </c>
      <c r="N505" s="9" t="str">
        <f t="shared" ref="N505:N507" si="725">IF(AND(F505=""),"",IF(AND(J505=""),"",F505-J505))</f>
        <v/>
      </c>
      <c r="O505" s="9" t="str">
        <f>IF(AND(C505=""),"",N505-P505)</f>
        <v/>
      </c>
      <c r="P505" s="9" t="str">
        <f>IF(AND(Y505=""),"",IF(AND(N505=""),"",ROUND(N505*AA$1%,0)))</f>
        <v/>
      </c>
      <c r="Q505" s="9" t="str">
        <f>IF(AND(Y505=""),"",IF(AND(C505=""),"",IF(AND(O505=""),"",SUM(O505,P505))))</f>
        <v/>
      </c>
      <c r="R505" s="9" t="str">
        <f>IF(AND(N505=""),"",IF(AND(Q505=""),"",N505-Q505))</f>
        <v/>
      </c>
      <c r="S505" s="20"/>
      <c r="X505" s="61" t="s">
        <v>49</v>
      </c>
      <c r="Y505" s="64">
        <v>42</v>
      </c>
    </row>
    <row r="506" spans="1:25" ht="21" customHeight="1">
      <c r="A506" s="8">
        <v>2</v>
      </c>
      <c r="B506" s="23" t="str">
        <f>IFERROR(DATE(YEAR(B505),MONTH(B505)+1,DAY(B505)),"")</f>
        <v/>
      </c>
      <c r="C506" s="9" t="str">
        <f>IF(AND(Y505=""),"",C505)</f>
        <v/>
      </c>
      <c r="D506" s="9" t="str">
        <f>IF(AND(C506=""),"",IF(AND(Y505=""),"",ROUND(C506*Master!C$5%,0)))</f>
        <v/>
      </c>
      <c r="E506" s="9" t="str">
        <f>IF(AND(C506=""),"",IF(AND(Y505=""),"",ROUND(C506*Master!H$5%,0)))</f>
        <v/>
      </c>
      <c r="F506" s="9" t="str">
        <f t="shared" si="720"/>
        <v/>
      </c>
      <c r="G506" s="9" t="str">
        <f>IF(AND(Y505=""),"",G505)</f>
        <v/>
      </c>
      <c r="H506" s="9" t="str">
        <f>IF(AND(G506=""),"",IF(AND(Y505=""),"",ROUND(G506*Master!C$4%,0)))</f>
        <v/>
      </c>
      <c r="I506" s="9" t="str">
        <f>IF(AND(G506=""),"",IF(AND(Y505=""),"",ROUND(G506*Master!H$4%,0)))</f>
        <v/>
      </c>
      <c r="J506" s="9" t="str">
        <f t="shared" si="721"/>
        <v/>
      </c>
      <c r="K506" s="9" t="str">
        <f t="shared" si="722"/>
        <v/>
      </c>
      <c r="L506" s="9" t="str">
        <f t="shared" si="723"/>
        <v/>
      </c>
      <c r="M506" s="9" t="str">
        <f t="shared" si="724"/>
        <v/>
      </c>
      <c r="N506" s="9" t="str">
        <f t="shared" si="725"/>
        <v/>
      </c>
      <c r="O506" s="9" t="str">
        <f t="shared" ref="O506:O507" si="726">IF(AND(C506=""),"",N506-P506)</f>
        <v/>
      </c>
      <c r="P506" s="9" t="str">
        <f>IF(AND(Y505=""),"",IF(AND(N506=""),"",ROUND(N506*AA$1%,0)))</f>
        <v/>
      </c>
      <c r="Q506" s="9" t="str">
        <f>IF(AND(Y505=""),"",IF(AND(C506=""),"",IF(AND(O506=""),"",SUM(O506,P506))))</f>
        <v/>
      </c>
      <c r="R506" s="9" t="str">
        <f t="shared" ref="R506:R507" si="727">IF(AND(N506=""),"",IF(AND(Q506=""),"",N506-Q506))</f>
        <v/>
      </c>
      <c r="S506" s="20"/>
      <c r="X506" s="4" t="str">
        <f>IF(ISNA(VLOOKUP(Y505,Master!A$8:N$127,7,FALSE)),"",VLOOKUP(Y505,Master!A$8:AH$127,7,FALSE))</f>
        <v/>
      </c>
    </row>
    <row r="507" spans="1:25" ht="21" customHeight="1">
      <c r="A507" s="8">
        <v>3</v>
      </c>
      <c r="B507" s="23" t="str">
        <f>IFERROR(DATE(YEAR(B506),MONTH(B506)+1,DAY(B506)),"")</f>
        <v/>
      </c>
      <c r="C507" s="9" t="str">
        <f>IF(AND(Y505=""),"",C506)</f>
        <v/>
      </c>
      <c r="D507" s="9" t="str">
        <f>IF(AND(C507=""),"",IF(AND(Y505=""),"",ROUND(C507*Master!C$5%,0)))</f>
        <v/>
      </c>
      <c r="E507" s="9" t="str">
        <f>IF(AND(C507=""),"",IF(AND(Y505=""),"",ROUND(C507*Master!H$5%,0)))</f>
        <v/>
      </c>
      <c r="F507" s="9" t="str">
        <f t="shared" si="720"/>
        <v/>
      </c>
      <c r="G507" s="9" t="str">
        <f>IF(AND(Y505=""),"",G506)</f>
        <v/>
      </c>
      <c r="H507" s="9" t="str">
        <f>IF(AND(G507=""),"",IF(AND(Y505=""),"",ROUND(G507*Master!C$4%,0)))</f>
        <v/>
      </c>
      <c r="I507" s="9" t="str">
        <f>IF(AND(G507=""),"",IF(AND(Y505=""),"",ROUND(G507*Master!H$4%,0)))</f>
        <v/>
      </c>
      <c r="J507" s="9" t="str">
        <f t="shared" si="721"/>
        <v/>
      </c>
      <c r="K507" s="9" t="str">
        <f t="shared" si="722"/>
        <v/>
      </c>
      <c r="L507" s="9" t="str">
        <f t="shared" si="723"/>
        <v/>
      </c>
      <c r="M507" s="9" t="str">
        <f t="shared" si="724"/>
        <v/>
      </c>
      <c r="N507" s="9" t="str">
        <f t="shared" si="725"/>
        <v/>
      </c>
      <c r="O507" s="9" t="str">
        <f t="shared" si="726"/>
        <v/>
      </c>
      <c r="P507" s="9" t="str">
        <f>IF(AND(Y505=""),"",IF(AND(N507=""),"",ROUND(N507*AA$1%,0)))</f>
        <v/>
      </c>
      <c r="Q507" s="9" t="str">
        <f>IF(AND(Y505=""),"",IF(AND(C507=""),"",IF(AND(O507=""),"",SUM(O507,P507))))</f>
        <v/>
      </c>
      <c r="R507" s="9" t="str">
        <f t="shared" si="727"/>
        <v/>
      </c>
      <c r="S507" s="20"/>
    </row>
    <row r="508" spans="1:25" ht="21" customHeight="1">
      <c r="A508" s="8">
        <v>4</v>
      </c>
      <c r="B508" s="23" t="str">
        <f>IFERROR(DATE(YEAR(B507),MONTH(B507)+1,DAY(B507)),"")</f>
        <v/>
      </c>
      <c r="C508" s="9" t="str">
        <f>IF(AND(Y506=""),"",C507)</f>
        <v/>
      </c>
      <c r="D508" s="9" t="str">
        <f>IF(AND(C508=""),"",IF(AND(Y506=""),"",ROUND(C508*Master!C$5%,0)))</f>
        <v/>
      </c>
      <c r="E508" s="9" t="str">
        <f>IF(AND(C508=""),"",IF(AND(Y506=""),"",ROUND(C508*Master!H$5%,0)))</f>
        <v/>
      </c>
      <c r="F508" s="9" t="str">
        <f t="shared" ref="F508" si="728">IF(AND(C508=""),"",SUM(C508:E508))</f>
        <v/>
      </c>
      <c r="G508" s="9" t="str">
        <f>IF(AND(Y506=""),"",G507)</f>
        <v/>
      </c>
      <c r="H508" s="9" t="str">
        <f>IF(AND(G508=""),"",IF(AND(Y506=""),"",ROUND(G508*Master!C$4%,0)))</f>
        <v/>
      </c>
      <c r="I508" s="9" t="str">
        <f>IF(AND(G508=""),"",IF(AND(Y506=""),"",ROUND(G508*Master!H$4%,0)))</f>
        <v/>
      </c>
      <c r="J508" s="9" t="str">
        <f t="shared" ref="J508" si="729">IF(AND(C508=""),"",SUM(G508:I508))</f>
        <v/>
      </c>
      <c r="K508" s="9" t="str">
        <f t="shared" ref="K508" si="730">IF(AND(C508=""),"",IF(AND(G508=""),"",C508-G508))</f>
        <v/>
      </c>
      <c r="L508" s="9" t="str">
        <f t="shared" ref="L508" si="731">IF(AND(D508=""),"",IF(AND(H508=""),"",D508-H508))</f>
        <v/>
      </c>
      <c r="M508" s="9" t="str">
        <f t="shared" ref="M508" si="732">IF(AND(E508=""),"",IF(AND(I508=""),"",E508-I508))</f>
        <v/>
      </c>
      <c r="N508" s="9" t="str">
        <f t="shared" ref="N508" si="733">IF(AND(F508=""),"",IF(AND(J508=""),"",F508-J508))</f>
        <v/>
      </c>
      <c r="O508" s="9" t="str">
        <f t="shared" ref="O508" si="734">IF(AND(C508=""),"",N508-P508)</f>
        <v/>
      </c>
      <c r="P508" s="9" t="str">
        <f>IF(AND(Y506=""),"",IF(AND(N508=""),"",ROUND(N508*AA$1%,0)))</f>
        <v/>
      </c>
      <c r="Q508" s="9" t="str">
        <f>IF(AND(Y506=""),"",IF(AND(C508=""),"",IF(AND(O508=""),"",SUM(O508,P508))))</f>
        <v/>
      </c>
      <c r="R508" s="9" t="str">
        <f t="shared" ref="R508" si="735">IF(AND(N508=""),"",IF(AND(Q508=""),"",N508-Q508))</f>
        <v/>
      </c>
      <c r="S508" s="20"/>
    </row>
    <row r="509" spans="1:25" ht="30.75" customHeight="1">
      <c r="A509" s="153" t="s">
        <v>9</v>
      </c>
      <c r="B509" s="154"/>
      <c r="C509" s="63">
        <f>IF(AND($Y$505=""),"",SUM(C505:C508))</f>
        <v>0</v>
      </c>
      <c r="D509" s="63">
        <f t="shared" ref="D509:Q509" si="736">IF(AND($Y$505=""),"",SUM(D505:D508))</f>
        <v>0</v>
      </c>
      <c r="E509" s="63">
        <f t="shared" si="736"/>
        <v>0</v>
      </c>
      <c r="F509" s="63">
        <f t="shared" si="736"/>
        <v>0</v>
      </c>
      <c r="G509" s="63">
        <f t="shared" si="736"/>
        <v>0</v>
      </c>
      <c r="H509" s="63">
        <f t="shared" si="736"/>
        <v>0</v>
      </c>
      <c r="I509" s="63">
        <f t="shared" si="736"/>
        <v>0</v>
      </c>
      <c r="J509" s="63">
        <f t="shared" si="736"/>
        <v>0</v>
      </c>
      <c r="K509" s="63">
        <f t="shared" si="736"/>
        <v>0</v>
      </c>
      <c r="L509" s="63">
        <f t="shared" si="736"/>
        <v>0</v>
      </c>
      <c r="M509" s="63">
        <f t="shared" si="736"/>
        <v>0</v>
      </c>
      <c r="N509" s="63">
        <f t="shared" si="736"/>
        <v>0</v>
      </c>
      <c r="O509" s="63">
        <f t="shared" si="736"/>
        <v>0</v>
      </c>
      <c r="P509" s="63">
        <f t="shared" si="736"/>
        <v>0</v>
      </c>
      <c r="Q509" s="63">
        <f t="shared" si="736"/>
        <v>0</v>
      </c>
      <c r="R509" s="63">
        <f>IF(AND($Y$505=""),"",SUM(R505:R508))</f>
        <v>0</v>
      </c>
      <c r="S509" s="49"/>
    </row>
    <row r="510" spans="1:25" ht="30.75" customHeight="1">
      <c r="A510" s="73"/>
      <c r="B510" s="73"/>
      <c r="C510" s="74"/>
      <c r="D510" s="74"/>
      <c r="E510" s="74"/>
      <c r="F510" s="74"/>
      <c r="G510" s="74"/>
      <c r="H510" s="74"/>
      <c r="I510" s="74"/>
      <c r="J510" s="74"/>
      <c r="K510" s="74"/>
      <c r="L510" s="74"/>
      <c r="M510" s="74"/>
      <c r="N510" s="74"/>
      <c r="O510" s="74"/>
      <c r="P510" s="74"/>
      <c r="Q510" s="74"/>
      <c r="R510" s="74"/>
      <c r="S510" s="75"/>
    </row>
    <row r="511" spans="1:25" ht="18.75">
      <c r="A511" s="21"/>
      <c r="B511" s="58"/>
      <c r="C511" s="58"/>
      <c r="D511" s="58"/>
      <c r="E511" s="58"/>
      <c r="F511" s="58"/>
      <c r="G511" s="58"/>
      <c r="H511" s="59"/>
      <c r="I511" s="59"/>
      <c r="J511" s="59"/>
      <c r="K511" s="66"/>
      <c r="L511" s="66"/>
      <c r="M511" s="66"/>
      <c r="N511" s="66"/>
      <c r="O511" s="138" t="s">
        <v>42</v>
      </c>
      <c r="P511" s="138"/>
      <c r="Q511" s="138"/>
      <c r="R511" s="138"/>
      <c r="S511" s="138"/>
    </row>
    <row r="512" spans="1:25" ht="18.75">
      <c r="A512" s="1"/>
      <c r="B512" s="24" t="s">
        <v>19</v>
      </c>
      <c r="C512" s="139"/>
      <c r="D512" s="139"/>
      <c r="E512" s="139"/>
      <c r="F512" s="139"/>
      <c r="G512" s="139"/>
      <c r="H512" s="25"/>
      <c r="I512" s="143" t="s">
        <v>20</v>
      </c>
      <c r="J512" s="143"/>
      <c r="K512" s="141"/>
      <c r="L512" s="141"/>
      <c r="M512" s="141"/>
      <c r="O512" s="138"/>
      <c r="P512" s="138"/>
      <c r="Q512" s="138"/>
      <c r="R512" s="138"/>
      <c r="S512" s="138"/>
    </row>
    <row r="513" spans="1:27" ht="18.75">
      <c r="A513" s="1"/>
      <c r="B513" s="140" t="s">
        <v>21</v>
      </c>
      <c r="C513" s="140"/>
      <c r="D513" s="140"/>
      <c r="E513" s="140"/>
      <c r="F513" s="140"/>
      <c r="G513" s="140"/>
      <c r="H513" s="140"/>
      <c r="I513" s="27"/>
      <c r="J513" s="26"/>
      <c r="K513" s="26"/>
      <c r="L513" s="26"/>
      <c r="M513" s="26"/>
    </row>
    <row r="514" spans="1:27" ht="18.75">
      <c r="A514" s="22">
        <v>1</v>
      </c>
      <c r="B514" s="142" t="s">
        <v>22</v>
      </c>
      <c r="C514" s="142"/>
      <c r="D514" s="142"/>
      <c r="E514" s="142"/>
      <c r="F514" s="142"/>
      <c r="G514" s="142"/>
      <c r="H514" s="142"/>
      <c r="I514" s="28"/>
      <c r="J514" s="26"/>
      <c r="K514" s="26"/>
      <c r="L514" s="26"/>
      <c r="M514" s="26"/>
    </row>
    <row r="515" spans="1:27" ht="18.75">
      <c r="A515" s="2">
        <v>2</v>
      </c>
      <c r="B515" s="142" t="s">
        <v>23</v>
      </c>
      <c r="C515" s="142"/>
      <c r="D515" s="142"/>
      <c r="E515" s="142"/>
      <c r="F515" s="142"/>
      <c r="G515" s="132"/>
      <c r="H515" s="132"/>
      <c r="I515" s="132"/>
      <c r="J515" s="132"/>
      <c r="K515" s="132"/>
      <c r="L515" s="132"/>
      <c r="M515" s="132"/>
    </row>
    <row r="516" spans="1:27" ht="18.75">
      <c r="A516" s="3">
        <v>3</v>
      </c>
      <c r="B516" s="142" t="s">
        <v>24</v>
      </c>
      <c r="C516" s="142"/>
      <c r="D516" s="142"/>
      <c r="E516" s="29"/>
      <c r="F516" s="28"/>
      <c r="G516" s="28"/>
      <c r="H516" s="30"/>
      <c r="I516" s="31"/>
      <c r="J516" s="26"/>
      <c r="K516" s="26"/>
      <c r="L516" s="26"/>
      <c r="M516" s="26"/>
    </row>
    <row r="517" spans="1:27" ht="15.75">
      <c r="O517" s="138" t="s">
        <v>42</v>
      </c>
      <c r="P517" s="138"/>
      <c r="Q517" s="138"/>
      <c r="R517" s="138"/>
      <c r="S517" s="138"/>
    </row>
    <row r="519" spans="1:27" ht="18" customHeight="1">
      <c r="A519" s="148" t="str">
        <f>A482</f>
        <v xml:space="preserve">DA (46% to 50%) Drawn Statement  </v>
      </c>
      <c r="B519" s="148"/>
      <c r="C519" s="148"/>
      <c r="D519" s="148"/>
      <c r="E519" s="148"/>
      <c r="F519" s="148"/>
      <c r="G519" s="148"/>
      <c r="H519" s="148"/>
      <c r="I519" s="148"/>
      <c r="J519" s="148"/>
      <c r="K519" s="148"/>
      <c r="L519" s="148"/>
      <c r="M519" s="148"/>
      <c r="N519" s="148"/>
      <c r="O519" s="148"/>
      <c r="P519" s="148"/>
      <c r="Q519" s="148"/>
      <c r="R519" s="148"/>
      <c r="S519" s="148"/>
      <c r="W519" s="4">
        <f>IF(ISNA(VLOOKUP($Y$3,Master!A$8:N$127,4,FALSE)),"",VLOOKUP($Y$3,Master!A$8:AH$127,4,FALSE))</f>
        <v>2</v>
      </c>
      <c r="X519" s="4" t="str">
        <f>IF(ISNA(VLOOKUP($Y$3,Master!A$8:N$127,6,FALSE)),"",VLOOKUP($Y$3,Master!A$8:AH$127,6,FALSE))</f>
        <v>GPF-2004</v>
      </c>
      <c r="Y519" s="4" t="s">
        <v>45</v>
      </c>
      <c r="Z519" s="4" t="s">
        <v>18</v>
      </c>
      <c r="AA519" s="4" t="str">
        <f>IF(ISNA(VLOOKUP(Y521,Master!A$8:N$127,7,FALSE)),"",VLOOKUP(Y521,Master!A$8:AH$127,7,FALSE))</f>
        <v/>
      </c>
    </row>
    <row r="520" spans="1:27" ht="18">
      <c r="A520" s="131" t="str">
        <f>IF(AND(Master!C479=""),"",CONCATENATE("Office Of  ",Master!C479))</f>
        <v/>
      </c>
      <c r="B520" s="131"/>
      <c r="C520" s="131"/>
      <c r="D520" s="131"/>
      <c r="E520" s="131"/>
      <c r="F520" s="131"/>
      <c r="G520" s="131"/>
      <c r="H520" s="131"/>
      <c r="I520" s="131"/>
      <c r="J520" s="131"/>
      <c r="K520" s="131"/>
      <c r="L520" s="131"/>
      <c r="M520" s="131"/>
      <c r="N520" s="131"/>
      <c r="O520" s="131"/>
      <c r="P520" s="131"/>
      <c r="Q520" s="131"/>
      <c r="R520" s="131"/>
      <c r="S520" s="131"/>
      <c r="X520" s="4">
        <f>IF(ISNA(VLOOKUP($Y$3,Master!A$8:N$127,8,FALSE)),"",VLOOKUP($Y$3,Master!A$8:AH$127,8,FALSE))</f>
        <v>45292</v>
      </c>
      <c r="Y520" s="4" t="s">
        <v>43</v>
      </c>
    </row>
    <row r="521" spans="1:27" ht="18.75">
      <c r="E521" s="133" t="s">
        <v>10</v>
      </c>
      <c r="F521" s="133"/>
      <c r="G521" s="133"/>
      <c r="H521" s="133"/>
      <c r="I521" s="133"/>
      <c r="J521" s="132" t="str">
        <f>IF(ISNA(VLOOKUP(Y521,Master!A$8:N$127,2,FALSE)),"",VLOOKUP(Y521,Master!A$8:AH$127,2,FALSE))</f>
        <v/>
      </c>
      <c r="K521" s="132"/>
      <c r="L521" s="132"/>
      <c r="M521" s="132"/>
      <c r="N521" s="132"/>
      <c r="O521" s="60" t="s">
        <v>31</v>
      </c>
      <c r="P521" s="132" t="str">
        <f>IF(ISNA(VLOOKUP(Y521,Master!A$8:N$127,3,FALSE)),"",VLOOKUP(Y521,Master!A$8:AH$127,3,FALSE))</f>
        <v/>
      </c>
      <c r="Q521" s="132"/>
      <c r="R521" s="132"/>
      <c r="S521" s="132"/>
      <c r="X521" s="61" t="s">
        <v>49</v>
      </c>
      <c r="Y521" s="64">
        <v>43</v>
      </c>
    </row>
    <row r="522" spans="1:27" ht="8.25" customHeight="1">
      <c r="E522" s="19"/>
      <c r="F522" s="52"/>
      <c r="G522" s="22"/>
      <c r="H522" s="22"/>
      <c r="I522" s="22"/>
      <c r="J522" s="5"/>
      <c r="K522" s="5"/>
      <c r="L522" s="5"/>
      <c r="M522" s="5"/>
      <c r="N522" s="5"/>
      <c r="O522" s="6"/>
      <c r="P522" s="6"/>
    </row>
    <row r="523" spans="1:27" ht="24.75" customHeight="1">
      <c r="A523" s="157" t="s">
        <v>0</v>
      </c>
      <c r="B523" s="158" t="s">
        <v>3</v>
      </c>
      <c r="C523" s="159" t="s">
        <v>5</v>
      </c>
      <c r="D523" s="159"/>
      <c r="E523" s="159"/>
      <c r="F523" s="159"/>
      <c r="G523" s="159" t="s">
        <v>6</v>
      </c>
      <c r="H523" s="159"/>
      <c r="I523" s="159"/>
      <c r="J523" s="159"/>
      <c r="K523" s="159" t="s">
        <v>7</v>
      </c>
      <c r="L523" s="159"/>
      <c r="M523" s="159"/>
      <c r="N523" s="159"/>
      <c r="O523" s="149" t="s">
        <v>8</v>
      </c>
      <c r="P523" s="150"/>
      <c r="Q523" s="151"/>
      <c r="R523" s="162" t="s">
        <v>54</v>
      </c>
      <c r="S523" s="162" t="s">
        <v>40</v>
      </c>
    </row>
    <row r="524" spans="1:27" ht="69" customHeight="1">
      <c r="A524" s="157"/>
      <c r="B524" s="158"/>
      <c r="C524" s="54" t="s">
        <v>29</v>
      </c>
      <c r="D524" s="55" t="s">
        <v>1</v>
      </c>
      <c r="E524" s="56" t="s">
        <v>2</v>
      </c>
      <c r="F524" s="54" t="s">
        <v>46</v>
      </c>
      <c r="G524" s="54" t="s">
        <v>29</v>
      </c>
      <c r="H524" s="55" t="s">
        <v>1</v>
      </c>
      <c r="I524" s="56" t="s">
        <v>2</v>
      </c>
      <c r="J524" s="54" t="s">
        <v>47</v>
      </c>
      <c r="K524" s="54" t="s">
        <v>4</v>
      </c>
      <c r="L524" s="55" t="s">
        <v>1</v>
      </c>
      <c r="M524" s="56" t="s">
        <v>2</v>
      </c>
      <c r="N524" s="57" t="s">
        <v>48</v>
      </c>
      <c r="O524" s="53" t="s">
        <v>69</v>
      </c>
      <c r="P524" s="65" t="s">
        <v>41</v>
      </c>
      <c r="Q524" s="57" t="s">
        <v>53</v>
      </c>
      <c r="R524" s="162"/>
      <c r="S524" s="162"/>
    </row>
    <row r="525" spans="1:27" ht="18" customHeight="1">
      <c r="A525" s="7">
        <v>1</v>
      </c>
      <c r="B525" s="7">
        <v>2</v>
      </c>
      <c r="C525" s="7">
        <v>3</v>
      </c>
      <c r="D525" s="7">
        <v>4</v>
      </c>
      <c r="E525" s="7">
        <v>5</v>
      </c>
      <c r="F525" s="7">
        <v>6</v>
      </c>
      <c r="G525" s="7">
        <v>7</v>
      </c>
      <c r="H525" s="7">
        <v>8</v>
      </c>
      <c r="I525" s="7">
        <v>9</v>
      </c>
      <c r="J525" s="7">
        <v>10</v>
      </c>
      <c r="K525" s="7">
        <v>11</v>
      </c>
      <c r="L525" s="7">
        <v>12</v>
      </c>
      <c r="M525" s="7">
        <v>13</v>
      </c>
      <c r="N525" s="7">
        <v>14</v>
      </c>
      <c r="O525" s="7">
        <v>15</v>
      </c>
      <c r="P525" s="7">
        <v>17</v>
      </c>
      <c r="Q525" s="7">
        <v>18</v>
      </c>
      <c r="R525" s="7">
        <v>19</v>
      </c>
      <c r="S525" s="7">
        <v>20</v>
      </c>
    </row>
    <row r="526" spans="1:27" ht="21" customHeight="1">
      <c r="A526" s="8">
        <v>1</v>
      </c>
      <c r="B526" s="23" t="str">
        <f>IFERROR(IF(ISNA(VLOOKUP(Y521,Master!A$8:N$127,8,FALSE)),"",VLOOKUP($Y521,Master!A$8:AH$127,8,FALSE)),"")</f>
        <v/>
      </c>
      <c r="C526" s="9" t="str">
        <f>IF(ISNA(VLOOKUP(Y521,Master!A$8:N$127,5,FALSE)),"",VLOOKUP(Y521,Master!A$8:AH$127,5,FALSE))</f>
        <v/>
      </c>
      <c r="D526" s="9" t="str">
        <f>IF(AND(C526=""),"",IF(AND(Y521=""),"",ROUND(C526*Master!C$5%,0)))</f>
        <v/>
      </c>
      <c r="E526" s="9" t="str">
        <f>IF(AND(C526=""),"",IF(AND(Y521=""),"",ROUND(C526*Master!H$5%,0)))</f>
        <v/>
      </c>
      <c r="F526" s="9" t="str">
        <f t="shared" ref="F526" si="737">IF(AND(C526=""),"",SUM(C526:E526))</f>
        <v/>
      </c>
      <c r="G526" s="9" t="str">
        <f>IF(ISNA(VLOOKUP(Y521,Master!A$8:N$127,5,FALSE)),"",VLOOKUP(Y521,Master!A$8:AH$127,5,FALSE))</f>
        <v/>
      </c>
      <c r="H526" s="9" t="str">
        <f>IF(AND(G526=""),"",IF(AND(Y521=""),"",ROUND(G526*Master!C$4%,0)))</f>
        <v/>
      </c>
      <c r="I526" s="9" t="str">
        <f>IF(AND(G526=""),"",IF(AND(Y521=""),"",ROUND(G526*Master!H$4%,0)))</f>
        <v/>
      </c>
      <c r="J526" s="9" t="str">
        <f t="shared" ref="J526:J527" si="738">IF(AND(C526=""),"",SUM(G526:I526))</f>
        <v/>
      </c>
      <c r="K526" s="9" t="str">
        <f t="shared" ref="K526:K528" si="739">IF(AND(C526=""),"",IF(AND(G526=""),"",C526-G526))</f>
        <v/>
      </c>
      <c r="L526" s="9" t="str">
        <f t="shared" ref="L526:L528" si="740">IF(AND(D526=""),"",IF(AND(H526=""),"",D526-H526))</f>
        <v/>
      </c>
      <c r="M526" s="9" t="str">
        <f t="shared" ref="M526:M527" si="741">IF(AND(E526=""),"",IF(AND(I526=""),"",E526-I526))</f>
        <v/>
      </c>
      <c r="N526" s="9" t="str">
        <f t="shared" ref="N526:N527" si="742">IF(AND(F526=""),"",IF(AND(J526=""),"",F526-J526))</f>
        <v/>
      </c>
      <c r="O526" s="9" t="str">
        <f>IF(AND(C526=""),"",N526-P526)</f>
        <v/>
      </c>
      <c r="P526" s="9" t="str">
        <f>IF(AND(Y521=""),"",IF(AND(N526=""),"",ROUND(N526*AA$1%,0)))</f>
        <v/>
      </c>
      <c r="Q526" s="9" t="str">
        <f>IF(AND(Y521=""),"",IF(AND(C526=""),"",IF(AND(O526=""),"",SUM(O526,P526))))</f>
        <v/>
      </c>
      <c r="R526" s="9" t="str">
        <f>IF(AND(N526=""),"",IF(AND(Q526=""),"",N526-Q526))</f>
        <v/>
      </c>
      <c r="S526" s="20"/>
    </row>
    <row r="527" spans="1:27" ht="21" customHeight="1">
      <c r="A527" s="8">
        <v>2</v>
      </c>
      <c r="B527" s="23" t="str">
        <f>IFERROR(DATE(YEAR(B526),MONTH(B526)+1,DAY(B526)),"")</f>
        <v/>
      </c>
      <c r="C527" s="9" t="str">
        <f>IF(AND(Y521=""),"",C526)</f>
        <v/>
      </c>
      <c r="D527" s="9" t="str">
        <f>IF(AND(C527=""),"",IF(AND(Y521=""),"",ROUND(C527*Master!C$5%,0)))</f>
        <v/>
      </c>
      <c r="E527" s="9" t="str">
        <f>IF(AND(C527=""),"",IF(AND(Y521=""),"",ROUND(C527*Master!H$5%,0)))</f>
        <v/>
      </c>
      <c r="F527" s="9" t="str">
        <f>IF(AND(C527=""),"",SUM(C527:E527))</f>
        <v/>
      </c>
      <c r="G527" s="9" t="str">
        <f>IF(AND(Y521=""),"",G526)</f>
        <v/>
      </c>
      <c r="H527" s="9" t="str">
        <f>IF(AND(G527=""),"",IF(AND(Y521=""),"",ROUND(G527*Master!C$4%,0)))</f>
        <v/>
      </c>
      <c r="I527" s="9" t="str">
        <f>IF(AND(G527=""),"",IF(AND(Y521=""),"",ROUND(G527*Master!H$4%,0)))</f>
        <v/>
      </c>
      <c r="J527" s="9" t="str">
        <f t="shared" si="738"/>
        <v/>
      </c>
      <c r="K527" s="9" t="str">
        <f t="shared" si="739"/>
        <v/>
      </c>
      <c r="L527" s="9" t="str">
        <f t="shared" si="740"/>
        <v/>
      </c>
      <c r="M527" s="9" t="str">
        <f t="shared" si="741"/>
        <v/>
      </c>
      <c r="N527" s="9" t="str">
        <f t="shared" si="742"/>
        <v/>
      </c>
      <c r="O527" s="9" t="str">
        <f t="shared" ref="O527:O528" si="743">IF(AND(C527=""),"",N527-P527)</f>
        <v/>
      </c>
      <c r="P527" s="9" t="str">
        <f>IF(AND(Y521=""),"",IF(AND(N527=""),"",ROUND(N527*AA$1%,0)))</f>
        <v/>
      </c>
      <c r="Q527" s="9" t="str">
        <f>IF(AND(Y521=""),"",IF(AND(C527=""),"",IF(AND(O527=""),"",SUM(O527,P527))))</f>
        <v/>
      </c>
      <c r="R527" s="9" t="str">
        <f t="shared" ref="R527:R528" si="744">IF(AND(N527=""),"",IF(AND(Q527=""),"",N527-Q527))</f>
        <v/>
      </c>
      <c r="S527" s="20"/>
    </row>
    <row r="528" spans="1:27" ht="21" customHeight="1">
      <c r="A528" s="8">
        <v>3</v>
      </c>
      <c r="B528" s="23" t="str">
        <f>IFERROR(DATE(YEAR(B527),MONTH(B527)+1,DAY(B527)),"")</f>
        <v/>
      </c>
      <c r="C528" s="9" t="str">
        <f>IF(AND(Y521=""),"",C527)</f>
        <v/>
      </c>
      <c r="D528" s="9" t="str">
        <f>IF(AND(C528=""),"",IF(AND(Y521=""),"",ROUND(C528*Master!C$5%,0)))</f>
        <v/>
      </c>
      <c r="E528" s="9" t="str">
        <f>IF(AND(C528=""),"",IF(AND(Y521=""),"",ROUND(C528*Master!H$5%,0)))</f>
        <v/>
      </c>
      <c r="F528" s="9" t="str">
        <f t="shared" ref="F528" si="745">IF(AND(C528=""),"",SUM(C528:E528))</f>
        <v/>
      </c>
      <c r="G528" s="9" t="str">
        <f>IF(AND(Y521=""),"",G527)</f>
        <v/>
      </c>
      <c r="H528" s="9" t="str">
        <f>IF(AND(G528=""),"",IF(AND(Y521=""),"",ROUND(G528*Master!C$4%,0)))</f>
        <v/>
      </c>
      <c r="I528" s="9" t="str">
        <f>IF(AND(G528=""),"",IF(AND(Y521=""),"",ROUND(G528*Master!H$4%,0)))</f>
        <v/>
      </c>
      <c r="J528" s="9" t="str">
        <f>IF(AND(C528=""),"",SUM(G528:I528))</f>
        <v/>
      </c>
      <c r="K528" s="9" t="str">
        <f t="shared" si="739"/>
        <v/>
      </c>
      <c r="L528" s="9" t="str">
        <f t="shared" si="740"/>
        <v/>
      </c>
      <c r="M528" s="9" t="str">
        <f>IF(AND(E528=""),"",IF(AND(I528=""),"",E528-I528))</f>
        <v/>
      </c>
      <c r="N528" s="9" t="str">
        <f>IF(AND(F528=""),"",IF(AND(J528=""),"",F528-J528))</f>
        <v/>
      </c>
      <c r="O528" s="9" t="str">
        <f t="shared" si="743"/>
        <v/>
      </c>
      <c r="P528" s="9" t="str">
        <f>IF(AND(Y521=""),"",IF(AND(N528=""),"",ROUND(N528*AA$1%,0)))</f>
        <v/>
      </c>
      <c r="Q528" s="9" t="str">
        <f>IF(AND(Y521=""),"",IF(AND(C528=""),"",IF(AND(O528=""),"",SUM(O528,P528))))</f>
        <v/>
      </c>
      <c r="R528" s="9" t="str">
        <f t="shared" si="744"/>
        <v/>
      </c>
      <c r="S528" s="20"/>
    </row>
    <row r="529" spans="1:25" ht="21" customHeight="1">
      <c r="A529" s="8">
        <v>4</v>
      </c>
      <c r="B529" s="23" t="str">
        <f>IFERROR(DATE(YEAR(B528),MONTH(B528)+1,DAY(B528)),"")</f>
        <v/>
      </c>
      <c r="C529" s="9" t="str">
        <f>IF(AND(Y522=""),"",C528)</f>
        <v/>
      </c>
      <c r="D529" s="9" t="str">
        <f>IF(AND(C529=""),"",IF(AND(Y522=""),"",ROUND(C529*Master!C$5%,0)))</f>
        <v/>
      </c>
      <c r="E529" s="9" t="str">
        <f>IF(AND(C529=""),"",IF(AND(Y522=""),"",ROUND(C529*Master!H$5%,0)))</f>
        <v/>
      </c>
      <c r="F529" s="9" t="str">
        <f t="shared" ref="F529" si="746">IF(AND(C529=""),"",SUM(C529:E529))</f>
        <v/>
      </c>
      <c r="G529" s="9" t="str">
        <f>IF(AND(Y522=""),"",G528)</f>
        <v/>
      </c>
      <c r="H529" s="9" t="str">
        <f>IF(AND(G529=""),"",IF(AND(Y522=""),"",ROUND(G529*Master!C$4%,0)))</f>
        <v/>
      </c>
      <c r="I529" s="9" t="str">
        <f>IF(AND(G529=""),"",IF(AND(Y522=""),"",ROUND(G529*Master!H$4%,0)))</f>
        <v/>
      </c>
      <c r="J529" s="9" t="str">
        <f>IF(AND(C529=""),"",SUM(G529:I529))</f>
        <v/>
      </c>
      <c r="K529" s="9" t="str">
        <f t="shared" ref="K529" si="747">IF(AND(C529=""),"",IF(AND(G529=""),"",C529-G529))</f>
        <v/>
      </c>
      <c r="L529" s="9" t="str">
        <f t="shared" ref="L529" si="748">IF(AND(D529=""),"",IF(AND(H529=""),"",D529-H529))</f>
        <v/>
      </c>
      <c r="M529" s="9" t="str">
        <f>IF(AND(E529=""),"",IF(AND(I529=""),"",E529-I529))</f>
        <v/>
      </c>
      <c r="N529" s="9" t="str">
        <f>IF(AND(F529=""),"",IF(AND(J529=""),"",F529-J529))</f>
        <v/>
      </c>
      <c r="O529" s="9" t="str">
        <f t="shared" ref="O529" si="749">IF(AND(C529=""),"",N529-P529)</f>
        <v/>
      </c>
      <c r="P529" s="9" t="str">
        <f>IF(AND(Y522=""),"",IF(AND(N529=""),"",ROUND(N529*AA$1%,0)))</f>
        <v/>
      </c>
      <c r="Q529" s="9" t="str">
        <f>IF(AND(Y522=""),"",IF(AND(C529=""),"",IF(AND(O529=""),"",SUM(O529,P529))))</f>
        <v/>
      </c>
      <c r="R529" s="9" t="str">
        <f t="shared" ref="R529" si="750">IF(AND(N529=""),"",IF(AND(Q529=""),"",N529-Q529))</f>
        <v/>
      </c>
      <c r="S529" s="20"/>
    </row>
    <row r="530" spans="1:25" ht="23.25" customHeight="1">
      <c r="A530" s="153" t="s">
        <v>9</v>
      </c>
      <c r="B530" s="154"/>
      <c r="C530" s="63">
        <f>IF(AND($Y$521=""),"",SUM(C526:C529))</f>
        <v>0</v>
      </c>
      <c r="D530" s="63">
        <f t="shared" ref="D530:R530" si="751">IF(AND($Y$521=""),"",SUM(D526:D529))</f>
        <v>0</v>
      </c>
      <c r="E530" s="63">
        <f t="shared" si="751"/>
        <v>0</v>
      </c>
      <c r="F530" s="63">
        <f t="shared" si="751"/>
        <v>0</v>
      </c>
      <c r="G530" s="63">
        <f t="shared" si="751"/>
        <v>0</v>
      </c>
      <c r="H530" s="63">
        <f t="shared" si="751"/>
        <v>0</v>
      </c>
      <c r="I530" s="63">
        <f t="shared" si="751"/>
        <v>0</v>
      </c>
      <c r="J530" s="63">
        <f t="shared" si="751"/>
        <v>0</v>
      </c>
      <c r="K530" s="63">
        <f t="shared" si="751"/>
        <v>0</v>
      </c>
      <c r="L530" s="63">
        <f t="shared" si="751"/>
        <v>0</v>
      </c>
      <c r="M530" s="63">
        <f t="shared" si="751"/>
        <v>0</v>
      </c>
      <c r="N530" s="63">
        <f t="shared" si="751"/>
        <v>0</v>
      </c>
      <c r="O530" s="63">
        <f t="shared" si="751"/>
        <v>0</v>
      </c>
      <c r="P530" s="63">
        <f t="shared" si="751"/>
        <v>0</v>
      </c>
      <c r="Q530" s="63">
        <f t="shared" si="751"/>
        <v>0</v>
      </c>
      <c r="R530" s="63">
        <f t="shared" si="751"/>
        <v>0</v>
      </c>
      <c r="S530" s="49"/>
    </row>
    <row r="531" spans="1:25" ht="10.5" customHeight="1">
      <c r="A531" s="73"/>
      <c r="B531" s="73"/>
      <c r="C531" s="74"/>
      <c r="D531" s="74"/>
      <c r="E531" s="74"/>
      <c r="F531" s="74"/>
      <c r="G531" s="74"/>
      <c r="H531" s="74"/>
      <c r="I531" s="74"/>
      <c r="J531" s="74"/>
      <c r="K531" s="74"/>
      <c r="L531" s="74"/>
      <c r="M531" s="74"/>
      <c r="N531" s="74"/>
      <c r="O531" s="74"/>
      <c r="P531" s="74"/>
      <c r="Q531" s="74"/>
      <c r="R531" s="74"/>
      <c r="S531" s="75"/>
    </row>
    <row r="532" spans="1:25" ht="23.25" customHeight="1">
      <c r="E532" s="133" t="s">
        <v>10</v>
      </c>
      <c r="F532" s="133"/>
      <c r="G532" s="133"/>
      <c r="H532" s="133"/>
      <c r="I532" s="133"/>
      <c r="J532" s="132" t="str">
        <f>IF(ISNA(VLOOKUP(Y534,Master!A$8:N$127,2,FALSE)),"",VLOOKUP(Y534,Master!A$8:AH$127,2,FALSE))</f>
        <v/>
      </c>
      <c r="K532" s="132"/>
      <c r="L532" s="132"/>
      <c r="M532" s="132"/>
      <c r="N532" s="132"/>
      <c r="O532" s="60" t="s">
        <v>31</v>
      </c>
      <c r="P532" s="132" t="str">
        <f>IF(ISNA(VLOOKUP(Y534,Master!A$8:N$127,3,FALSE)),"",VLOOKUP(Y534,Master!A$8:AH$127,3,FALSE))</f>
        <v/>
      </c>
      <c r="Q532" s="132"/>
      <c r="R532" s="132"/>
      <c r="S532" s="132"/>
    </row>
    <row r="533" spans="1:25" ht="9" customHeight="1">
      <c r="E533" s="19"/>
      <c r="F533" s="52"/>
      <c r="G533" s="22"/>
      <c r="H533" s="22"/>
      <c r="I533" s="22"/>
      <c r="J533" s="5"/>
      <c r="K533" s="5"/>
      <c r="L533" s="5"/>
      <c r="M533" s="5"/>
      <c r="N533" s="5"/>
      <c r="O533" s="6"/>
      <c r="P533" s="6"/>
    </row>
    <row r="534" spans="1:25" ht="21" customHeight="1">
      <c r="A534" s="8">
        <v>1</v>
      </c>
      <c r="B534" s="23" t="str">
        <f>IFERROR(IF(ISNA(VLOOKUP(Y534,Master!A$8:N$127,8,FALSE)),"",VLOOKUP($Y534,Master!A$8:AH$127,8,FALSE)),"")</f>
        <v/>
      </c>
      <c r="C534" s="9" t="str">
        <f>IF(ISNA(VLOOKUP(Y534,Master!A$8:N$127,5,FALSE)),"",VLOOKUP(Y534,Master!A$8:AH$127,5,FALSE))</f>
        <v/>
      </c>
      <c r="D534" s="9" t="str">
        <f>IF(AND(C534=""),"",IF(AND(Y534=""),"",ROUND(C534*Master!C$5%,0)))</f>
        <v/>
      </c>
      <c r="E534" s="9" t="str">
        <f>IF(AND(C534=""),"",IF(AND(Y534=""),"",ROUND(C534*Master!H$5%,0)))</f>
        <v/>
      </c>
      <c r="F534" s="9" t="str">
        <f t="shared" ref="F534:F536" si="752">IF(AND(C534=""),"",SUM(C534:E534))</f>
        <v/>
      </c>
      <c r="G534" s="9" t="str">
        <f>IF(ISNA(VLOOKUP(Y534,Master!A$8:N$127,5,FALSE)),"",VLOOKUP(Y534,Master!A$8:AH$127,5,FALSE))</f>
        <v/>
      </c>
      <c r="H534" s="9" t="str">
        <f>IF(AND(G534=""),"",IF(AND(Y534=""),"",ROUND(G534*Master!C$4%,0)))</f>
        <v/>
      </c>
      <c r="I534" s="9" t="str">
        <f>IF(AND(G534=""),"",IF(AND(Y534=""),"",ROUND(G534*Master!H$4%,0)))</f>
        <v/>
      </c>
      <c r="J534" s="9" t="str">
        <f t="shared" ref="J534:J536" si="753">IF(AND(C534=""),"",SUM(G534:I534))</f>
        <v/>
      </c>
      <c r="K534" s="9" t="str">
        <f t="shared" ref="K534" si="754">IF(AND(C534=""),"",IF(AND(G534=""),"",C534-G534))</f>
        <v/>
      </c>
      <c r="L534" s="9" t="str">
        <f>IF(AND(D534=""),"",IF(AND(H534=""),"",D534-H534))</f>
        <v/>
      </c>
      <c r="M534" s="9" t="str">
        <f t="shared" ref="M534:M536" si="755">IF(AND(E534=""),"",IF(AND(I534=""),"",E534-I534))</f>
        <v/>
      </c>
      <c r="N534" s="9" t="str">
        <f t="shared" ref="N534:N536" si="756">IF(AND(F534=""),"",IF(AND(J534=""),"",F534-J534))</f>
        <v/>
      </c>
      <c r="O534" s="9" t="str">
        <f>IF(AND(C534=""),"",N534-P534)</f>
        <v/>
      </c>
      <c r="P534" s="9" t="str">
        <f>IF(AND(Y534=""),"",IF(AND(N534=""),"",ROUND(N534*X$17%,0)))</f>
        <v/>
      </c>
      <c r="Q534" s="9" t="str">
        <f>IF(AND(Y534=""),"",IF(AND(C534=""),"",IF(AND(O534=""),"",SUM(O534,P534))))</f>
        <v/>
      </c>
      <c r="R534" s="9" t="str">
        <f>IF(AND(N534=""),"",IF(AND(Q534=""),"",N534-Q534))</f>
        <v/>
      </c>
      <c r="S534" s="20"/>
      <c r="X534" s="61" t="s">
        <v>49</v>
      </c>
      <c r="Y534" s="64">
        <v>44</v>
      </c>
    </row>
    <row r="535" spans="1:25" ht="21" customHeight="1">
      <c r="A535" s="8">
        <v>2</v>
      </c>
      <c r="B535" s="23" t="str">
        <f>IFERROR(DATE(YEAR(B534),MONTH(B534)+1,DAY(B534)),"")</f>
        <v/>
      </c>
      <c r="C535" s="9" t="str">
        <f>IF(AND(Y534=""),"",C534)</f>
        <v/>
      </c>
      <c r="D535" s="9" t="str">
        <f>IF(AND(C535=""),"",IF(AND(Y534=""),"",ROUND(C535*Master!C$5%,0)))</f>
        <v/>
      </c>
      <c r="E535" s="9" t="str">
        <f>IF(AND(C535=""),"",IF(AND(Y534=""),"",ROUND(C535*Master!H$5%,0)))</f>
        <v/>
      </c>
      <c r="F535" s="9" t="str">
        <f t="shared" si="752"/>
        <v/>
      </c>
      <c r="G535" s="9" t="str">
        <f>IF(AND(Y534=""),"",G534)</f>
        <v/>
      </c>
      <c r="H535" s="9" t="str">
        <f>IF(AND(G535=""),"",IF(AND(Y534=""),"",ROUND(G535*Master!C$4%,0)))</f>
        <v/>
      </c>
      <c r="I535" s="9" t="str">
        <f>IF(AND(G535=""),"",IF(AND(Y534=""),"",ROUND(G535*Master!H$4%,0)))</f>
        <v/>
      </c>
      <c r="J535" s="9" t="str">
        <f t="shared" si="753"/>
        <v/>
      </c>
      <c r="K535" s="9" t="str">
        <f>IF(AND(C535=""),"",IF(AND(G535=""),"",C535-G535))</f>
        <v/>
      </c>
      <c r="L535" s="9" t="str">
        <f t="shared" ref="L535:L536" si="757">IF(AND(D535=""),"",IF(AND(H535=""),"",D535-H535))</f>
        <v/>
      </c>
      <c r="M535" s="9" t="str">
        <f t="shared" si="755"/>
        <v/>
      </c>
      <c r="N535" s="9" t="str">
        <f t="shared" si="756"/>
        <v/>
      </c>
      <c r="O535" s="9" t="str">
        <f t="shared" ref="O535:O536" si="758">IF(AND(C535=""),"",N535-P535)</f>
        <v/>
      </c>
      <c r="P535" s="9" t="str">
        <f>IF(AND(Y534=""),"",IF(AND(N535=""),"",ROUND(N535*X$17%,0)))</f>
        <v/>
      </c>
      <c r="Q535" s="9" t="str">
        <f>IF(AND(Y534=""),"",IF(AND(C535=""),"",IF(AND(O535=""),"",SUM(O535,P535))))</f>
        <v/>
      </c>
      <c r="R535" s="9" t="str">
        <f t="shared" ref="R535:R536" si="759">IF(AND(N535=""),"",IF(AND(Q535=""),"",N535-Q535))</f>
        <v/>
      </c>
      <c r="S535" s="20"/>
      <c r="X535" s="4" t="str">
        <f>IF(ISNA(VLOOKUP(Y534,Master!A$8:N$127,7,FALSE)),"",VLOOKUP(Y534,Master!A$8:AH$127,7,FALSE))</f>
        <v/>
      </c>
    </row>
    <row r="536" spans="1:25" ht="21" customHeight="1">
      <c r="A536" s="8">
        <v>3</v>
      </c>
      <c r="B536" s="23" t="str">
        <f>IFERROR(DATE(YEAR(B535),MONTH(B535)+1,DAY(B535)),"")</f>
        <v/>
      </c>
      <c r="C536" s="9" t="str">
        <f>IF(AND(Y534=""),"",C535)</f>
        <v/>
      </c>
      <c r="D536" s="9" t="str">
        <f>IF(AND(C536=""),"",IF(AND(Y534=""),"",ROUND(C536*Master!C$5%,0)))</f>
        <v/>
      </c>
      <c r="E536" s="9" t="str">
        <f>IF(AND(C536=""),"",IF(AND(Y534=""),"",ROUND(C536*Master!H$5%,0)))</f>
        <v/>
      </c>
      <c r="F536" s="9" t="str">
        <f t="shared" si="752"/>
        <v/>
      </c>
      <c r="G536" s="9" t="str">
        <f>IF(AND(Y534=""),"",G535)</f>
        <v/>
      </c>
      <c r="H536" s="9" t="str">
        <f>IF(AND(G536=""),"",IF(AND(Y534=""),"",ROUND(G536*Master!C$4%,0)))</f>
        <v/>
      </c>
      <c r="I536" s="9" t="str">
        <f>IF(AND(G536=""),"",IF(AND(Y534=""),"",ROUND(G536*Master!H$4%,0)))</f>
        <v/>
      </c>
      <c r="J536" s="9" t="str">
        <f t="shared" si="753"/>
        <v/>
      </c>
      <c r="K536" s="9" t="str">
        <f t="shared" ref="K536" si="760">IF(AND(C536=""),"",IF(AND(G536=""),"",C536-G536))</f>
        <v/>
      </c>
      <c r="L536" s="9" t="str">
        <f t="shared" si="757"/>
        <v/>
      </c>
      <c r="M536" s="9" t="str">
        <f t="shared" si="755"/>
        <v/>
      </c>
      <c r="N536" s="9" t="str">
        <f t="shared" si="756"/>
        <v/>
      </c>
      <c r="O536" s="9" t="str">
        <f t="shared" si="758"/>
        <v/>
      </c>
      <c r="P536" s="9" t="str">
        <f>IF(AND(Y534=""),"",IF(AND(N536=""),"",ROUND(N536*X$17%,0)))</f>
        <v/>
      </c>
      <c r="Q536" s="9" t="str">
        <f>IF(AND(Y534=""),"",IF(AND(C536=""),"",IF(AND(O536=""),"",SUM(O536,P536))))</f>
        <v/>
      </c>
      <c r="R536" s="9" t="str">
        <f t="shared" si="759"/>
        <v/>
      </c>
      <c r="S536" s="20"/>
    </row>
    <row r="537" spans="1:25" ht="21" customHeight="1">
      <c r="A537" s="8">
        <v>4</v>
      </c>
      <c r="B537" s="23" t="str">
        <f>IFERROR(DATE(YEAR(B536),MONTH(B536)+1,DAY(B536)),"")</f>
        <v/>
      </c>
      <c r="C537" s="9" t="str">
        <f>IF(AND(Y535=""),"",C536)</f>
        <v/>
      </c>
      <c r="D537" s="9" t="str">
        <f>IF(AND(C537=""),"",IF(AND(Y535=""),"",ROUND(C537*Master!C$5%,0)))</f>
        <v/>
      </c>
      <c r="E537" s="9" t="str">
        <f>IF(AND(C537=""),"",IF(AND(Y535=""),"",ROUND(C537*Master!H$5%,0)))</f>
        <v/>
      </c>
      <c r="F537" s="9" t="str">
        <f t="shared" ref="F537" si="761">IF(AND(C537=""),"",SUM(C537:E537))</f>
        <v/>
      </c>
      <c r="G537" s="9" t="str">
        <f>IF(AND(Y535=""),"",G536)</f>
        <v/>
      </c>
      <c r="H537" s="9" t="str">
        <f>IF(AND(G537=""),"",IF(AND(Y535=""),"",ROUND(G537*Master!C$4%,0)))</f>
        <v/>
      </c>
      <c r="I537" s="9" t="str">
        <f>IF(AND(G537=""),"",IF(AND(Y535=""),"",ROUND(G537*Master!H$4%,0)))</f>
        <v/>
      </c>
      <c r="J537" s="9" t="str">
        <f t="shared" ref="J537" si="762">IF(AND(C537=""),"",SUM(G537:I537))</f>
        <v/>
      </c>
      <c r="K537" s="9" t="str">
        <f t="shared" ref="K537" si="763">IF(AND(C537=""),"",IF(AND(G537=""),"",C537-G537))</f>
        <v/>
      </c>
      <c r="L537" s="9" t="str">
        <f t="shared" ref="L537" si="764">IF(AND(D537=""),"",IF(AND(H537=""),"",D537-H537))</f>
        <v/>
      </c>
      <c r="M537" s="9" t="str">
        <f t="shared" ref="M537" si="765">IF(AND(E537=""),"",IF(AND(I537=""),"",E537-I537))</f>
        <v/>
      </c>
      <c r="N537" s="9" t="str">
        <f t="shared" ref="N537" si="766">IF(AND(F537=""),"",IF(AND(J537=""),"",F537-J537))</f>
        <v/>
      </c>
      <c r="O537" s="9" t="str">
        <f t="shared" ref="O537" si="767">IF(AND(C537=""),"",N537-P537)</f>
        <v/>
      </c>
      <c r="P537" s="9" t="str">
        <f>IF(AND(Y535=""),"",IF(AND(N537=""),"",ROUND(N537*X$17%,0)))</f>
        <v/>
      </c>
      <c r="Q537" s="9" t="str">
        <f>IF(AND(Y535=""),"",IF(AND(C537=""),"",IF(AND(O537=""),"",SUM(O537,P537))))</f>
        <v/>
      </c>
      <c r="R537" s="9" t="str">
        <f t="shared" ref="R537" si="768">IF(AND(N537=""),"",IF(AND(Q537=""),"",N537-Q537))</f>
        <v/>
      </c>
      <c r="S537" s="20"/>
    </row>
    <row r="538" spans="1:25" ht="30.75" customHeight="1">
      <c r="A538" s="153" t="s">
        <v>9</v>
      </c>
      <c r="B538" s="154"/>
      <c r="C538" s="63">
        <f>IF(AND($Y$534=""),"",SUM(C534:C537))</f>
        <v>0</v>
      </c>
      <c r="D538" s="63">
        <f t="shared" ref="D538:R538" si="769">IF(AND($Y$534=""),"",SUM(D534:D537))</f>
        <v>0</v>
      </c>
      <c r="E538" s="63">
        <f t="shared" si="769"/>
        <v>0</v>
      </c>
      <c r="F538" s="63">
        <f t="shared" si="769"/>
        <v>0</v>
      </c>
      <c r="G538" s="63">
        <f t="shared" si="769"/>
        <v>0</v>
      </c>
      <c r="H538" s="63">
        <f t="shared" si="769"/>
        <v>0</v>
      </c>
      <c r="I538" s="63">
        <f t="shared" si="769"/>
        <v>0</v>
      </c>
      <c r="J538" s="63">
        <f t="shared" si="769"/>
        <v>0</v>
      </c>
      <c r="K538" s="63">
        <f t="shared" si="769"/>
        <v>0</v>
      </c>
      <c r="L538" s="63">
        <f t="shared" si="769"/>
        <v>0</v>
      </c>
      <c r="M538" s="63">
        <f t="shared" si="769"/>
        <v>0</v>
      </c>
      <c r="N538" s="63">
        <f t="shared" si="769"/>
        <v>0</v>
      </c>
      <c r="O538" s="63">
        <f t="shared" si="769"/>
        <v>0</v>
      </c>
      <c r="P538" s="63">
        <f t="shared" si="769"/>
        <v>0</v>
      </c>
      <c r="Q538" s="63">
        <f t="shared" si="769"/>
        <v>0</v>
      </c>
      <c r="R538" s="63">
        <f t="shared" si="769"/>
        <v>0</v>
      </c>
      <c r="S538" s="49"/>
    </row>
    <row r="539" spans="1:25" ht="11.25" customHeight="1">
      <c r="A539" s="73"/>
      <c r="B539" s="73"/>
      <c r="C539" s="74"/>
      <c r="D539" s="74"/>
      <c r="E539" s="74"/>
      <c r="F539" s="74"/>
      <c r="G539" s="74"/>
      <c r="H539" s="74"/>
      <c r="I539" s="74"/>
      <c r="J539" s="74"/>
      <c r="K539" s="74"/>
      <c r="L539" s="74"/>
      <c r="M539" s="74"/>
      <c r="N539" s="74"/>
      <c r="O539" s="74"/>
      <c r="P539" s="74"/>
      <c r="Q539" s="74"/>
      <c r="R539" s="74"/>
      <c r="S539" s="75"/>
    </row>
    <row r="540" spans="1:25" ht="23.25" customHeight="1">
      <c r="E540" s="133" t="s">
        <v>10</v>
      </c>
      <c r="F540" s="133"/>
      <c r="G540" s="133"/>
      <c r="H540" s="133"/>
      <c r="I540" s="133"/>
      <c r="J540" s="132" t="str">
        <f>IF(ISNA(VLOOKUP(Y542,Master!A$8:N$127,2,FALSE)),"",VLOOKUP(Y542,Master!A$8:AH$127,2,FALSE))</f>
        <v/>
      </c>
      <c r="K540" s="132"/>
      <c r="L540" s="132"/>
      <c r="M540" s="132"/>
      <c r="N540" s="132"/>
      <c r="O540" s="60" t="s">
        <v>31</v>
      </c>
      <c r="P540" s="132" t="str">
        <f>IF(ISNA(VLOOKUP($Y$431,Master!A$8:N$127,3,FALSE)),"",VLOOKUP($Y$431,Master!A$8:AH$127,3,FALSE))</f>
        <v/>
      </c>
      <c r="Q540" s="132"/>
      <c r="R540" s="132"/>
      <c r="S540" s="132"/>
    </row>
    <row r="541" spans="1:25" ht="9" customHeight="1">
      <c r="E541" s="19"/>
      <c r="F541" s="52"/>
      <c r="G541" s="22"/>
      <c r="H541" s="22"/>
      <c r="I541" s="22"/>
      <c r="J541" s="5"/>
      <c r="K541" s="5"/>
      <c r="L541" s="5"/>
      <c r="M541" s="5"/>
      <c r="N541" s="5"/>
      <c r="O541" s="6"/>
      <c r="P541" s="6"/>
    </row>
    <row r="542" spans="1:25" ht="21" customHeight="1">
      <c r="A542" s="8">
        <v>1</v>
      </c>
      <c r="B542" s="23" t="str">
        <f>IFERROR(IF(ISNA(VLOOKUP(Y542,Master!A$8:N$127,8,FALSE)),"",VLOOKUP($Y542,Master!A$8:AH$127,8,FALSE)),"")</f>
        <v/>
      </c>
      <c r="C542" s="9" t="str">
        <f>IF(ISNA(VLOOKUP(Y542,Master!A$8:N$127,5,FALSE)),"",VLOOKUP(Y542,Master!A$8:AH$127,5,FALSE))</f>
        <v/>
      </c>
      <c r="D542" s="9" t="str">
        <f>IF(AND(C542=""),"",IF(AND(Y542=""),"",ROUND(C542*Master!C$5%,0)))</f>
        <v/>
      </c>
      <c r="E542" s="9" t="str">
        <f>IF(AND(C542=""),"",IF(AND(Y542=""),"",ROUND(C542*Master!H$5%,0)))</f>
        <v/>
      </c>
      <c r="F542" s="9" t="str">
        <f t="shared" ref="F542:F544" si="770">IF(AND(C542=""),"",SUM(C542:E542))</f>
        <v/>
      </c>
      <c r="G542" s="9" t="str">
        <f>IF(ISNA(VLOOKUP(Y542,Master!A$8:N$127,5,FALSE)),"",VLOOKUP(Y542,Master!A$8:AH$127,5,FALSE))</f>
        <v/>
      </c>
      <c r="H542" s="9" t="str">
        <f>IF(AND(G542=""),"",IF(AND(Y542=""),"",ROUND(G542*Master!C$4%,0)))</f>
        <v/>
      </c>
      <c r="I542" s="9" t="str">
        <f>IF(AND(G542=""),"",IF(AND(Y542=""),"",ROUND(G542*Master!H$4%,0)))</f>
        <v/>
      </c>
      <c r="J542" s="9" t="str">
        <f t="shared" ref="J542:J544" si="771">IF(AND(C542=""),"",SUM(G542:I542))</f>
        <v/>
      </c>
      <c r="K542" s="9" t="str">
        <f t="shared" ref="K542:K544" si="772">IF(AND(C542=""),"",IF(AND(G542=""),"",C542-G542))</f>
        <v/>
      </c>
      <c r="L542" s="9" t="str">
        <f t="shared" ref="L542:L544" si="773">IF(AND(D542=""),"",IF(AND(H542=""),"",D542-H542))</f>
        <v/>
      </c>
      <c r="M542" s="9" t="str">
        <f t="shared" ref="M542:M544" si="774">IF(AND(E542=""),"",IF(AND(I542=""),"",E542-I542))</f>
        <v/>
      </c>
      <c r="N542" s="9" t="str">
        <f t="shared" ref="N542:N544" si="775">IF(AND(F542=""),"",IF(AND(J542=""),"",F542-J542))</f>
        <v/>
      </c>
      <c r="O542" s="9" t="str">
        <f>IF(AND(C542=""),"",N542-P542)</f>
        <v/>
      </c>
      <c r="P542" s="9" t="str">
        <f>IF(AND(Y542=""),"",IF(AND(N542=""),"",ROUND(N542*AA$1%,0)))</f>
        <v/>
      </c>
      <c r="Q542" s="9" t="str">
        <f>IF(AND(Y542=""),"",IF(AND(C542=""),"",IF(AND(O542=""),"",SUM(O542,P542))))</f>
        <v/>
      </c>
      <c r="R542" s="9" t="str">
        <f>IF(AND(N542=""),"",IF(AND(Q542=""),"",N542-Q542))</f>
        <v/>
      </c>
      <c r="S542" s="20"/>
      <c r="X542" s="61" t="s">
        <v>49</v>
      </c>
      <c r="Y542" s="64">
        <v>45</v>
      </c>
    </row>
    <row r="543" spans="1:25" ht="21" customHeight="1">
      <c r="A543" s="8">
        <v>2</v>
      </c>
      <c r="B543" s="23" t="str">
        <f>IFERROR(DATE(YEAR(B542),MONTH(B542)+1,DAY(B542)),"")</f>
        <v/>
      </c>
      <c r="C543" s="9" t="str">
        <f>IF(AND(Y542=""),"",C542)</f>
        <v/>
      </c>
      <c r="D543" s="9" t="str">
        <f>IF(AND(C543=""),"",IF(AND(Y542=""),"",ROUND(C543*Master!C$5%,0)))</f>
        <v/>
      </c>
      <c r="E543" s="9" t="str">
        <f>IF(AND(C543=""),"",IF(AND(Y542=""),"",ROUND(C543*Master!H$5%,0)))</f>
        <v/>
      </c>
      <c r="F543" s="9" t="str">
        <f t="shared" si="770"/>
        <v/>
      </c>
      <c r="G543" s="9" t="str">
        <f>IF(AND(Y542=""),"",G542)</f>
        <v/>
      </c>
      <c r="H543" s="9" t="str">
        <f>IF(AND(G543=""),"",IF(AND(Y542=""),"",ROUND(G543*Master!C$4%,0)))</f>
        <v/>
      </c>
      <c r="I543" s="9" t="str">
        <f>IF(AND(G543=""),"",IF(AND(Y542=""),"",ROUND(G543*Master!H$4%,0)))</f>
        <v/>
      </c>
      <c r="J543" s="9" t="str">
        <f t="shared" si="771"/>
        <v/>
      </c>
      <c r="K543" s="9" t="str">
        <f t="shared" si="772"/>
        <v/>
      </c>
      <c r="L543" s="9" t="str">
        <f t="shared" si="773"/>
        <v/>
      </c>
      <c r="M543" s="9" t="str">
        <f t="shared" si="774"/>
        <v/>
      </c>
      <c r="N543" s="9" t="str">
        <f t="shared" si="775"/>
        <v/>
      </c>
      <c r="O543" s="9" t="str">
        <f t="shared" ref="O543:O544" si="776">IF(AND(C543=""),"",N543-P543)</f>
        <v/>
      </c>
      <c r="P543" s="9" t="str">
        <f>IF(AND(Y542=""),"",IF(AND(N543=""),"",ROUND(N543*AA$1%,0)))</f>
        <v/>
      </c>
      <c r="Q543" s="9" t="str">
        <f>IF(AND(Y542=""),"",IF(AND(C543=""),"",IF(AND(O543=""),"",SUM(O543,P543))))</f>
        <v/>
      </c>
      <c r="R543" s="9" t="str">
        <f t="shared" ref="R543:R544" si="777">IF(AND(N543=""),"",IF(AND(Q543=""),"",N543-Q543))</f>
        <v/>
      </c>
      <c r="S543" s="20"/>
      <c r="X543" s="4" t="str">
        <f>IF(ISNA(VLOOKUP(Y542,Master!A$8:N$127,7,FALSE)),"",VLOOKUP(Y542,Master!A$8:AH$127,7,FALSE))</f>
        <v/>
      </c>
    </row>
    <row r="544" spans="1:25" ht="21" customHeight="1">
      <c r="A544" s="8">
        <v>3</v>
      </c>
      <c r="B544" s="23" t="str">
        <f>IFERROR(DATE(YEAR(B543),MONTH(B543)+1,DAY(B543)),"")</f>
        <v/>
      </c>
      <c r="C544" s="9" t="str">
        <f>IF(AND(Y542=""),"",C543)</f>
        <v/>
      </c>
      <c r="D544" s="9" t="str">
        <f>IF(AND(C544=""),"",IF(AND(Y542=""),"",ROUND(C544*Master!C$5%,0)))</f>
        <v/>
      </c>
      <c r="E544" s="9" t="str">
        <f>IF(AND(C544=""),"",IF(AND(Y542=""),"",ROUND(C544*Master!H$5%,0)))</f>
        <v/>
      </c>
      <c r="F544" s="9" t="str">
        <f t="shared" si="770"/>
        <v/>
      </c>
      <c r="G544" s="9" t="str">
        <f>IF(AND(Y542=""),"",G543)</f>
        <v/>
      </c>
      <c r="H544" s="9" t="str">
        <f>IF(AND(G544=""),"",IF(AND(Y542=""),"",ROUND(G544*Master!C$4%,0)))</f>
        <v/>
      </c>
      <c r="I544" s="9" t="str">
        <f>IF(AND(G544=""),"",IF(AND(Y542=""),"",ROUND(G544*Master!H$4%,0)))</f>
        <v/>
      </c>
      <c r="J544" s="9" t="str">
        <f t="shared" si="771"/>
        <v/>
      </c>
      <c r="K544" s="9" t="str">
        <f t="shared" si="772"/>
        <v/>
      </c>
      <c r="L544" s="9" t="str">
        <f t="shared" si="773"/>
        <v/>
      </c>
      <c r="M544" s="9" t="str">
        <f t="shared" si="774"/>
        <v/>
      </c>
      <c r="N544" s="9" t="str">
        <f t="shared" si="775"/>
        <v/>
      </c>
      <c r="O544" s="9" t="str">
        <f t="shared" si="776"/>
        <v/>
      </c>
      <c r="P544" s="9" t="str">
        <f>IF(AND(Y542=""),"",IF(AND(N544=""),"",ROUND(N544*AA$1%,0)))</f>
        <v/>
      </c>
      <c r="Q544" s="9" t="str">
        <f>IF(AND(Y542=""),"",IF(AND(C544=""),"",IF(AND(O544=""),"",SUM(O544,P544))))</f>
        <v/>
      </c>
      <c r="R544" s="9" t="str">
        <f t="shared" si="777"/>
        <v/>
      </c>
      <c r="S544" s="20"/>
    </row>
    <row r="545" spans="1:27" ht="21" customHeight="1">
      <c r="A545" s="8">
        <v>4</v>
      </c>
      <c r="B545" s="23" t="str">
        <f>IFERROR(DATE(YEAR(B544),MONTH(B544)+1,DAY(B544)),"")</f>
        <v/>
      </c>
      <c r="C545" s="9" t="str">
        <f>IF(AND(Y543=""),"",C544)</f>
        <v/>
      </c>
      <c r="D545" s="9" t="str">
        <f>IF(AND(C545=""),"",IF(AND(Y543=""),"",ROUND(C545*Master!C$5%,0)))</f>
        <v/>
      </c>
      <c r="E545" s="9" t="str">
        <f>IF(AND(C545=""),"",IF(AND(Y543=""),"",ROUND(C545*Master!H$5%,0)))</f>
        <v/>
      </c>
      <c r="F545" s="9" t="str">
        <f t="shared" ref="F545" si="778">IF(AND(C545=""),"",SUM(C545:E545))</f>
        <v/>
      </c>
      <c r="G545" s="9" t="str">
        <f>IF(AND(Y543=""),"",G544)</f>
        <v/>
      </c>
      <c r="H545" s="9" t="str">
        <f>IF(AND(G545=""),"",IF(AND(Y543=""),"",ROUND(G545*Master!C$4%,0)))</f>
        <v/>
      </c>
      <c r="I545" s="9" t="str">
        <f>IF(AND(G545=""),"",IF(AND(Y543=""),"",ROUND(G545*Master!H$4%,0)))</f>
        <v/>
      </c>
      <c r="J545" s="9" t="str">
        <f t="shared" ref="J545" si="779">IF(AND(C545=""),"",SUM(G545:I545))</f>
        <v/>
      </c>
      <c r="K545" s="9" t="str">
        <f t="shared" ref="K545" si="780">IF(AND(C545=""),"",IF(AND(G545=""),"",C545-G545))</f>
        <v/>
      </c>
      <c r="L545" s="9" t="str">
        <f t="shared" ref="L545" si="781">IF(AND(D545=""),"",IF(AND(H545=""),"",D545-H545))</f>
        <v/>
      </c>
      <c r="M545" s="9" t="str">
        <f t="shared" ref="M545" si="782">IF(AND(E545=""),"",IF(AND(I545=""),"",E545-I545))</f>
        <v/>
      </c>
      <c r="N545" s="9" t="str">
        <f t="shared" ref="N545" si="783">IF(AND(F545=""),"",IF(AND(J545=""),"",F545-J545))</f>
        <v/>
      </c>
      <c r="O545" s="9" t="str">
        <f t="shared" ref="O545" si="784">IF(AND(C545=""),"",N545-P545)</f>
        <v/>
      </c>
      <c r="P545" s="9" t="str">
        <f>IF(AND(Y543=""),"",IF(AND(N545=""),"",ROUND(N545*AA$1%,0)))</f>
        <v/>
      </c>
      <c r="Q545" s="9" t="str">
        <f>IF(AND(Y543=""),"",IF(AND(C545=""),"",IF(AND(O545=""),"",SUM(O545,P545))))</f>
        <v/>
      </c>
      <c r="R545" s="9" t="str">
        <f t="shared" ref="R545" si="785">IF(AND(N545=""),"",IF(AND(Q545=""),"",N545-Q545))</f>
        <v/>
      </c>
      <c r="S545" s="20"/>
    </row>
    <row r="546" spans="1:27" ht="30.75" customHeight="1">
      <c r="A546" s="153" t="s">
        <v>9</v>
      </c>
      <c r="B546" s="154"/>
      <c r="C546" s="63">
        <f>IF(AND($Y$542=""),"",SUM(C542:C545))</f>
        <v>0</v>
      </c>
      <c r="D546" s="63">
        <f t="shared" ref="D546:R546" si="786">IF(AND($Y$542=""),"",SUM(D542:D545))</f>
        <v>0</v>
      </c>
      <c r="E546" s="63">
        <f t="shared" si="786"/>
        <v>0</v>
      </c>
      <c r="F546" s="63">
        <f t="shared" si="786"/>
        <v>0</v>
      </c>
      <c r="G546" s="63">
        <f t="shared" si="786"/>
        <v>0</v>
      </c>
      <c r="H546" s="63">
        <f t="shared" si="786"/>
        <v>0</v>
      </c>
      <c r="I546" s="63">
        <f t="shared" si="786"/>
        <v>0</v>
      </c>
      <c r="J546" s="63">
        <f t="shared" si="786"/>
        <v>0</v>
      </c>
      <c r="K546" s="63">
        <f t="shared" si="786"/>
        <v>0</v>
      </c>
      <c r="L546" s="63">
        <f t="shared" si="786"/>
        <v>0</v>
      </c>
      <c r="M546" s="63">
        <f t="shared" si="786"/>
        <v>0</v>
      </c>
      <c r="N546" s="63">
        <f t="shared" si="786"/>
        <v>0</v>
      </c>
      <c r="O546" s="63">
        <f t="shared" si="786"/>
        <v>0</v>
      </c>
      <c r="P546" s="63">
        <f t="shared" si="786"/>
        <v>0</v>
      </c>
      <c r="Q546" s="63">
        <f t="shared" si="786"/>
        <v>0</v>
      </c>
      <c r="R546" s="63">
        <f t="shared" si="786"/>
        <v>0</v>
      </c>
      <c r="S546" s="49"/>
    </row>
    <row r="547" spans="1:27" ht="30.75" customHeight="1">
      <c r="A547" s="73"/>
      <c r="B547" s="73"/>
      <c r="C547" s="74"/>
      <c r="D547" s="74"/>
      <c r="E547" s="74"/>
      <c r="F547" s="74"/>
      <c r="G547" s="74"/>
      <c r="H547" s="74"/>
      <c r="I547" s="74"/>
      <c r="J547" s="74"/>
      <c r="K547" s="74"/>
      <c r="L547" s="74"/>
      <c r="M547" s="74"/>
      <c r="N547" s="74"/>
      <c r="O547" s="74"/>
      <c r="P547" s="74"/>
      <c r="Q547" s="74"/>
      <c r="R547" s="74"/>
      <c r="S547" s="75"/>
    </row>
    <row r="548" spans="1:27" ht="18.75">
      <c r="A548" s="21"/>
      <c r="B548" s="58"/>
      <c r="C548" s="58"/>
      <c r="D548" s="58"/>
      <c r="E548" s="58"/>
      <c r="F548" s="58"/>
      <c r="G548" s="58"/>
      <c r="H548" s="59"/>
      <c r="I548" s="59"/>
      <c r="J548" s="59"/>
      <c r="K548" s="66"/>
      <c r="L548" s="66"/>
      <c r="M548" s="66"/>
      <c r="N548" s="66"/>
      <c r="O548" s="138" t="s">
        <v>42</v>
      </c>
      <c r="P548" s="138"/>
      <c r="Q548" s="138"/>
      <c r="R548" s="138"/>
      <c r="S548" s="138"/>
    </row>
    <row r="549" spans="1:27" ht="18.75">
      <c r="A549" s="1"/>
      <c r="B549" s="24" t="s">
        <v>19</v>
      </c>
      <c r="C549" s="139"/>
      <c r="D549" s="139"/>
      <c r="E549" s="139"/>
      <c r="F549" s="139"/>
      <c r="G549" s="139"/>
      <c r="H549" s="25"/>
      <c r="I549" s="143" t="s">
        <v>20</v>
      </c>
      <c r="J549" s="143"/>
      <c r="K549" s="141"/>
      <c r="L549" s="141"/>
      <c r="M549" s="141"/>
      <c r="O549" s="138"/>
      <c r="P549" s="138"/>
      <c r="Q549" s="138"/>
      <c r="R549" s="138"/>
      <c r="S549" s="138"/>
    </row>
    <row r="550" spans="1:27" ht="18.75">
      <c r="A550" s="1"/>
      <c r="B550" s="140" t="s">
        <v>21</v>
      </c>
      <c r="C550" s="140"/>
      <c r="D550" s="140"/>
      <c r="E550" s="140"/>
      <c r="F550" s="140"/>
      <c r="G550" s="140"/>
      <c r="H550" s="140"/>
      <c r="I550" s="27"/>
      <c r="J550" s="26"/>
      <c r="K550" s="26"/>
      <c r="L550" s="26"/>
      <c r="M550" s="26"/>
    </row>
    <row r="551" spans="1:27" ht="18.75">
      <c r="A551" s="22">
        <v>1</v>
      </c>
      <c r="B551" s="142" t="s">
        <v>22</v>
      </c>
      <c r="C551" s="142"/>
      <c r="D551" s="142"/>
      <c r="E551" s="142"/>
      <c r="F551" s="142"/>
      <c r="G551" s="142"/>
      <c r="H551" s="142"/>
      <c r="I551" s="28"/>
      <c r="J551" s="26"/>
      <c r="K551" s="26"/>
      <c r="L551" s="26"/>
      <c r="M551" s="26"/>
    </row>
    <row r="552" spans="1:27" ht="18.75">
      <c r="A552" s="2">
        <v>2</v>
      </c>
      <c r="B552" s="142" t="s">
        <v>23</v>
      </c>
      <c r="C552" s="142"/>
      <c r="D552" s="142"/>
      <c r="E552" s="142"/>
      <c r="F552" s="142"/>
      <c r="G552" s="132"/>
      <c r="H552" s="132"/>
      <c r="I552" s="132"/>
      <c r="J552" s="132"/>
      <c r="K552" s="132"/>
      <c r="L552" s="132"/>
      <c r="M552" s="132"/>
    </row>
    <row r="553" spans="1:27" ht="18.75">
      <c r="A553" s="3">
        <v>3</v>
      </c>
      <c r="B553" s="142" t="s">
        <v>24</v>
      </c>
      <c r="C553" s="142"/>
      <c r="D553" s="142"/>
      <c r="E553" s="29"/>
      <c r="F553" s="28"/>
      <c r="G553" s="28"/>
      <c r="H553" s="30"/>
      <c r="I553" s="31"/>
      <c r="J553" s="26"/>
      <c r="K553" s="26"/>
      <c r="L553" s="26"/>
      <c r="M553" s="26"/>
    </row>
    <row r="554" spans="1:27" ht="15.75">
      <c r="O554" s="138" t="s">
        <v>42</v>
      </c>
      <c r="P554" s="138"/>
      <c r="Q554" s="138"/>
      <c r="R554" s="138"/>
      <c r="S554" s="138"/>
    </row>
    <row r="556" spans="1:27" ht="18" customHeight="1">
      <c r="A556" s="148" t="str">
        <f>A519</f>
        <v xml:space="preserve">DA (46% to 50%) Drawn Statement  </v>
      </c>
      <c r="B556" s="148"/>
      <c r="C556" s="148"/>
      <c r="D556" s="148"/>
      <c r="E556" s="148"/>
      <c r="F556" s="148"/>
      <c r="G556" s="148"/>
      <c r="H556" s="148"/>
      <c r="I556" s="148"/>
      <c r="J556" s="148"/>
      <c r="K556" s="148"/>
      <c r="L556" s="148"/>
      <c r="M556" s="148"/>
      <c r="N556" s="148"/>
      <c r="O556" s="148"/>
      <c r="P556" s="148"/>
      <c r="Q556" s="148"/>
      <c r="R556" s="148"/>
      <c r="S556" s="148"/>
      <c r="W556" s="4">
        <f>IF(ISNA(VLOOKUP($Y$3,Master!A$8:N$127,4,FALSE)),"",VLOOKUP($Y$3,Master!A$8:AH$127,4,FALSE))</f>
        <v>2</v>
      </c>
      <c r="X556" s="4" t="str">
        <f>IF(ISNA(VLOOKUP($Y$3,Master!A$8:N$127,6,FALSE)),"",VLOOKUP($Y$3,Master!A$8:AH$127,6,FALSE))</f>
        <v>GPF-2004</v>
      </c>
      <c r="Y556" s="4" t="s">
        <v>45</v>
      </c>
      <c r="Z556" s="4" t="s">
        <v>18</v>
      </c>
      <c r="AA556" s="4" t="str">
        <f>IF(ISNA(VLOOKUP(Y558,Master!A$8:N$127,7,FALSE)),"",VLOOKUP(Y558,Master!A$8:AH$127,7,FALSE))</f>
        <v/>
      </c>
    </row>
    <row r="557" spans="1:27" ht="18">
      <c r="A557" s="131" t="str">
        <f>IF(AND(Master!C513=""),"",CONCATENATE("Office Of  ",Master!C513))</f>
        <v/>
      </c>
      <c r="B557" s="131"/>
      <c r="C557" s="131"/>
      <c r="D557" s="131"/>
      <c r="E557" s="131"/>
      <c r="F557" s="131"/>
      <c r="G557" s="131"/>
      <c r="H557" s="131"/>
      <c r="I557" s="131"/>
      <c r="J557" s="131"/>
      <c r="K557" s="131"/>
      <c r="L557" s="131"/>
      <c r="M557" s="131"/>
      <c r="N557" s="131"/>
      <c r="O557" s="131"/>
      <c r="P557" s="131"/>
      <c r="Q557" s="131"/>
      <c r="R557" s="131"/>
      <c r="S557" s="131"/>
      <c r="X557" s="4">
        <f>IF(ISNA(VLOOKUP($Y$3,Master!A$8:N$127,8,FALSE)),"",VLOOKUP($Y$3,Master!A$8:AH$127,8,FALSE))</f>
        <v>45292</v>
      </c>
      <c r="Y557" s="4" t="s">
        <v>43</v>
      </c>
    </row>
    <row r="558" spans="1:27" ht="18.75">
      <c r="E558" s="133" t="s">
        <v>10</v>
      </c>
      <c r="F558" s="133"/>
      <c r="G558" s="133"/>
      <c r="H558" s="133"/>
      <c r="I558" s="133"/>
      <c r="J558" s="132" t="str">
        <f>IF(ISNA(VLOOKUP(Y558,Master!A$8:N$127,2,FALSE)),"",VLOOKUP(Y558,Master!A$8:AH$127,2,FALSE))</f>
        <v/>
      </c>
      <c r="K558" s="132"/>
      <c r="L558" s="132"/>
      <c r="M558" s="132"/>
      <c r="N558" s="132"/>
      <c r="O558" s="60" t="s">
        <v>31</v>
      </c>
      <c r="P558" s="132" t="str">
        <f>IF(ISNA(VLOOKUP(Y558,Master!A$8:N$127,3,FALSE)),"",VLOOKUP(Y558,Master!A$8:AH$127,3,FALSE))</f>
        <v/>
      </c>
      <c r="Q558" s="132"/>
      <c r="R558" s="132"/>
      <c r="S558" s="132"/>
      <c r="X558" s="61" t="s">
        <v>49</v>
      </c>
      <c r="Y558" s="64">
        <v>46</v>
      </c>
    </row>
    <row r="559" spans="1:27" ht="8.25" customHeight="1">
      <c r="E559" s="19"/>
      <c r="F559" s="52"/>
      <c r="G559" s="22"/>
      <c r="H559" s="22"/>
      <c r="I559" s="22"/>
      <c r="J559" s="5"/>
      <c r="K559" s="5"/>
      <c r="L559" s="5"/>
      <c r="M559" s="5"/>
      <c r="N559" s="5"/>
      <c r="O559" s="6"/>
      <c r="P559" s="6"/>
    </row>
    <row r="560" spans="1:27" ht="24.75" customHeight="1">
      <c r="A560" s="157" t="s">
        <v>0</v>
      </c>
      <c r="B560" s="158" t="s">
        <v>3</v>
      </c>
      <c r="C560" s="159" t="s">
        <v>5</v>
      </c>
      <c r="D560" s="159"/>
      <c r="E560" s="159"/>
      <c r="F560" s="159"/>
      <c r="G560" s="159" t="s">
        <v>6</v>
      </c>
      <c r="H560" s="159"/>
      <c r="I560" s="159"/>
      <c r="J560" s="159"/>
      <c r="K560" s="159" t="s">
        <v>7</v>
      </c>
      <c r="L560" s="159"/>
      <c r="M560" s="159"/>
      <c r="N560" s="159"/>
      <c r="O560" s="149" t="s">
        <v>8</v>
      </c>
      <c r="P560" s="150"/>
      <c r="Q560" s="151"/>
      <c r="R560" s="162" t="s">
        <v>54</v>
      </c>
      <c r="S560" s="162" t="s">
        <v>40</v>
      </c>
    </row>
    <row r="561" spans="1:25" ht="69" customHeight="1">
      <c r="A561" s="157"/>
      <c r="B561" s="158"/>
      <c r="C561" s="54" t="s">
        <v>29</v>
      </c>
      <c r="D561" s="55" t="s">
        <v>1</v>
      </c>
      <c r="E561" s="56" t="s">
        <v>2</v>
      </c>
      <c r="F561" s="54" t="s">
        <v>46</v>
      </c>
      <c r="G561" s="54" t="s">
        <v>29</v>
      </c>
      <c r="H561" s="55" t="s">
        <v>1</v>
      </c>
      <c r="I561" s="56" t="s">
        <v>2</v>
      </c>
      <c r="J561" s="54" t="s">
        <v>47</v>
      </c>
      <c r="K561" s="54" t="s">
        <v>4</v>
      </c>
      <c r="L561" s="55" t="s">
        <v>1</v>
      </c>
      <c r="M561" s="56" t="s">
        <v>2</v>
      </c>
      <c r="N561" s="57" t="s">
        <v>48</v>
      </c>
      <c r="O561" s="53" t="s">
        <v>69</v>
      </c>
      <c r="P561" s="65" t="s">
        <v>41</v>
      </c>
      <c r="Q561" s="57" t="s">
        <v>53</v>
      </c>
      <c r="R561" s="162"/>
      <c r="S561" s="162"/>
    </row>
    <row r="562" spans="1:25" ht="18" customHeight="1">
      <c r="A562" s="7">
        <v>1</v>
      </c>
      <c r="B562" s="7">
        <v>2</v>
      </c>
      <c r="C562" s="7">
        <v>3</v>
      </c>
      <c r="D562" s="7">
        <v>4</v>
      </c>
      <c r="E562" s="7">
        <v>5</v>
      </c>
      <c r="F562" s="7">
        <v>6</v>
      </c>
      <c r="G562" s="7">
        <v>7</v>
      </c>
      <c r="H562" s="7">
        <v>8</v>
      </c>
      <c r="I562" s="7">
        <v>9</v>
      </c>
      <c r="J562" s="7">
        <v>10</v>
      </c>
      <c r="K562" s="7">
        <v>11</v>
      </c>
      <c r="L562" s="7">
        <v>12</v>
      </c>
      <c r="M562" s="7">
        <v>13</v>
      </c>
      <c r="N562" s="7">
        <v>14</v>
      </c>
      <c r="O562" s="7">
        <v>15</v>
      </c>
      <c r="P562" s="7">
        <v>17</v>
      </c>
      <c r="Q562" s="7">
        <v>18</v>
      </c>
      <c r="R562" s="7">
        <v>19</v>
      </c>
      <c r="S562" s="7">
        <v>20</v>
      </c>
    </row>
    <row r="563" spans="1:25" ht="21" customHeight="1">
      <c r="A563" s="8">
        <v>1</v>
      </c>
      <c r="B563" s="23" t="str">
        <f>IFERROR(IF(ISNA(VLOOKUP(Y558,Master!A$8:N$127,8,FALSE)),"",VLOOKUP($Y558,Master!A$8:AH$127,8,FALSE)),"")</f>
        <v/>
      </c>
      <c r="C563" s="9" t="str">
        <f>IF(ISNA(VLOOKUP(Y558,Master!A$8:N$127,5,FALSE)),"",VLOOKUP(Y558,Master!A$8:AH$127,5,FALSE))</f>
        <v/>
      </c>
      <c r="D563" s="9" t="str">
        <f>IF(AND(C563=""),"",IF(AND(Y558=""),"",ROUND(C563*Master!C$5%,0)))</f>
        <v/>
      </c>
      <c r="E563" s="9" t="str">
        <f>IF(AND(C563=""),"",IF(AND(Y558=""),"",ROUND(C563*Master!H$5%,0)))</f>
        <v/>
      </c>
      <c r="F563" s="9" t="str">
        <f t="shared" ref="F563" si="787">IF(AND(C563=""),"",SUM(C563:E563))</f>
        <v/>
      </c>
      <c r="G563" s="9" t="str">
        <f>IF(ISNA(VLOOKUP(Y558,Master!A$8:N$127,5,FALSE)),"",VLOOKUP(Y558,Master!A$8:AH$127,5,FALSE))</f>
        <v/>
      </c>
      <c r="H563" s="9" t="str">
        <f>IF(AND(G563=""),"",IF(AND(Y558=""),"",ROUND(G563*Master!C$4%,0)))</f>
        <v/>
      </c>
      <c r="I563" s="9" t="str">
        <f>IF(AND(G563=""),"",IF(AND(Y558=""),"",ROUND(G563*Master!H$4%,0)))</f>
        <v/>
      </c>
      <c r="J563" s="9" t="str">
        <f t="shared" ref="J563:J564" si="788">IF(AND(C563=""),"",SUM(G563:I563))</f>
        <v/>
      </c>
      <c r="K563" s="9" t="str">
        <f t="shared" ref="K563:K565" si="789">IF(AND(C563=""),"",IF(AND(G563=""),"",C563-G563))</f>
        <v/>
      </c>
      <c r="L563" s="9" t="str">
        <f t="shared" ref="L563:L565" si="790">IF(AND(D563=""),"",IF(AND(H563=""),"",D563-H563))</f>
        <v/>
      </c>
      <c r="M563" s="9" t="str">
        <f t="shared" ref="M563:M564" si="791">IF(AND(E563=""),"",IF(AND(I563=""),"",E563-I563))</f>
        <v/>
      </c>
      <c r="N563" s="9" t="str">
        <f t="shared" ref="N563:N564" si="792">IF(AND(F563=""),"",IF(AND(J563=""),"",F563-J563))</f>
        <v/>
      </c>
      <c r="O563" s="9" t="str">
        <f>IF(AND(C563=""),"",N563-P563)</f>
        <v/>
      </c>
      <c r="P563" s="9" t="str">
        <f>IF(AND(Y558=""),"",IF(AND(N563=""),"",ROUND(N563*AA$1%,0)))</f>
        <v/>
      </c>
      <c r="Q563" s="9" t="str">
        <f>IF(AND(Y558=""),"",IF(AND(C563=""),"",IF(AND(O563=""),"",SUM(O563,P563))))</f>
        <v/>
      </c>
      <c r="R563" s="9" t="str">
        <f>IF(AND(N563=""),"",IF(AND(Q563=""),"",N563-Q563))</f>
        <v/>
      </c>
      <c r="S563" s="20"/>
    </row>
    <row r="564" spans="1:25" ht="21" customHeight="1">
      <c r="A564" s="8">
        <v>2</v>
      </c>
      <c r="B564" s="23" t="str">
        <f>IFERROR(DATE(YEAR(B563),MONTH(B563)+1,DAY(B563)),"")</f>
        <v/>
      </c>
      <c r="C564" s="9" t="str">
        <f>IF(AND(Y558=""),"",C563)</f>
        <v/>
      </c>
      <c r="D564" s="9" t="str">
        <f>IF(AND(C564=""),"",IF(AND(Y558=""),"",ROUND(C564*Master!C$5%,0)))</f>
        <v/>
      </c>
      <c r="E564" s="9" t="str">
        <f>IF(AND(C564=""),"",IF(AND(Y558=""),"",ROUND(C564*Master!H$5%,0)))</f>
        <v/>
      </c>
      <c r="F564" s="9" t="str">
        <f>IF(AND(C564=""),"",SUM(C564:E564))</f>
        <v/>
      </c>
      <c r="G564" s="9" t="str">
        <f>IF(AND(Y558=""),"",G563)</f>
        <v/>
      </c>
      <c r="H564" s="9" t="str">
        <f>IF(AND(G564=""),"",IF(AND(Y558=""),"",ROUND(G564*Master!C$4%,0)))</f>
        <v/>
      </c>
      <c r="I564" s="9" t="str">
        <f>IF(AND(G564=""),"",IF(AND(Y558=""),"",ROUND(G564*Master!H$4%,0)))</f>
        <v/>
      </c>
      <c r="J564" s="9" t="str">
        <f t="shared" si="788"/>
        <v/>
      </c>
      <c r="K564" s="9" t="str">
        <f t="shared" si="789"/>
        <v/>
      </c>
      <c r="L564" s="9" t="str">
        <f t="shared" si="790"/>
        <v/>
      </c>
      <c r="M564" s="9" t="str">
        <f t="shared" si="791"/>
        <v/>
      </c>
      <c r="N564" s="9" t="str">
        <f t="shared" si="792"/>
        <v/>
      </c>
      <c r="O564" s="9" t="str">
        <f t="shared" ref="O564:O565" si="793">IF(AND(C564=""),"",N564-P564)</f>
        <v/>
      </c>
      <c r="P564" s="9" t="str">
        <f>IF(AND(Y558=""),"",IF(AND(N564=""),"",ROUND(N564*AA$1%,0)))</f>
        <v/>
      </c>
      <c r="Q564" s="9" t="str">
        <f>IF(AND(Y558=""),"",IF(AND(C564=""),"",IF(AND(O564=""),"",SUM(O564,P564))))</f>
        <v/>
      </c>
      <c r="R564" s="9" t="str">
        <f t="shared" ref="R564:R565" si="794">IF(AND(N564=""),"",IF(AND(Q564=""),"",N564-Q564))</f>
        <v/>
      </c>
      <c r="S564" s="20"/>
    </row>
    <row r="565" spans="1:25" ht="21" customHeight="1">
      <c r="A565" s="8">
        <v>3</v>
      </c>
      <c r="B565" s="23" t="str">
        <f>IFERROR(DATE(YEAR(B564),MONTH(B564)+1,DAY(B564)),"")</f>
        <v/>
      </c>
      <c r="C565" s="9" t="str">
        <f>IF(AND(Y558=""),"",C564)</f>
        <v/>
      </c>
      <c r="D565" s="9" t="str">
        <f>IF(AND(C565=""),"",IF(AND(Y558=""),"",ROUND(C565*Master!C$5%,0)))</f>
        <v/>
      </c>
      <c r="E565" s="9" t="str">
        <f>IF(AND(C565=""),"",IF(AND(Y558=""),"",ROUND(C565*Master!H$5%,0)))</f>
        <v/>
      </c>
      <c r="F565" s="9" t="str">
        <f t="shared" ref="F565" si="795">IF(AND(C565=""),"",SUM(C565:E565))</f>
        <v/>
      </c>
      <c r="G565" s="9" t="str">
        <f>IF(AND(Y558=""),"",G564)</f>
        <v/>
      </c>
      <c r="H565" s="9" t="str">
        <f>IF(AND(G565=""),"",IF(AND(Y558=""),"",ROUND(G565*Master!C$4%,0)))</f>
        <v/>
      </c>
      <c r="I565" s="9" t="str">
        <f>IF(AND(G565=""),"",IF(AND(Y558=""),"",ROUND(G565*Master!H$4%,0)))</f>
        <v/>
      </c>
      <c r="J565" s="9" t="str">
        <f>IF(AND(C565=""),"",SUM(G565:I565))</f>
        <v/>
      </c>
      <c r="K565" s="9" t="str">
        <f t="shared" si="789"/>
        <v/>
      </c>
      <c r="L565" s="9" t="str">
        <f t="shared" si="790"/>
        <v/>
      </c>
      <c r="M565" s="9" t="str">
        <f>IF(AND(E565=""),"",IF(AND(I565=""),"",E565-I565))</f>
        <v/>
      </c>
      <c r="N565" s="9" t="str">
        <f>IF(AND(F565=""),"",IF(AND(J565=""),"",F565-J565))</f>
        <v/>
      </c>
      <c r="O565" s="9" t="str">
        <f t="shared" si="793"/>
        <v/>
      </c>
      <c r="P565" s="9" t="str">
        <f>IF(AND(Y558=""),"",IF(AND(N565=""),"",ROUND(N565*AA$1%,0)))</f>
        <v/>
      </c>
      <c r="Q565" s="9" t="str">
        <f>IF(AND(Y558=""),"",IF(AND(C565=""),"",IF(AND(O565=""),"",SUM(O565,P565))))</f>
        <v/>
      </c>
      <c r="R565" s="9" t="str">
        <f t="shared" si="794"/>
        <v/>
      </c>
      <c r="S565" s="20"/>
    </row>
    <row r="566" spans="1:25" ht="21" customHeight="1">
      <c r="A566" s="8">
        <v>4</v>
      </c>
      <c r="B566" s="23" t="str">
        <f>IFERROR(DATE(YEAR(B565),MONTH(B565)+1,DAY(B565)),"")</f>
        <v/>
      </c>
      <c r="C566" s="9" t="str">
        <f>IF(AND(Y559=""),"",C565)</f>
        <v/>
      </c>
      <c r="D566" s="9" t="str">
        <f>IF(AND(C566=""),"",IF(AND(Y559=""),"",ROUND(C566*Master!C$5%,0)))</f>
        <v/>
      </c>
      <c r="E566" s="9" t="str">
        <f>IF(AND(C566=""),"",IF(AND(Y559=""),"",ROUND(C566*Master!H$5%,0)))</f>
        <v/>
      </c>
      <c r="F566" s="9" t="str">
        <f t="shared" ref="F566" si="796">IF(AND(C566=""),"",SUM(C566:E566))</f>
        <v/>
      </c>
      <c r="G566" s="9" t="str">
        <f>IF(AND(Y559=""),"",G565)</f>
        <v/>
      </c>
      <c r="H566" s="9" t="str">
        <f>IF(AND(G566=""),"",IF(AND(Y559=""),"",ROUND(G566*Master!C$4%,0)))</f>
        <v/>
      </c>
      <c r="I566" s="9" t="str">
        <f>IF(AND(G566=""),"",IF(AND(Y559=""),"",ROUND(G566*Master!H$4%,0)))</f>
        <v/>
      </c>
      <c r="J566" s="9" t="str">
        <f>IF(AND(C566=""),"",SUM(G566:I566))</f>
        <v/>
      </c>
      <c r="K566" s="9" t="str">
        <f t="shared" ref="K566" si="797">IF(AND(C566=""),"",IF(AND(G566=""),"",C566-G566))</f>
        <v/>
      </c>
      <c r="L566" s="9" t="str">
        <f t="shared" ref="L566" si="798">IF(AND(D566=""),"",IF(AND(H566=""),"",D566-H566))</f>
        <v/>
      </c>
      <c r="M566" s="9" t="str">
        <f>IF(AND(E566=""),"",IF(AND(I566=""),"",E566-I566))</f>
        <v/>
      </c>
      <c r="N566" s="9" t="str">
        <f>IF(AND(F566=""),"",IF(AND(J566=""),"",F566-J566))</f>
        <v/>
      </c>
      <c r="O566" s="9" t="str">
        <f t="shared" ref="O566" si="799">IF(AND(C566=""),"",N566-P566)</f>
        <v/>
      </c>
      <c r="P566" s="9" t="str">
        <f>IF(AND(Y559=""),"",IF(AND(N566=""),"",ROUND(N566*AA$1%,0)))</f>
        <v/>
      </c>
      <c r="Q566" s="9" t="str">
        <f>IF(AND(Y559=""),"",IF(AND(C566=""),"",IF(AND(O566=""),"",SUM(O566,P566))))</f>
        <v/>
      </c>
      <c r="R566" s="9" t="str">
        <f t="shared" ref="R566" si="800">IF(AND(N566=""),"",IF(AND(Q566=""),"",N566-Q566))</f>
        <v/>
      </c>
      <c r="S566" s="20"/>
    </row>
    <row r="567" spans="1:25" ht="23.25" customHeight="1">
      <c r="A567" s="153" t="s">
        <v>9</v>
      </c>
      <c r="B567" s="154"/>
      <c r="C567" s="63">
        <f>IF(AND($Y$558=""),"",SUM(C563:C566))</f>
        <v>0</v>
      </c>
      <c r="D567" s="63">
        <f t="shared" ref="D567:R567" si="801">IF(AND($Y$558=""),"",SUM(D563:D566))</f>
        <v>0</v>
      </c>
      <c r="E567" s="63">
        <f t="shared" si="801"/>
        <v>0</v>
      </c>
      <c r="F567" s="63">
        <f t="shared" si="801"/>
        <v>0</v>
      </c>
      <c r="G567" s="63">
        <f t="shared" si="801"/>
        <v>0</v>
      </c>
      <c r="H567" s="63">
        <f t="shared" si="801"/>
        <v>0</v>
      </c>
      <c r="I567" s="63">
        <f t="shared" si="801"/>
        <v>0</v>
      </c>
      <c r="J567" s="63">
        <f t="shared" si="801"/>
        <v>0</v>
      </c>
      <c r="K567" s="63">
        <f t="shared" si="801"/>
        <v>0</v>
      </c>
      <c r="L567" s="63">
        <f t="shared" si="801"/>
        <v>0</v>
      </c>
      <c r="M567" s="63">
        <f t="shared" si="801"/>
        <v>0</v>
      </c>
      <c r="N567" s="63">
        <f t="shared" si="801"/>
        <v>0</v>
      </c>
      <c r="O567" s="63">
        <f t="shared" si="801"/>
        <v>0</v>
      </c>
      <c r="P567" s="63">
        <f t="shared" si="801"/>
        <v>0</v>
      </c>
      <c r="Q567" s="63">
        <f t="shared" si="801"/>
        <v>0</v>
      </c>
      <c r="R567" s="63">
        <f t="shared" si="801"/>
        <v>0</v>
      </c>
      <c r="S567" s="49"/>
    </row>
    <row r="568" spans="1:25" ht="10.5" customHeight="1">
      <c r="A568" s="73"/>
      <c r="B568" s="73"/>
      <c r="C568" s="74"/>
      <c r="D568" s="74"/>
      <c r="E568" s="74"/>
      <c r="F568" s="74"/>
      <c r="G568" s="74"/>
      <c r="H568" s="74"/>
      <c r="I568" s="74"/>
      <c r="J568" s="74"/>
      <c r="K568" s="74"/>
      <c r="L568" s="74"/>
      <c r="M568" s="74"/>
      <c r="N568" s="74"/>
      <c r="O568" s="74"/>
      <c r="P568" s="74"/>
      <c r="Q568" s="74"/>
      <c r="R568" s="74"/>
      <c r="S568" s="75"/>
    </row>
    <row r="569" spans="1:25" ht="23.25" customHeight="1">
      <c r="E569" s="133" t="s">
        <v>10</v>
      </c>
      <c r="F569" s="133"/>
      <c r="G569" s="133"/>
      <c r="H569" s="133"/>
      <c r="I569" s="133"/>
      <c r="J569" s="132" t="str">
        <f>IF(ISNA(VLOOKUP(Y571,Master!A$8:N$127,2,FALSE)),"",VLOOKUP(Y571,Master!A$8:AH$127,2,FALSE))</f>
        <v/>
      </c>
      <c r="K569" s="132"/>
      <c r="L569" s="132"/>
      <c r="M569" s="132"/>
      <c r="N569" s="132"/>
      <c r="O569" s="60" t="s">
        <v>31</v>
      </c>
      <c r="P569" s="132" t="str">
        <f>IF(ISNA(VLOOKUP(Y571,Master!A$8:N$127,3,FALSE)),"",VLOOKUP(Y571,Master!A$8:AH$127,3,FALSE))</f>
        <v/>
      </c>
      <c r="Q569" s="132"/>
      <c r="R569" s="132"/>
      <c r="S569" s="132"/>
    </row>
    <row r="570" spans="1:25" ht="9" customHeight="1">
      <c r="E570" s="19"/>
      <c r="F570" s="52"/>
      <c r="G570" s="22"/>
      <c r="H570" s="22"/>
      <c r="I570" s="22"/>
      <c r="J570" s="5"/>
      <c r="K570" s="5"/>
      <c r="L570" s="5"/>
      <c r="M570" s="5"/>
      <c r="N570" s="5"/>
      <c r="O570" s="6"/>
      <c r="P570" s="6"/>
    </row>
    <row r="571" spans="1:25" ht="21" customHeight="1">
      <c r="A571" s="8">
        <v>1</v>
      </c>
      <c r="B571" s="23" t="str">
        <f>IFERROR(IF(ISNA(VLOOKUP(Y571,Master!A$8:N$127,8,FALSE)),"",VLOOKUP($Y571,Master!A$8:AH$127,8,FALSE)),"")</f>
        <v/>
      </c>
      <c r="C571" s="9" t="str">
        <f>IF(ISNA(VLOOKUP(Y571,Master!A$8:N$127,5,FALSE)),"",VLOOKUP(Y571,Master!A$8:AH$127,5,FALSE))</f>
        <v/>
      </c>
      <c r="D571" s="9" t="str">
        <f>IF(AND(C571=""),"",IF(AND(Y571=""),"",ROUND(C571*Master!C$5%,0)))</f>
        <v/>
      </c>
      <c r="E571" s="9" t="str">
        <f>IF(AND(C571=""),"",IF(AND(Y571=""),"",ROUND(C571*Master!H$5%,0)))</f>
        <v/>
      </c>
      <c r="F571" s="9" t="str">
        <f t="shared" ref="F571:F573" si="802">IF(AND(C571=""),"",SUM(C571:E571))</f>
        <v/>
      </c>
      <c r="G571" s="9" t="str">
        <f>IF(ISNA(VLOOKUP(Y571,Master!A$8:N$127,5,FALSE)),"",VLOOKUP(Y571,Master!A$8:AH$127,5,FALSE))</f>
        <v/>
      </c>
      <c r="H571" s="9" t="str">
        <f>IF(AND(G571=""),"",IF(AND(Y571=""),"",ROUND(G571*Master!C$4%,0)))</f>
        <v/>
      </c>
      <c r="I571" s="9" t="str">
        <f>IF(AND(G571=""),"",IF(AND(Y571=""),"",ROUND(G571*Master!H$4%,0)))</f>
        <v/>
      </c>
      <c r="J571" s="9" t="str">
        <f t="shared" ref="J571:J573" si="803">IF(AND(C571=""),"",SUM(G571:I571))</f>
        <v/>
      </c>
      <c r="K571" s="9" t="str">
        <f t="shared" ref="K571" si="804">IF(AND(C571=""),"",IF(AND(G571=""),"",C571-G571))</f>
        <v/>
      </c>
      <c r="L571" s="9" t="str">
        <f>IF(AND(D571=""),"",IF(AND(H571=""),"",D571-H571))</f>
        <v/>
      </c>
      <c r="M571" s="9" t="str">
        <f t="shared" ref="M571:M573" si="805">IF(AND(E571=""),"",IF(AND(I571=""),"",E571-I571))</f>
        <v/>
      </c>
      <c r="N571" s="9" t="str">
        <f t="shared" ref="N571:N573" si="806">IF(AND(F571=""),"",IF(AND(J571=""),"",F571-J571))</f>
        <v/>
      </c>
      <c r="O571" s="9" t="str">
        <f>IF(AND(C571=""),"",N571-P571)</f>
        <v/>
      </c>
      <c r="P571" s="9" t="str">
        <f>IF(AND(Y571=""),"",IF(AND(N571=""),"",ROUND(N571*X$17%,0)))</f>
        <v/>
      </c>
      <c r="Q571" s="9" t="str">
        <f>IF(AND(Y571=""),"",IF(AND(C571=""),"",IF(AND(O571=""),"",SUM(O571,P571))))</f>
        <v/>
      </c>
      <c r="R571" s="9" t="str">
        <f>IF(AND(N571=""),"",IF(AND(Q571=""),"",N571-Q571))</f>
        <v/>
      </c>
      <c r="S571" s="20"/>
      <c r="X571" s="61" t="s">
        <v>49</v>
      </c>
      <c r="Y571" s="64">
        <v>47</v>
      </c>
    </row>
    <row r="572" spans="1:25" ht="21" customHeight="1">
      <c r="A572" s="8">
        <v>2</v>
      </c>
      <c r="B572" s="23" t="str">
        <f>IFERROR(DATE(YEAR(B571),MONTH(B571)+1,DAY(B571)),"")</f>
        <v/>
      </c>
      <c r="C572" s="9" t="str">
        <f>IF(AND(Y571=""),"",C571)</f>
        <v/>
      </c>
      <c r="D572" s="9" t="str">
        <f>IF(AND(C572=""),"",IF(AND(Y571=""),"",ROUND(C572*Master!C$5%,0)))</f>
        <v/>
      </c>
      <c r="E572" s="9" t="str">
        <f>IF(AND(C572=""),"",IF(AND(Y571=""),"",ROUND(C572*Master!H$5%,0)))</f>
        <v/>
      </c>
      <c r="F572" s="9" t="str">
        <f t="shared" si="802"/>
        <v/>
      </c>
      <c r="G572" s="9" t="str">
        <f>IF(AND(Y571=""),"",G571)</f>
        <v/>
      </c>
      <c r="H572" s="9" t="str">
        <f>IF(AND(G572=""),"",IF(AND(Y571=""),"",ROUND(G572*Master!C$4%,0)))</f>
        <v/>
      </c>
      <c r="I572" s="9" t="str">
        <f>IF(AND(G572=""),"",IF(AND(Y571=""),"",ROUND(G572*Master!H$4%,0)))</f>
        <v/>
      </c>
      <c r="J572" s="9" t="str">
        <f t="shared" si="803"/>
        <v/>
      </c>
      <c r="K572" s="9" t="str">
        <f>IF(AND(C572=""),"",IF(AND(G572=""),"",C572-G572))</f>
        <v/>
      </c>
      <c r="L572" s="9" t="str">
        <f t="shared" ref="L572:L573" si="807">IF(AND(D572=""),"",IF(AND(H572=""),"",D572-H572))</f>
        <v/>
      </c>
      <c r="M572" s="9" t="str">
        <f t="shared" si="805"/>
        <v/>
      </c>
      <c r="N572" s="9" t="str">
        <f t="shared" si="806"/>
        <v/>
      </c>
      <c r="O572" s="9" t="str">
        <f t="shared" ref="O572:O573" si="808">IF(AND(C572=""),"",N572-P572)</f>
        <v/>
      </c>
      <c r="P572" s="9" t="str">
        <f>IF(AND(Y571=""),"",IF(AND(N572=""),"",ROUND(N572*X$17%,0)))</f>
        <v/>
      </c>
      <c r="Q572" s="9" t="str">
        <f>IF(AND(Y571=""),"",IF(AND(C572=""),"",IF(AND(O572=""),"",SUM(O572,P572))))</f>
        <v/>
      </c>
      <c r="R572" s="9" t="str">
        <f t="shared" ref="R572:R573" si="809">IF(AND(N572=""),"",IF(AND(Q572=""),"",N572-Q572))</f>
        <v/>
      </c>
      <c r="S572" s="20"/>
      <c r="X572" s="4" t="str">
        <f>IF(ISNA(VLOOKUP(Y571,Master!A$8:N$127,7,FALSE)),"",VLOOKUP(Y571,Master!A$8:AH$127,7,FALSE))</f>
        <v/>
      </c>
    </row>
    <row r="573" spans="1:25" ht="21" customHeight="1">
      <c r="A573" s="8">
        <v>3</v>
      </c>
      <c r="B573" s="23" t="str">
        <f>IFERROR(DATE(YEAR(B572),MONTH(B572)+1,DAY(B572)),"")</f>
        <v/>
      </c>
      <c r="C573" s="9" t="str">
        <f>IF(AND(Y571=""),"",C572)</f>
        <v/>
      </c>
      <c r="D573" s="9" t="str">
        <f>IF(AND(C573=""),"",IF(AND(Y571=""),"",ROUND(C573*Master!C$5%,0)))</f>
        <v/>
      </c>
      <c r="E573" s="9" t="str">
        <f>IF(AND(C573=""),"",IF(AND(Y571=""),"",ROUND(C573*Master!H$5%,0)))</f>
        <v/>
      </c>
      <c r="F573" s="9" t="str">
        <f t="shared" si="802"/>
        <v/>
      </c>
      <c r="G573" s="9" t="str">
        <f>IF(AND(Y571=""),"",G572)</f>
        <v/>
      </c>
      <c r="H573" s="9" t="str">
        <f>IF(AND(G573=""),"",IF(AND(Y571=""),"",ROUND(G573*Master!C$4%,0)))</f>
        <v/>
      </c>
      <c r="I573" s="9" t="str">
        <f>IF(AND(G573=""),"",IF(AND(Y571=""),"",ROUND(G573*Master!H$4%,0)))</f>
        <v/>
      </c>
      <c r="J573" s="9" t="str">
        <f t="shared" si="803"/>
        <v/>
      </c>
      <c r="K573" s="9" t="str">
        <f t="shared" ref="K573" si="810">IF(AND(C573=""),"",IF(AND(G573=""),"",C573-G573))</f>
        <v/>
      </c>
      <c r="L573" s="9" t="str">
        <f t="shared" si="807"/>
        <v/>
      </c>
      <c r="M573" s="9" t="str">
        <f t="shared" si="805"/>
        <v/>
      </c>
      <c r="N573" s="9" t="str">
        <f t="shared" si="806"/>
        <v/>
      </c>
      <c r="O573" s="9" t="str">
        <f t="shared" si="808"/>
        <v/>
      </c>
      <c r="P573" s="9" t="str">
        <f>IF(AND(Y571=""),"",IF(AND(N573=""),"",ROUND(N573*X$17%,0)))</f>
        <v/>
      </c>
      <c r="Q573" s="9" t="str">
        <f>IF(AND(Y571=""),"",IF(AND(C573=""),"",IF(AND(O573=""),"",SUM(O573,P573))))</f>
        <v/>
      </c>
      <c r="R573" s="9" t="str">
        <f t="shared" si="809"/>
        <v/>
      </c>
      <c r="S573" s="20"/>
    </row>
    <row r="574" spans="1:25" ht="21" customHeight="1">
      <c r="A574" s="8">
        <v>4</v>
      </c>
      <c r="B574" s="23" t="str">
        <f>IFERROR(DATE(YEAR(B573),MONTH(B573)+1,DAY(B573)),"")</f>
        <v/>
      </c>
      <c r="C574" s="9" t="str">
        <f>IF(AND(Y572=""),"",C573)</f>
        <v/>
      </c>
      <c r="D574" s="9" t="str">
        <f>IF(AND(C574=""),"",IF(AND(Y572=""),"",ROUND(C574*Master!C$5%,0)))</f>
        <v/>
      </c>
      <c r="E574" s="9" t="str">
        <f>IF(AND(C574=""),"",IF(AND(Y572=""),"",ROUND(C574*Master!H$5%,0)))</f>
        <v/>
      </c>
      <c r="F574" s="9" t="str">
        <f t="shared" ref="F574" si="811">IF(AND(C574=""),"",SUM(C574:E574))</f>
        <v/>
      </c>
      <c r="G574" s="9" t="str">
        <f>IF(AND(Y572=""),"",G573)</f>
        <v/>
      </c>
      <c r="H574" s="9" t="str">
        <f>IF(AND(G574=""),"",IF(AND(Y572=""),"",ROUND(G574*Master!C$4%,0)))</f>
        <v/>
      </c>
      <c r="I574" s="9" t="str">
        <f>IF(AND(G574=""),"",IF(AND(Y572=""),"",ROUND(G574*Master!H$4%,0)))</f>
        <v/>
      </c>
      <c r="J574" s="9" t="str">
        <f t="shared" ref="J574" si="812">IF(AND(C574=""),"",SUM(G574:I574))</f>
        <v/>
      </c>
      <c r="K574" s="9" t="str">
        <f t="shared" ref="K574" si="813">IF(AND(C574=""),"",IF(AND(G574=""),"",C574-G574))</f>
        <v/>
      </c>
      <c r="L574" s="9" t="str">
        <f t="shared" ref="L574" si="814">IF(AND(D574=""),"",IF(AND(H574=""),"",D574-H574))</f>
        <v/>
      </c>
      <c r="M574" s="9" t="str">
        <f t="shared" ref="M574" si="815">IF(AND(E574=""),"",IF(AND(I574=""),"",E574-I574))</f>
        <v/>
      </c>
      <c r="N574" s="9" t="str">
        <f t="shared" ref="N574" si="816">IF(AND(F574=""),"",IF(AND(J574=""),"",F574-J574))</f>
        <v/>
      </c>
      <c r="O574" s="9" t="str">
        <f t="shared" ref="O574" si="817">IF(AND(C574=""),"",N574-P574)</f>
        <v/>
      </c>
      <c r="P574" s="9" t="str">
        <f>IF(AND(Y572=""),"",IF(AND(N574=""),"",ROUND(N574*X$17%,0)))</f>
        <v/>
      </c>
      <c r="Q574" s="9" t="str">
        <f>IF(AND(Y572=""),"",IF(AND(C574=""),"",IF(AND(O574=""),"",SUM(O574,P574))))</f>
        <v/>
      </c>
      <c r="R574" s="9" t="str">
        <f t="shared" ref="R574" si="818">IF(AND(N574=""),"",IF(AND(Q574=""),"",N574-Q574))</f>
        <v/>
      </c>
      <c r="S574" s="20"/>
    </row>
    <row r="575" spans="1:25" ht="30.75" customHeight="1">
      <c r="A575" s="153" t="s">
        <v>9</v>
      </c>
      <c r="B575" s="154"/>
      <c r="C575" s="63">
        <f>IF(AND($Y$571=""),"",SUM(C571:C574))</f>
        <v>0</v>
      </c>
      <c r="D575" s="63">
        <f t="shared" ref="D575:R575" si="819">IF(AND($Y$571=""),"",SUM(D571:D574))</f>
        <v>0</v>
      </c>
      <c r="E575" s="63">
        <f t="shared" si="819"/>
        <v>0</v>
      </c>
      <c r="F575" s="63">
        <f t="shared" si="819"/>
        <v>0</v>
      </c>
      <c r="G575" s="63">
        <f t="shared" si="819"/>
        <v>0</v>
      </c>
      <c r="H575" s="63">
        <f t="shared" si="819"/>
        <v>0</v>
      </c>
      <c r="I575" s="63">
        <f t="shared" si="819"/>
        <v>0</v>
      </c>
      <c r="J575" s="63">
        <f t="shared" si="819"/>
        <v>0</v>
      </c>
      <c r="K575" s="63">
        <f t="shared" si="819"/>
        <v>0</v>
      </c>
      <c r="L575" s="63">
        <f t="shared" si="819"/>
        <v>0</v>
      </c>
      <c r="M575" s="63">
        <f t="shared" si="819"/>
        <v>0</v>
      </c>
      <c r="N575" s="63">
        <f t="shared" si="819"/>
        <v>0</v>
      </c>
      <c r="O575" s="63">
        <f t="shared" si="819"/>
        <v>0</v>
      </c>
      <c r="P575" s="63">
        <f t="shared" si="819"/>
        <v>0</v>
      </c>
      <c r="Q575" s="63">
        <f t="shared" si="819"/>
        <v>0</v>
      </c>
      <c r="R575" s="63">
        <f t="shared" si="819"/>
        <v>0</v>
      </c>
      <c r="S575" s="49"/>
    </row>
    <row r="576" spans="1:25" ht="11.25" customHeight="1">
      <c r="A576" s="73"/>
      <c r="B576" s="73"/>
      <c r="C576" s="74"/>
      <c r="D576" s="74"/>
      <c r="E576" s="74"/>
      <c r="F576" s="74"/>
      <c r="G576" s="74"/>
      <c r="H576" s="74"/>
      <c r="I576" s="74"/>
      <c r="J576" s="74"/>
      <c r="K576" s="74"/>
      <c r="L576" s="74"/>
      <c r="M576" s="74"/>
      <c r="N576" s="74"/>
      <c r="O576" s="74"/>
      <c r="P576" s="74"/>
      <c r="Q576" s="74"/>
      <c r="R576" s="74"/>
      <c r="S576" s="75"/>
    </row>
    <row r="577" spans="1:25" ht="23.25" customHeight="1">
      <c r="E577" s="133" t="s">
        <v>10</v>
      </c>
      <c r="F577" s="133"/>
      <c r="G577" s="133"/>
      <c r="H577" s="133"/>
      <c r="I577" s="133"/>
      <c r="J577" s="132" t="str">
        <f>IF(ISNA(VLOOKUP(Y579,Master!A$8:N$127,2,FALSE)),"",VLOOKUP(Y579,Master!A$8:AH$127,2,FALSE))</f>
        <v/>
      </c>
      <c r="K577" s="132"/>
      <c r="L577" s="132"/>
      <c r="M577" s="132"/>
      <c r="N577" s="132"/>
      <c r="O577" s="60" t="s">
        <v>31</v>
      </c>
      <c r="P577" s="132" t="str">
        <f>IF(ISNA(VLOOKUP($Y$431,Master!A$8:N$127,3,FALSE)),"",VLOOKUP($Y$431,Master!A$8:AH$127,3,FALSE))</f>
        <v/>
      </c>
      <c r="Q577" s="132"/>
      <c r="R577" s="132"/>
      <c r="S577" s="132"/>
    </row>
    <row r="578" spans="1:25" ht="9" customHeight="1">
      <c r="E578" s="19"/>
      <c r="F578" s="52"/>
      <c r="G578" s="22"/>
      <c r="H578" s="22"/>
      <c r="I578" s="22"/>
      <c r="J578" s="5"/>
      <c r="K578" s="5"/>
      <c r="L578" s="5"/>
      <c r="M578" s="5"/>
      <c r="N578" s="5"/>
      <c r="O578" s="6"/>
      <c r="P578" s="6"/>
    </row>
    <row r="579" spans="1:25" ht="21" customHeight="1">
      <c r="A579" s="8">
        <v>1</v>
      </c>
      <c r="B579" s="23" t="str">
        <f>IFERROR(IF(ISNA(VLOOKUP(Y579,Master!A$8:N$127,8,FALSE)),"",VLOOKUP($Y579,Master!A$8:AH$127,8,FALSE)),"")</f>
        <v/>
      </c>
      <c r="C579" s="9" t="str">
        <f>IF(ISNA(VLOOKUP(Y579,Master!A$8:N$127,5,FALSE)),"",VLOOKUP(Y579,Master!A$8:AH$127,5,FALSE))</f>
        <v/>
      </c>
      <c r="D579" s="9" t="str">
        <f>IF(AND(C579=""),"",IF(AND(Y579=""),"",ROUND(C579*Master!C$5%,0)))</f>
        <v/>
      </c>
      <c r="E579" s="9" t="str">
        <f>IF(AND(C579=""),"",IF(AND(Y579=""),"",ROUND(C579*Master!H$5%,0)))</f>
        <v/>
      </c>
      <c r="F579" s="9" t="str">
        <f t="shared" ref="F579:F581" si="820">IF(AND(C579=""),"",SUM(C579:E579))</f>
        <v/>
      </c>
      <c r="G579" s="9" t="str">
        <f>IF(ISNA(VLOOKUP(Y579,Master!A$8:N$127,5,FALSE)),"",VLOOKUP(Y579,Master!A$8:AH$127,5,FALSE))</f>
        <v/>
      </c>
      <c r="H579" s="9" t="str">
        <f>IF(AND(G579=""),"",IF(AND(Y579=""),"",ROUND(G579*Master!C$4%,0)))</f>
        <v/>
      </c>
      <c r="I579" s="9" t="str">
        <f>IF(AND(G579=""),"",IF(AND(Y579=""),"",ROUND(G579*Master!H$4%,0)))</f>
        <v/>
      </c>
      <c r="J579" s="9" t="str">
        <f t="shared" ref="J579:J581" si="821">IF(AND(C579=""),"",SUM(G579:I579))</f>
        <v/>
      </c>
      <c r="K579" s="9" t="str">
        <f t="shared" ref="K579:K581" si="822">IF(AND(C579=""),"",IF(AND(G579=""),"",C579-G579))</f>
        <v/>
      </c>
      <c r="L579" s="9" t="str">
        <f t="shared" ref="L579:L581" si="823">IF(AND(D579=""),"",IF(AND(H579=""),"",D579-H579))</f>
        <v/>
      </c>
      <c r="M579" s="9" t="str">
        <f t="shared" ref="M579:M581" si="824">IF(AND(E579=""),"",IF(AND(I579=""),"",E579-I579))</f>
        <v/>
      </c>
      <c r="N579" s="9" t="str">
        <f t="shared" ref="N579:N581" si="825">IF(AND(F579=""),"",IF(AND(J579=""),"",F579-J579))</f>
        <v/>
      </c>
      <c r="O579" s="9" t="str">
        <f>IF(AND(C579=""),"",N579-P579)</f>
        <v/>
      </c>
      <c r="P579" s="9" t="str">
        <f>IF(AND(Y579=""),"",IF(AND(N579=""),"",ROUND(N579*AA$1%,0)))</f>
        <v/>
      </c>
      <c r="Q579" s="9" t="str">
        <f>IF(AND(Y579=""),"",IF(AND(C579=""),"",IF(AND(O579=""),"",SUM(O579,P579))))</f>
        <v/>
      </c>
      <c r="R579" s="9" t="str">
        <f>IF(AND(N579=""),"",IF(AND(Q579=""),"",N579-Q579))</f>
        <v/>
      </c>
      <c r="S579" s="20"/>
      <c r="X579" s="61" t="s">
        <v>49</v>
      </c>
      <c r="Y579" s="64">
        <v>48</v>
      </c>
    </row>
    <row r="580" spans="1:25" ht="21" customHeight="1">
      <c r="A580" s="8">
        <v>2</v>
      </c>
      <c r="B580" s="23" t="str">
        <f>IFERROR(DATE(YEAR(B579),MONTH(B579)+1,DAY(B579)),"")</f>
        <v/>
      </c>
      <c r="C580" s="9" t="str">
        <f>IF(AND(Y579=""),"",C579)</f>
        <v/>
      </c>
      <c r="D580" s="9" t="str">
        <f>IF(AND(C580=""),"",IF(AND(Y579=""),"",ROUND(C580*Master!C$5%,0)))</f>
        <v/>
      </c>
      <c r="E580" s="9" t="str">
        <f>IF(AND(C580=""),"",IF(AND(Y579=""),"",ROUND(C580*Master!H$5%,0)))</f>
        <v/>
      </c>
      <c r="F580" s="9" t="str">
        <f t="shared" si="820"/>
        <v/>
      </c>
      <c r="G580" s="9" t="str">
        <f>IF(AND(Y579=""),"",G579)</f>
        <v/>
      </c>
      <c r="H580" s="9" t="str">
        <f>IF(AND(G580=""),"",IF(AND(Y579=""),"",ROUND(G580*Master!C$4%,0)))</f>
        <v/>
      </c>
      <c r="I580" s="9" t="str">
        <f>IF(AND(G580=""),"",IF(AND(Y579=""),"",ROUND(G580*Master!H$4%,0)))</f>
        <v/>
      </c>
      <c r="J580" s="9" t="str">
        <f t="shared" si="821"/>
        <v/>
      </c>
      <c r="K580" s="9" t="str">
        <f t="shared" si="822"/>
        <v/>
      </c>
      <c r="L580" s="9" t="str">
        <f t="shared" si="823"/>
        <v/>
      </c>
      <c r="M580" s="9" t="str">
        <f t="shared" si="824"/>
        <v/>
      </c>
      <c r="N580" s="9" t="str">
        <f t="shared" si="825"/>
        <v/>
      </c>
      <c r="O580" s="9" t="str">
        <f t="shared" ref="O580:O581" si="826">IF(AND(C580=""),"",N580-P580)</f>
        <v/>
      </c>
      <c r="P580" s="9" t="str">
        <f>IF(AND(Y579=""),"",IF(AND(N580=""),"",ROUND(N580*AA$1%,0)))</f>
        <v/>
      </c>
      <c r="Q580" s="9" t="str">
        <f>IF(AND(Y579=""),"",IF(AND(C580=""),"",IF(AND(O580=""),"",SUM(O580,P580))))</f>
        <v/>
      </c>
      <c r="R580" s="9" t="str">
        <f t="shared" ref="R580:R581" si="827">IF(AND(N580=""),"",IF(AND(Q580=""),"",N580-Q580))</f>
        <v/>
      </c>
      <c r="S580" s="20"/>
      <c r="X580" s="4" t="str">
        <f>IF(ISNA(VLOOKUP(Y579,Master!A$8:N$127,7,FALSE)),"",VLOOKUP(Y579,Master!A$8:AH$127,7,FALSE))</f>
        <v/>
      </c>
    </row>
    <row r="581" spans="1:25" ht="21" customHeight="1">
      <c r="A581" s="8">
        <v>3</v>
      </c>
      <c r="B581" s="23" t="str">
        <f>IFERROR(DATE(YEAR(B580),MONTH(B580)+1,DAY(B580)),"")</f>
        <v/>
      </c>
      <c r="C581" s="9" t="str">
        <f>IF(AND(Y579=""),"",C580)</f>
        <v/>
      </c>
      <c r="D581" s="9" t="str">
        <f>IF(AND(C581=""),"",IF(AND(Y579=""),"",ROUND(C581*Master!C$5%,0)))</f>
        <v/>
      </c>
      <c r="E581" s="9" t="str">
        <f>IF(AND(C581=""),"",IF(AND(Y579=""),"",ROUND(C581*Master!H$5%,0)))</f>
        <v/>
      </c>
      <c r="F581" s="9" t="str">
        <f t="shared" si="820"/>
        <v/>
      </c>
      <c r="G581" s="9" t="str">
        <f>IF(AND(Y579=""),"",G580)</f>
        <v/>
      </c>
      <c r="H581" s="9" t="str">
        <f>IF(AND(G581=""),"",IF(AND(Y579=""),"",ROUND(G581*Master!C$4%,0)))</f>
        <v/>
      </c>
      <c r="I581" s="9" t="str">
        <f>IF(AND(G581=""),"",IF(AND(Y579=""),"",ROUND(G581*Master!H$4%,0)))</f>
        <v/>
      </c>
      <c r="J581" s="9" t="str">
        <f t="shared" si="821"/>
        <v/>
      </c>
      <c r="K581" s="9" t="str">
        <f t="shared" si="822"/>
        <v/>
      </c>
      <c r="L581" s="9" t="str">
        <f t="shared" si="823"/>
        <v/>
      </c>
      <c r="M581" s="9" t="str">
        <f t="shared" si="824"/>
        <v/>
      </c>
      <c r="N581" s="9" t="str">
        <f t="shared" si="825"/>
        <v/>
      </c>
      <c r="O581" s="9" t="str">
        <f t="shared" si="826"/>
        <v/>
      </c>
      <c r="P581" s="9" t="str">
        <f>IF(AND(Y579=""),"",IF(AND(N581=""),"",ROUND(N581*AA$1%,0)))</f>
        <v/>
      </c>
      <c r="Q581" s="9" t="str">
        <f>IF(AND(Y579=""),"",IF(AND(C581=""),"",IF(AND(O581=""),"",SUM(O581,P581))))</f>
        <v/>
      </c>
      <c r="R581" s="9" t="str">
        <f t="shared" si="827"/>
        <v/>
      </c>
      <c r="S581" s="20"/>
    </row>
    <row r="582" spans="1:25" ht="21" customHeight="1">
      <c r="A582" s="8">
        <v>4</v>
      </c>
      <c r="B582" s="23" t="str">
        <f>IFERROR(DATE(YEAR(B581),MONTH(B581)+1,DAY(B581)),"")</f>
        <v/>
      </c>
      <c r="C582" s="9" t="str">
        <f>IF(AND(Y580=""),"",C581)</f>
        <v/>
      </c>
      <c r="D582" s="9" t="str">
        <f>IF(AND(C582=""),"",IF(AND(Y580=""),"",ROUND(C582*Master!C$5%,0)))</f>
        <v/>
      </c>
      <c r="E582" s="9" t="str">
        <f>IF(AND(C582=""),"",IF(AND(Y580=""),"",ROUND(C582*Master!H$5%,0)))</f>
        <v/>
      </c>
      <c r="F582" s="9" t="str">
        <f t="shared" ref="F582" si="828">IF(AND(C582=""),"",SUM(C582:E582))</f>
        <v/>
      </c>
      <c r="G582" s="9" t="str">
        <f>IF(AND(Y580=""),"",G581)</f>
        <v/>
      </c>
      <c r="H582" s="9" t="str">
        <f>IF(AND(G582=""),"",IF(AND(Y580=""),"",ROUND(G582*Master!C$4%,0)))</f>
        <v/>
      </c>
      <c r="I582" s="9" t="str">
        <f>IF(AND(G582=""),"",IF(AND(Y580=""),"",ROUND(G582*Master!H$4%,0)))</f>
        <v/>
      </c>
      <c r="J582" s="9" t="str">
        <f t="shared" ref="J582" si="829">IF(AND(C582=""),"",SUM(G582:I582))</f>
        <v/>
      </c>
      <c r="K582" s="9" t="str">
        <f t="shared" ref="K582" si="830">IF(AND(C582=""),"",IF(AND(G582=""),"",C582-G582))</f>
        <v/>
      </c>
      <c r="L582" s="9" t="str">
        <f t="shared" ref="L582" si="831">IF(AND(D582=""),"",IF(AND(H582=""),"",D582-H582))</f>
        <v/>
      </c>
      <c r="M582" s="9" t="str">
        <f t="shared" ref="M582" si="832">IF(AND(E582=""),"",IF(AND(I582=""),"",E582-I582))</f>
        <v/>
      </c>
      <c r="N582" s="9" t="str">
        <f t="shared" ref="N582" si="833">IF(AND(F582=""),"",IF(AND(J582=""),"",F582-J582))</f>
        <v/>
      </c>
      <c r="O582" s="9" t="str">
        <f t="shared" ref="O582" si="834">IF(AND(C582=""),"",N582-P582)</f>
        <v/>
      </c>
      <c r="P582" s="9" t="str">
        <f>IF(AND(Y580=""),"",IF(AND(N582=""),"",ROUND(N582*AA$1%,0)))</f>
        <v/>
      </c>
      <c r="Q582" s="9" t="str">
        <f>IF(AND(Y580=""),"",IF(AND(C582=""),"",IF(AND(O582=""),"",SUM(O582,P582))))</f>
        <v/>
      </c>
      <c r="R582" s="9" t="str">
        <f t="shared" ref="R582" si="835">IF(AND(N582=""),"",IF(AND(Q582=""),"",N582-Q582))</f>
        <v/>
      </c>
      <c r="S582" s="20"/>
    </row>
    <row r="583" spans="1:25" ht="30.75" customHeight="1">
      <c r="A583" s="153" t="s">
        <v>9</v>
      </c>
      <c r="B583" s="154"/>
      <c r="C583" s="63">
        <f>IF(AND($Y$579=""),"",SUM(C579:C582))</f>
        <v>0</v>
      </c>
      <c r="D583" s="63">
        <f t="shared" ref="D583:R583" si="836">IF(AND($Y$579=""),"",SUM(D579:D582))</f>
        <v>0</v>
      </c>
      <c r="E583" s="63">
        <f t="shared" si="836"/>
        <v>0</v>
      </c>
      <c r="F583" s="63">
        <f t="shared" si="836"/>
        <v>0</v>
      </c>
      <c r="G583" s="63">
        <f t="shared" si="836"/>
        <v>0</v>
      </c>
      <c r="H583" s="63">
        <f t="shared" si="836"/>
        <v>0</v>
      </c>
      <c r="I583" s="63">
        <f t="shared" si="836"/>
        <v>0</v>
      </c>
      <c r="J583" s="63">
        <f t="shared" si="836"/>
        <v>0</v>
      </c>
      <c r="K583" s="63">
        <f t="shared" si="836"/>
        <v>0</v>
      </c>
      <c r="L583" s="63">
        <f t="shared" si="836"/>
        <v>0</v>
      </c>
      <c r="M583" s="63">
        <f t="shared" si="836"/>
        <v>0</v>
      </c>
      <c r="N583" s="63">
        <f t="shared" si="836"/>
        <v>0</v>
      </c>
      <c r="O583" s="63">
        <f t="shared" si="836"/>
        <v>0</v>
      </c>
      <c r="P583" s="63">
        <f t="shared" si="836"/>
        <v>0</v>
      </c>
      <c r="Q583" s="63">
        <f t="shared" si="836"/>
        <v>0</v>
      </c>
      <c r="R583" s="63">
        <f t="shared" si="836"/>
        <v>0</v>
      </c>
      <c r="S583" s="49"/>
    </row>
    <row r="584" spans="1:25" ht="30.75" customHeight="1">
      <c r="A584" s="73"/>
      <c r="B584" s="73"/>
      <c r="C584" s="74"/>
      <c r="D584" s="74"/>
      <c r="E584" s="74"/>
      <c r="F584" s="74"/>
      <c r="G584" s="74"/>
      <c r="H584" s="74"/>
      <c r="I584" s="74"/>
      <c r="J584" s="74"/>
      <c r="K584" s="74"/>
      <c r="L584" s="74"/>
      <c r="M584" s="74"/>
      <c r="N584" s="74"/>
      <c r="O584" s="74"/>
      <c r="P584" s="74"/>
      <c r="Q584" s="74"/>
      <c r="R584" s="74"/>
      <c r="S584" s="75"/>
    </row>
    <row r="585" spans="1:25" ht="18.75">
      <c r="A585" s="21"/>
      <c r="B585" s="58"/>
      <c r="C585" s="58"/>
      <c r="D585" s="58"/>
      <c r="E585" s="58"/>
      <c r="F585" s="58"/>
      <c r="G585" s="58"/>
      <c r="H585" s="59"/>
      <c r="I585" s="59"/>
      <c r="J585" s="59"/>
      <c r="K585" s="66"/>
      <c r="L585" s="66"/>
      <c r="M585" s="66"/>
      <c r="N585" s="66"/>
      <c r="O585" s="138" t="s">
        <v>42</v>
      </c>
      <c r="P585" s="138"/>
      <c r="Q585" s="138"/>
      <c r="R585" s="138"/>
      <c r="S585" s="138"/>
    </row>
    <row r="586" spans="1:25" ht="18.75">
      <c r="A586" s="1"/>
      <c r="B586" s="24" t="s">
        <v>19</v>
      </c>
      <c r="C586" s="139"/>
      <c r="D586" s="139"/>
      <c r="E586" s="139"/>
      <c r="F586" s="139"/>
      <c r="G586" s="139"/>
      <c r="H586" s="25"/>
      <c r="I586" s="143" t="s">
        <v>20</v>
      </c>
      <c r="J586" s="143"/>
      <c r="K586" s="141"/>
      <c r="L586" s="141"/>
      <c r="M586" s="141"/>
      <c r="O586" s="138"/>
      <c r="P586" s="138"/>
      <c r="Q586" s="138"/>
      <c r="R586" s="138"/>
      <c r="S586" s="138"/>
    </row>
    <row r="587" spans="1:25" ht="18.75">
      <c r="A587" s="1"/>
      <c r="B587" s="140" t="s">
        <v>21</v>
      </c>
      <c r="C587" s="140"/>
      <c r="D587" s="140"/>
      <c r="E587" s="140"/>
      <c r="F587" s="140"/>
      <c r="G587" s="140"/>
      <c r="H587" s="140"/>
      <c r="I587" s="27"/>
      <c r="J587" s="26"/>
      <c r="K587" s="26"/>
      <c r="L587" s="26"/>
      <c r="M587" s="26"/>
    </row>
    <row r="588" spans="1:25" ht="18.75">
      <c r="A588" s="22">
        <v>1</v>
      </c>
      <c r="B588" s="142" t="s">
        <v>22</v>
      </c>
      <c r="C588" s="142"/>
      <c r="D588" s="142"/>
      <c r="E588" s="142"/>
      <c r="F588" s="142"/>
      <c r="G588" s="142"/>
      <c r="H588" s="142"/>
      <c r="I588" s="28"/>
      <c r="J588" s="26"/>
      <c r="K588" s="26"/>
      <c r="L588" s="26"/>
      <c r="M588" s="26"/>
    </row>
    <row r="589" spans="1:25" ht="18.75">
      <c r="A589" s="2">
        <v>2</v>
      </c>
      <c r="B589" s="142" t="s">
        <v>23</v>
      </c>
      <c r="C589" s="142"/>
      <c r="D589" s="142"/>
      <c r="E589" s="142"/>
      <c r="F589" s="142"/>
      <c r="G589" s="132"/>
      <c r="H589" s="132"/>
      <c r="I589" s="132"/>
      <c r="J589" s="132"/>
      <c r="K589" s="132"/>
      <c r="L589" s="132"/>
      <c r="M589" s="132"/>
    </row>
    <row r="590" spans="1:25" ht="18.75">
      <c r="A590" s="3">
        <v>3</v>
      </c>
      <c r="B590" s="142" t="s">
        <v>24</v>
      </c>
      <c r="C590" s="142"/>
      <c r="D590" s="142"/>
      <c r="E590" s="29"/>
      <c r="F590" s="28"/>
      <c r="G590" s="28"/>
      <c r="H590" s="30"/>
      <c r="I590" s="31"/>
      <c r="J590" s="26"/>
      <c r="K590" s="26"/>
      <c r="L590" s="26"/>
      <c r="M590" s="26"/>
    </row>
    <row r="591" spans="1:25" ht="15.75">
      <c r="O591" s="138" t="s">
        <v>42</v>
      </c>
      <c r="P591" s="138"/>
      <c r="Q591" s="138"/>
      <c r="R591" s="138"/>
      <c r="S591" s="138"/>
    </row>
    <row r="593" spans="1:27" ht="18" customHeight="1">
      <c r="A593" s="148" t="str">
        <f>A556</f>
        <v xml:space="preserve">DA (46% to 50%) Drawn Statement  </v>
      </c>
      <c r="B593" s="148"/>
      <c r="C593" s="148"/>
      <c r="D593" s="148"/>
      <c r="E593" s="148"/>
      <c r="F593" s="148"/>
      <c r="G593" s="148"/>
      <c r="H593" s="148"/>
      <c r="I593" s="148"/>
      <c r="J593" s="148"/>
      <c r="K593" s="148"/>
      <c r="L593" s="148"/>
      <c r="M593" s="148"/>
      <c r="N593" s="148"/>
      <c r="O593" s="148"/>
      <c r="P593" s="148"/>
      <c r="Q593" s="148"/>
      <c r="R593" s="148"/>
      <c r="S593" s="148"/>
      <c r="W593" s="4">
        <f>IF(ISNA(VLOOKUP($Y$3,Master!A$8:N$127,4,FALSE)),"",VLOOKUP($Y$3,Master!A$8:AH$127,4,FALSE))</f>
        <v>2</v>
      </c>
      <c r="X593" s="4" t="str">
        <f>IF(ISNA(VLOOKUP($Y$3,Master!A$8:N$127,6,FALSE)),"",VLOOKUP($Y$3,Master!A$8:AH$127,6,FALSE))</f>
        <v>GPF-2004</v>
      </c>
      <c r="Y593" s="4" t="s">
        <v>45</v>
      </c>
      <c r="Z593" s="4" t="s">
        <v>18</v>
      </c>
      <c r="AA593" s="4" t="str">
        <f>IF(ISNA(VLOOKUP(Y595,Master!A$8:N$127,7,FALSE)),"",VLOOKUP(Y595,Master!A$8:AH$127,7,FALSE))</f>
        <v/>
      </c>
    </row>
    <row r="594" spans="1:27" ht="18">
      <c r="A594" s="131" t="str">
        <f>IF(AND(Master!C547=""),"",CONCATENATE("Office Of  ",Master!C547))</f>
        <v/>
      </c>
      <c r="B594" s="131"/>
      <c r="C594" s="131"/>
      <c r="D594" s="131"/>
      <c r="E594" s="131"/>
      <c r="F594" s="131"/>
      <c r="G594" s="131"/>
      <c r="H594" s="131"/>
      <c r="I594" s="131"/>
      <c r="J594" s="131"/>
      <c r="K594" s="131"/>
      <c r="L594" s="131"/>
      <c r="M594" s="131"/>
      <c r="N594" s="131"/>
      <c r="O594" s="131"/>
      <c r="P594" s="131"/>
      <c r="Q594" s="131"/>
      <c r="R594" s="131"/>
      <c r="S594" s="131"/>
      <c r="X594" s="4">
        <f>IF(ISNA(VLOOKUP($Y$3,Master!A$8:N$127,8,FALSE)),"",VLOOKUP($Y$3,Master!A$8:AH$127,8,FALSE))</f>
        <v>45292</v>
      </c>
      <c r="Y594" s="4" t="s">
        <v>43</v>
      </c>
    </row>
    <row r="595" spans="1:27" ht="18.75">
      <c r="E595" s="133" t="s">
        <v>10</v>
      </c>
      <c r="F595" s="133"/>
      <c r="G595" s="133"/>
      <c r="H595" s="133"/>
      <c r="I595" s="133"/>
      <c r="J595" s="132" t="str">
        <f>IF(ISNA(VLOOKUP(Y595,Master!A$8:N$127,2,FALSE)),"",VLOOKUP(Y595,Master!A$8:AH$127,2,FALSE))</f>
        <v/>
      </c>
      <c r="K595" s="132"/>
      <c r="L595" s="132"/>
      <c r="M595" s="132"/>
      <c r="N595" s="132"/>
      <c r="O595" s="60" t="s">
        <v>31</v>
      </c>
      <c r="P595" s="132" t="str">
        <f>IF(ISNA(VLOOKUP(Y595,Master!A$8:N$127,3,FALSE)),"",VLOOKUP(Y595,Master!A$8:AH$127,3,FALSE))</f>
        <v/>
      </c>
      <c r="Q595" s="132"/>
      <c r="R595" s="132"/>
      <c r="S595" s="132"/>
      <c r="X595" s="61" t="s">
        <v>49</v>
      </c>
      <c r="Y595" s="64">
        <v>49</v>
      </c>
    </row>
    <row r="596" spans="1:27" ht="8.25" customHeight="1">
      <c r="E596" s="19"/>
      <c r="F596" s="52"/>
      <c r="G596" s="22"/>
      <c r="H596" s="22"/>
      <c r="I596" s="22"/>
      <c r="J596" s="5"/>
      <c r="K596" s="5"/>
      <c r="L596" s="5"/>
      <c r="M596" s="5"/>
      <c r="N596" s="5"/>
      <c r="O596" s="6"/>
      <c r="P596" s="6"/>
    </row>
    <row r="597" spans="1:27" ht="24.75" customHeight="1">
      <c r="A597" s="157" t="s">
        <v>0</v>
      </c>
      <c r="B597" s="158" t="s">
        <v>3</v>
      </c>
      <c r="C597" s="159" t="s">
        <v>5</v>
      </c>
      <c r="D597" s="159"/>
      <c r="E597" s="159"/>
      <c r="F597" s="159"/>
      <c r="G597" s="159" t="s">
        <v>6</v>
      </c>
      <c r="H597" s="159"/>
      <c r="I597" s="159"/>
      <c r="J597" s="159"/>
      <c r="K597" s="159" t="s">
        <v>7</v>
      </c>
      <c r="L597" s="159"/>
      <c r="M597" s="159"/>
      <c r="N597" s="159"/>
      <c r="O597" s="149" t="s">
        <v>8</v>
      </c>
      <c r="P597" s="150"/>
      <c r="Q597" s="151"/>
      <c r="R597" s="162" t="s">
        <v>54</v>
      </c>
      <c r="S597" s="162" t="s">
        <v>40</v>
      </c>
    </row>
    <row r="598" spans="1:27" ht="69" customHeight="1">
      <c r="A598" s="157"/>
      <c r="B598" s="158"/>
      <c r="C598" s="54" t="s">
        <v>29</v>
      </c>
      <c r="D598" s="55" t="s">
        <v>1</v>
      </c>
      <c r="E598" s="56" t="s">
        <v>2</v>
      </c>
      <c r="F598" s="54" t="s">
        <v>46</v>
      </c>
      <c r="G598" s="54" t="s">
        <v>29</v>
      </c>
      <c r="H598" s="55" t="s">
        <v>1</v>
      </c>
      <c r="I598" s="56" t="s">
        <v>2</v>
      </c>
      <c r="J598" s="54" t="s">
        <v>47</v>
      </c>
      <c r="K598" s="54" t="s">
        <v>4</v>
      </c>
      <c r="L598" s="55" t="s">
        <v>1</v>
      </c>
      <c r="M598" s="56" t="s">
        <v>2</v>
      </c>
      <c r="N598" s="57" t="s">
        <v>48</v>
      </c>
      <c r="O598" s="53" t="s">
        <v>69</v>
      </c>
      <c r="P598" s="65" t="s">
        <v>41</v>
      </c>
      <c r="Q598" s="57" t="s">
        <v>53</v>
      </c>
      <c r="R598" s="162"/>
      <c r="S598" s="162"/>
    </row>
    <row r="599" spans="1:27" ht="18" customHeight="1">
      <c r="A599" s="7">
        <v>1</v>
      </c>
      <c r="B599" s="7">
        <v>2</v>
      </c>
      <c r="C599" s="7">
        <v>3</v>
      </c>
      <c r="D599" s="7">
        <v>4</v>
      </c>
      <c r="E599" s="7">
        <v>5</v>
      </c>
      <c r="F599" s="7">
        <v>6</v>
      </c>
      <c r="G599" s="7">
        <v>7</v>
      </c>
      <c r="H599" s="7">
        <v>8</v>
      </c>
      <c r="I599" s="7">
        <v>9</v>
      </c>
      <c r="J599" s="7">
        <v>10</v>
      </c>
      <c r="K599" s="7">
        <v>11</v>
      </c>
      <c r="L599" s="7">
        <v>12</v>
      </c>
      <c r="M599" s="7">
        <v>13</v>
      </c>
      <c r="N599" s="7">
        <v>14</v>
      </c>
      <c r="O599" s="7">
        <v>15</v>
      </c>
      <c r="P599" s="7">
        <v>17</v>
      </c>
      <c r="Q599" s="7">
        <v>18</v>
      </c>
      <c r="R599" s="7">
        <v>19</v>
      </c>
      <c r="S599" s="7">
        <v>20</v>
      </c>
    </row>
    <row r="600" spans="1:27" ht="21" customHeight="1">
      <c r="A600" s="8">
        <v>1</v>
      </c>
      <c r="B600" s="23" t="str">
        <f>IFERROR(IF(ISNA(VLOOKUP(Y595,Master!A$8:N$127,8,FALSE)),"",VLOOKUP($Y595,Master!A$8:AH$127,8,FALSE)),"")</f>
        <v/>
      </c>
      <c r="C600" s="9" t="str">
        <f>IF(ISNA(VLOOKUP(Y595,Master!A$8:N$127,5,FALSE)),"",VLOOKUP(Y595,Master!A$8:AH$127,5,FALSE))</f>
        <v/>
      </c>
      <c r="D600" s="9" t="str">
        <f>IF(AND(C600=""),"",IF(AND(Y595=""),"",ROUND(C600*Master!C$5%,0)))</f>
        <v/>
      </c>
      <c r="E600" s="9" t="str">
        <f>IF(AND(C600=""),"",IF(AND(Y595=""),"",ROUND(C600*Master!H$5%,0)))</f>
        <v/>
      </c>
      <c r="F600" s="9" t="str">
        <f t="shared" ref="F600" si="837">IF(AND(C600=""),"",SUM(C600:E600))</f>
        <v/>
      </c>
      <c r="G600" s="9" t="str">
        <f>IF(ISNA(VLOOKUP(Y595,Master!A$8:N$127,5,FALSE)),"",VLOOKUP(Y595,Master!A$8:AH$127,5,FALSE))</f>
        <v/>
      </c>
      <c r="H600" s="9" t="str">
        <f>IF(AND(G600=""),"",IF(AND(Y595=""),"",ROUND(G600*Master!C$4%,0)))</f>
        <v/>
      </c>
      <c r="I600" s="9" t="str">
        <f>IF(AND(G600=""),"",IF(AND(Y595=""),"",ROUND(G600*Master!H$4%,0)))</f>
        <v/>
      </c>
      <c r="J600" s="9" t="str">
        <f t="shared" ref="J600:J601" si="838">IF(AND(C600=""),"",SUM(G600:I600))</f>
        <v/>
      </c>
      <c r="K600" s="9" t="str">
        <f t="shared" ref="K600:K602" si="839">IF(AND(C600=""),"",IF(AND(G600=""),"",C600-G600))</f>
        <v/>
      </c>
      <c r="L600" s="9" t="str">
        <f t="shared" ref="L600:L602" si="840">IF(AND(D600=""),"",IF(AND(H600=""),"",D600-H600))</f>
        <v/>
      </c>
      <c r="M600" s="9" t="str">
        <f t="shared" ref="M600:M601" si="841">IF(AND(E600=""),"",IF(AND(I600=""),"",E600-I600))</f>
        <v/>
      </c>
      <c r="N600" s="9" t="str">
        <f t="shared" ref="N600:N601" si="842">IF(AND(F600=""),"",IF(AND(J600=""),"",F600-J600))</f>
        <v/>
      </c>
      <c r="O600" s="9" t="str">
        <f>IF(AND(C600=""),"",N600-P600)</f>
        <v/>
      </c>
      <c r="P600" s="9" t="str">
        <f>IF(AND(Y595=""),"",IF(AND(N600=""),"",ROUND(N600*AA$1%,0)))</f>
        <v/>
      </c>
      <c r="Q600" s="9" t="str">
        <f>IF(AND(Y595=""),"",IF(AND(C600=""),"",IF(AND(O600=""),"",SUM(O600,P600))))</f>
        <v/>
      </c>
      <c r="R600" s="9" t="str">
        <f>IF(AND(N600=""),"",IF(AND(Q600=""),"",N600-Q600))</f>
        <v/>
      </c>
      <c r="S600" s="20"/>
    </row>
    <row r="601" spans="1:27" ht="21" customHeight="1">
      <c r="A601" s="8">
        <v>2</v>
      </c>
      <c r="B601" s="23" t="str">
        <f>IFERROR(DATE(YEAR(B600),MONTH(B600)+1,DAY(B600)),"")</f>
        <v/>
      </c>
      <c r="C601" s="9" t="str">
        <f>IF(AND(Y595=""),"",C600)</f>
        <v/>
      </c>
      <c r="D601" s="9" t="str">
        <f>IF(AND(C601=""),"",IF(AND(Y595=""),"",ROUND(C601*Master!C$5%,0)))</f>
        <v/>
      </c>
      <c r="E601" s="9" t="str">
        <f>IF(AND(C601=""),"",IF(AND(Y595=""),"",ROUND(C601*Master!H$5%,0)))</f>
        <v/>
      </c>
      <c r="F601" s="9" t="str">
        <f>IF(AND(C601=""),"",SUM(C601:E601))</f>
        <v/>
      </c>
      <c r="G601" s="9" t="str">
        <f>IF(AND(Y595=""),"",G600)</f>
        <v/>
      </c>
      <c r="H601" s="9" t="str">
        <f>IF(AND(G601=""),"",IF(AND(Y595=""),"",ROUND(G601*Master!C$4%,0)))</f>
        <v/>
      </c>
      <c r="I601" s="9" t="str">
        <f>IF(AND(G601=""),"",IF(AND(Y595=""),"",ROUND(G601*Master!H$4%,0)))</f>
        <v/>
      </c>
      <c r="J601" s="9" t="str">
        <f t="shared" si="838"/>
        <v/>
      </c>
      <c r="K601" s="9" t="str">
        <f t="shared" si="839"/>
        <v/>
      </c>
      <c r="L601" s="9" t="str">
        <f t="shared" si="840"/>
        <v/>
      </c>
      <c r="M601" s="9" t="str">
        <f t="shared" si="841"/>
        <v/>
      </c>
      <c r="N601" s="9" t="str">
        <f t="shared" si="842"/>
        <v/>
      </c>
      <c r="O601" s="9" t="str">
        <f t="shared" ref="O601:O602" si="843">IF(AND(C601=""),"",N601-P601)</f>
        <v/>
      </c>
      <c r="P601" s="9" t="str">
        <f>IF(AND(Y595=""),"",IF(AND(N601=""),"",ROUND(N601*AA$1%,0)))</f>
        <v/>
      </c>
      <c r="Q601" s="9" t="str">
        <f>IF(AND(Y595=""),"",IF(AND(C601=""),"",IF(AND(O601=""),"",SUM(O601,P601))))</f>
        <v/>
      </c>
      <c r="R601" s="9" t="str">
        <f t="shared" ref="R601:R602" si="844">IF(AND(N601=""),"",IF(AND(Q601=""),"",N601-Q601))</f>
        <v/>
      </c>
      <c r="S601" s="20"/>
    </row>
    <row r="602" spans="1:27" ht="21" customHeight="1">
      <c r="A602" s="8">
        <v>3</v>
      </c>
      <c r="B602" s="23" t="str">
        <f>IFERROR(DATE(YEAR(B601),MONTH(B601)+1,DAY(B601)),"")</f>
        <v/>
      </c>
      <c r="C602" s="9" t="str">
        <f>IF(AND(Y595=""),"",C601)</f>
        <v/>
      </c>
      <c r="D602" s="9" t="str">
        <f>IF(AND(C602=""),"",IF(AND(Y595=""),"",ROUND(C602*Master!C$5%,0)))</f>
        <v/>
      </c>
      <c r="E602" s="9" t="str">
        <f>IF(AND(C602=""),"",IF(AND(Y595=""),"",ROUND(C602*Master!H$5%,0)))</f>
        <v/>
      </c>
      <c r="F602" s="9" t="str">
        <f t="shared" ref="F602" si="845">IF(AND(C602=""),"",SUM(C602:E602))</f>
        <v/>
      </c>
      <c r="G602" s="9" t="str">
        <f>IF(AND(Y595=""),"",G601)</f>
        <v/>
      </c>
      <c r="H602" s="9" t="str">
        <f>IF(AND(G602=""),"",IF(AND(Y595=""),"",ROUND(G602*Master!C$4%,0)))</f>
        <v/>
      </c>
      <c r="I602" s="9" t="str">
        <f>IF(AND(G602=""),"",IF(AND(Y595=""),"",ROUND(G602*Master!H$4%,0)))</f>
        <v/>
      </c>
      <c r="J602" s="9" t="str">
        <f>IF(AND(C602=""),"",SUM(G602:I602))</f>
        <v/>
      </c>
      <c r="K602" s="9" t="str">
        <f t="shared" si="839"/>
        <v/>
      </c>
      <c r="L602" s="9" t="str">
        <f t="shared" si="840"/>
        <v/>
      </c>
      <c r="M602" s="9" t="str">
        <f>IF(AND(E602=""),"",IF(AND(I602=""),"",E602-I602))</f>
        <v/>
      </c>
      <c r="N602" s="9" t="str">
        <f>IF(AND(F602=""),"",IF(AND(J602=""),"",F602-J602))</f>
        <v/>
      </c>
      <c r="O602" s="9" t="str">
        <f t="shared" si="843"/>
        <v/>
      </c>
      <c r="P602" s="9" t="str">
        <f>IF(AND(Y595=""),"",IF(AND(N602=""),"",ROUND(N602*AA$1%,0)))</f>
        <v/>
      </c>
      <c r="Q602" s="9" t="str">
        <f>IF(AND(Y595=""),"",IF(AND(C602=""),"",IF(AND(O602=""),"",SUM(O602,P602))))</f>
        <v/>
      </c>
      <c r="R602" s="9" t="str">
        <f t="shared" si="844"/>
        <v/>
      </c>
      <c r="S602" s="20"/>
    </row>
    <row r="603" spans="1:27" ht="21" customHeight="1">
      <c r="A603" s="8">
        <v>4</v>
      </c>
      <c r="B603" s="23" t="str">
        <f>IFERROR(DATE(YEAR(B602),MONTH(B602)+1,DAY(B602)),"")</f>
        <v/>
      </c>
      <c r="C603" s="9" t="str">
        <f>IF(AND(Y596=""),"",C602)</f>
        <v/>
      </c>
      <c r="D603" s="9" t="str">
        <f>IF(AND(C603=""),"",IF(AND(Y596=""),"",ROUND(C603*Master!C$5%,0)))</f>
        <v/>
      </c>
      <c r="E603" s="9" t="str">
        <f>IF(AND(C603=""),"",IF(AND(Y596=""),"",ROUND(C603*Master!H$5%,0)))</f>
        <v/>
      </c>
      <c r="F603" s="9" t="str">
        <f t="shared" ref="F603" si="846">IF(AND(C603=""),"",SUM(C603:E603))</f>
        <v/>
      </c>
      <c r="G603" s="9" t="str">
        <f>IF(AND(Y596=""),"",G602)</f>
        <v/>
      </c>
      <c r="H603" s="9" t="str">
        <f>IF(AND(G603=""),"",IF(AND(Y596=""),"",ROUND(G603*Master!C$4%,0)))</f>
        <v/>
      </c>
      <c r="I603" s="9" t="str">
        <f>IF(AND(G603=""),"",IF(AND(Y596=""),"",ROUND(G603*Master!H$4%,0)))</f>
        <v/>
      </c>
      <c r="J603" s="9" t="str">
        <f>IF(AND(C603=""),"",SUM(G603:I603))</f>
        <v/>
      </c>
      <c r="K603" s="9" t="str">
        <f t="shared" ref="K603" si="847">IF(AND(C603=""),"",IF(AND(G603=""),"",C603-G603))</f>
        <v/>
      </c>
      <c r="L603" s="9" t="str">
        <f t="shared" ref="L603" si="848">IF(AND(D603=""),"",IF(AND(H603=""),"",D603-H603))</f>
        <v/>
      </c>
      <c r="M603" s="9" t="str">
        <f>IF(AND(E603=""),"",IF(AND(I603=""),"",E603-I603))</f>
        <v/>
      </c>
      <c r="N603" s="9" t="str">
        <f>IF(AND(F603=""),"",IF(AND(J603=""),"",F603-J603))</f>
        <v/>
      </c>
      <c r="O603" s="9" t="str">
        <f t="shared" ref="O603" si="849">IF(AND(C603=""),"",N603-P603)</f>
        <v/>
      </c>
      <c r="P603" s="9" t="str">
        <f>IF(AND(Y596=""),"",IF(AND(N603=""),"",ROUND(N603*AA$1%,0)))</f>
        <v/>
      </c>
      <c r="Q603" s="9" t="str">
        <f>IF(AND(Y596=""),"",IF(AND(C603=""),"",IF(AND(O603=""),"",SUM(O603,P603))))</f>
        <v/>
      </c>
      <c r="R603" s="9" t="str">
        <f t="shared" ref="R603" si="850">IF(AND(N603=""),"",IF(AND(Q603=""),"",N603-Q603))</f>
        <v/>
      </c>
      <c r="S603" s="20"/>
    </row>
    <row r="604" spans="1:27" ht="23.25" customHeight="1">
      <c r="A604" s="153" t="s">
        <v>9</v>
      </c>
      <c r="B604" s="154"/>
      <c r="C604" s="63">
        <f>IF(AND($Y$595=""),"",SUM(C600:C603))</f>
        <v>0</v>
      </c>
      <c r="D604" s="63">
        <f t="shared" ref="D604:R604" si="851">IF(AND($Y$595=""),"",SUM(D600:D603))</f>
        <v>0</v>
      </c>
      <c r="E604" s="63">
        <f t="shared" si="851"/>
        <v>0</v>
      </c>
      <c r="F604" s="63">
        <f t="shared" si="851"/>
        <v>0</v>
      </c>
      <c r="G604" s="63">
        <f t="shared" si="851"/>
        <v>0</v>
      </c>
      <c r="H604" s="63">
        <f t="shared" si="851"/>
        <v>0</v>
      </c>
      <c r="I604" s="63">
        <f t="shared" si="851"/>
        <v>0</v>
      </c>
      <c r="J604" s="63">
        <f t="shared" si="851"/>
        <v>0</v>
      </c>
      <c r="K604" s="63">
        <f t="shared" si="851"/>
        <v>0</v>
      </c>
      <c r="L604" s="63">
        <f t="shared" si="851"/>
        <v>0</v>
      </c>
      <c r="M604" s="63">
        <f t="shared" si="851"/>
        <v>0</v>
      </c>
      <c r="N604" s="63">
        <f t="shared" si="851"/>
        <v>0</v>
      </c>
      <c r="O604" s="63">
        <f t="shared" si="851"/>
        <v>0</v>
      </c>
      <c r="P604" s="63">
        <f t="shared" si="851"/>
        <v>0</v>
      </c>
      <c r="Q604" s="63">
        <f t="shared" si="851"/>
        <v>0</v>
      </c>
      <c r="R604" s="63">
        <f t="shared" si="851"/>
        <v>0</v>
      </c>
      <c r="S604" s="49"/>
    </row>
    <row r="605" spans="1:27" ht="10.5" customHeight="1">
      <c r="A605" s="73"/>
      <c r="B605" s="73"/>
      <c r="C605" s="74"/>
      <c r="D605" s="74"/>
      <c r="E605" s="74"/>
      <c r="F605" s="74"/>
      <c r="G605" s="74"/>
      <c r="H605" s="74"/>
      <c r="I605" s="74"/>
      <c r="J605" s="74"/>
      <c r="K605" s="74"/>
      <c r="L605" s="74"/>
      <c r="M605" s="74"/>
      <c r="N605" s="74"/>
      <c r="O605" s="74"/>
      <c r="P605" s="74"/>
      <c r="Q605" s="74"/>
      <c r="R605" s="74"/>
      <c r="S605" s="75"/>
    </row>
    <row r="606" spans="1:27" ht="23.25" customHeight="1">
      <c r="E606" s="133" t="s">
        <v>10</v>
      </c>
      <c r="F606" s="133"/>
      <c r="G606" s="133"/>
      <c r="H606" s="133"/>
      <c r="I606" s="133"/>
      <c r="J606" s="132" t="str">
        <f>IF(ISNA(VLOOKUP(Y608,Master!A$8:N$127,2,FALSE)),"",VLOOKUP(Y608,Master!A$8:AH$127,2,FALSE))</f>
        <v/>
      </c>
      <c r="K606" s="132"/>
      <c r="L606" s="132"/>
      <c r="M606" s="132"/>
      <c r="N606" s="132"/>
      <c r="O606" s="60" t="s">
        <v>31</v>
      </c>
      <c r="P606" s="132" t="str">
        <f>IF(ISNA(VLOOKUP(Y608,Master!A$8:N$127,3,FALSE)),"",VLOOKUP(Y608,Master!A$8:AH$127,3,FALSE))</f>
        <v/>
      </c>
      <c r="Q606" s="132"/>
      <c r="R606" s="132"/>
      <c r="S606" s="132"/>
    </row>
    <row r="607" spans="1:27" ht="9" customHeight="1">
      <c r="E607" s="19"/>
      <c r="F607" s="52"/>
      <c r="G607" s="22"/>
      <c r="H607" s="22"/>
      <c r="I607" s="22"/>
      <c r="J607" s="5"/>
      <c r="K607" s="5"/>
      <c r="L607" s="5"/>
      <c r="M607" s="5"/>
      <c r="N607" s="5"/>
      <c r="O607" s="6"/>
      <c r="P607" s="6"/>
    </row>
    <row r="608" spans="1:27" ht="21" customHeight="1">
      <c r="A608" s="8">
        <v>1</v>
      </c>
      <c r="B608" s="23" t="str">
        <f>IFERROR(IF(ISNA(VLOOKUP(Y608,Master!A$8:N$127,8,FALSE)),"",VLOOKUP($Y608,Master!A$8:AH$127,8,FALSE)),"")</f>
        <v/>
      </c>
      <c r="C608" s="9" t="str">
        <f>IF(ISNA(VLOOKUP(Y608,Master!A$8:N$127,5,FALSE)),"",VLOOKUP(Y608,Master!A$8:AH$127,5,FALSE))</f>
        <v/>
      </c>
      <c r="D608" s="9" t="str">
        <f>IF(AND(C608=""),"",IF(AND(Y608=""),"",ROUND(C608*Master!C$5%,0)))</f>
        <v/>
      </c>
      <c r="E608" s="9" t="str">
        <f>IF(AND(C608=""),"",IF(AND(Y608=""),"",ROUND(C608*Master!H$5%,0)))</f>
        <v/>
      </c>
      <c r="F608" s="9" t="str">
        <f t="shared" ref="F608:F610" si="852">IF(AND(C608=""),"",SUM(C608:E608))</f>
        <v/>
      </c>
      <c r="G608" s="9" t="str">
        <f>IF(ISNA(VLOOKUP(Y608,Master!A$8:N$127,5,FALSE)),"",VLOOKUP(Y608,Master!A$8:AH$127,5,FALSE))</f>
        <v/>
      </c>
      <c r="H608" s="9" t="str">
        <f>IF(AND(G608=""),"",IF(AND(Y608=""),"",ROUND(G608*Master!C$4%,0)))</f>
        <v/>
      </c>
      <c r="I608" s="9" t="str">
        <f>IF(AND(G608=""),"",IF(AND(Y608=""),"",ROUND(G608*Master!H$4%,0)))</f>
        <v/>
      </c>
      <c r="J608" s="9" t="str">
        <f t="shared" ref="J608:J610" si="853">IF(AND(C608=""),"",SUM(G608:I608))</f>
        <v/>
      </c>
      <c r="K608" s="9" t="str">
        <f t="shared" ref="K608" si="854">IF(AND(C608=""),"",IF(AND(G608=""),"",C608-G608))</f>
        <v/>
      </c>
      <c r="L608" s="9" t="str">
        <f>IF(AND(D608=""),"",IF(AND(H608=""),"",D608-H608))</f>
        <v/>
      </c>
      <c r="M608" s="9" t="str">
        <f t="shared" ref="M608:M610" si="855">IF(AND(E608=""),"",IF(AND(I608=""),"",E608-I608))</f>
        <v/>
      </c>
      <c r="N608" s="9" t="str">
        <f t="shared" ref="N608:N610" si="856">IF(AND(F608=""),"",IF(AND(J608=""),"",F608-J608))</f>
        <v/>
      </c>
      <c r="O608" s="9" t="str">
        <f>IF(AND(C608=""),"",N608-P608)</f>
        <v/>
      </c>
      <c r="P608" s="9" t="str">
        <f>IF(AND(Y608=""),"",IF(AND(N608=""),"",ROUND(N608*X$17%,0)))</f>
        <v/>
      </c>
      <c r="Q608" s="9" t="str">
        <f>IF(AND(Y608=""),"",IF(AND(C608=""),"",IF(AND(O608=""),"",SUM(O608,P608))))</f>
        <v/>
      </c>
      <c r="R608" s="9" t="str">
        <f>IF(AND(N608=""),"",IF(AND(Q608=""),"",N608-Q608))</f>
        <v/>
      </c>
      <c r="S608" s="20"/>
      <c r="X608" s="61" t="s">
        <v>49</v>
      </c>
      <c r="Y608" s="64">
        <v>50</v>
      </c>
    </row>
    <row r="609" spans="1:25" ht="21" customHeight="1">
      <c r="A609" s="8">
        <v>2</v>
      </c>
      <c r="B609" s="23" t="str">
        <f>IFERROR(DATE(YEAR(B608),MONTH(B608)+1,DAY(B608)),"")</f>
        <v/>
      </c>
      <c r="C609" s="9" t="str">
        <f>IF(AND(Y608=""),"",C608)</f>
        <v/>
      </c>
      <c r="D609" s="9" t="str">
        <f>IF(AND(C609=""),"",IF(AND(Y608=""),"",ROUND(C609*Master!C$5%,0)))</f>
        <v/>
      </c>
      <c r="E609" s="9" t="str">
        <f>IF(AND(C609=""),"",IF(AND(Y608=""),"",ROUND(C609*Master!H$5%,0)))</f>
        <v/>
      </c>
      <c r="F609" s="9" t="str">
        <f t="shared" si="852"/>
        <v/>
      </c>
      <c r="G609" s="9" t="str">
        <f>IF(AND(Y608=""),"",G608)</f>
        <v/>
      </c>
      <c r="H609" s="9" t="str">
        <f>IF(AND(G609=""),"",IF(AND(Y608=""),"",ROUND(G609*Master!C$4%,0)))</f>
        <v/>
      </c>
      <c r="I609" s="9" t="str">
        <f>IF(AND(G609=""),"",IF(AND(Y608=""),"",ROUND(G609*Master!H$4%,0)))</f>
        <v/>
      </c>
      <c r="J609" s="9" t="str">
        <f t="shared" si="853"/>
        <v/>
      </c>
      <c r="K609" s="9" t="str">
        <f>IF(AND(C609=""),"",IF(AND(G609=""),"",C609-G609))</f>
        <v/>
      </c>
      <c r="L609" s="9" t="str">
        <f t="shared" ref="L609:L610" si="857">IF(AND(D609=""),"",IF(AND(H609=""),"",D609-H609))</f>
        <v/>
      </c>
      <c r="M609" s="9" t="str">
        <f t="shared" si="855"/>
        <v/>
      </c>
      <c r="N609" s="9" t="str">
        <f t="shared" si="856"/>
        <v/>
      </c>
      <c r="O609" s="9" t="str">
        <f t="shared" ref="O609:O610" si="858">IF(AND(C609=""),"",N609-P609)</f>
        <v/>
      </c>
      <c r="P609" s="9" t="str">
        <f>IF(AND(Y608=""),"",IF(AND(N609=""),"",ROUND(N609*X$17%,0)))</f>
        <v/>
      </c>
      <c r="Q609" s="9" t="str">
        <f>IF(AND(Y608=""),"",IF(AND(C609=""),"",IF(AND(O609=""),"",SUM(O609,P609))))</f>
        <v/>
      </c>
      <c r="R609" s="9" t="str">
        <f t="shared" ref="R609:R610" si="859">IF(AND(N609=""),"",IF(AND(Q609=""),"",N609-Q609))</f>
        <v/>
      </c>
      <c r="S609" s="20"/>
      <c r="X609" s="4" t="str">
        <f>IF(ISNA(VLOOKUP(Y608,Master!A$8:N$127,7,FALSE)),"",VLOOKUP(Y608,Master!A$8:AH$127,7,FALSE))</f>
        <v/>
      </c>
    </row>
    <row r="610" spans="1:25" ht="21" customHeight="1">
      <c r="A610" s="8">
        <v>3</v>
      </c>
      <c r="B610" s="23" t="str">
        <f>IFERROR(DATE(YEAR(B609),MONTH(B609)+1,DAY(B609)),"")</f>
        <v/>
      </c>
      <c r="C610" s="9" t="str">
        <f>IF(AND(Y608=""),"",C609)</f>
        <v/>
      </c>
      <c r="D610" s="9" t="str">
        <f>IF(AND(C610=""),"",IF(AND(Y608=""),"",ROUND(C610*Master!C$5%,0)))</f>
        <v/>
      </c>
      <c r="E610" s="9" t="str">
        <f>IF(AND(C610=""),"",IF(AND(Y608=""),"",ROUND(C610*Master!H$5%,0)))</f>
        <v/>
      </c>
      <c r="F610" s="9" t="str">
        <f t="shared" si="852"/>
        <v/>
      </c>
      <c r="G610" s="9" t="str">
        <f>IF(AND(Y608=""),"",G609)</f>
        <v/>
      </c>
      <c r="H610" s="9" t="str">
        <f>IF(AND(G610=""),"",IF(AND(Y608=""),"",ROUND(G610*Master!C$4%,0)))</f>
        <v/>
      </c>
      <c r="I610" s="9" t="str">
        <f>IF(AND(G610=""),"",IF(AND(Y608=""),"",ROUND(G610*Master!H$4%,0)))</f>
        <v/>
      </c>
      <c r="J610" s="9" t="str">
        <f t="shared" si="853"/>
        <v/>
      </c>
      <c r="K610" s="9" t="str">
        <f t="shared" ref="K610" si="860">IF(AND(C610=""),"",IF(AND(G610=""),"",C610-G610))</f>
        <v/>
      </c>
      <c r="L610" s="9" t="str">
        <f t="shared" si="857"/>
        <v/>
      </c>
      <c r="M610" s="9" t="str">
        <f t="shared" si="855"/>
        <v/>
      </c>
      <c r="N610" s="9" t="str">
        <f t="shared" si="856"/>
        <v/>
      </c>
      <c r="O610" s="9" t="str">
        <f t="shared" si="858"/>
        <v/>
      </c>
      <c r="P610" s="9" t="str">
        <f>IF(AND(Y608=""),"",IF(AND(N610=""),"",ROUND(N610*X$17%,0)))</f>
        <v/>
      </c>
      <c r="Q610" s="9" t="str">
        <f>IF(AND(Y608=""),"",IF(AND(C610=""),"",IF(AND(O610=""),"",SUM(O610,P610))))</f>
        <v/>
      </c>
      <c r="R610" s="9" t="str">
        <f t="shared" si="859"/>
        <v/>
      </c>
      <c r="S610" s="20"/>
    </row>
    <row r="611" spans="1:25" ht="21" customHeight="1">
      <c r="A611" s="8">
        <v>4</v>
      </c>
      <c r="B611" s="23" t="str">
        <f>IFERROR(DATE(YEAR(B610),MONTH(B610)+1,DAY(B610)),"")</f>
        <v/>
      </c>
      <c r="C611" s="9" t="str">
        <f>IF(AND(Y609=""),"",C610)</f>
        <v/>
      </c>
      <c r="D611" s="9" t="str">
        <f>IF(AND(C611=""),"",IF(AND(Y609=""),"",ROUND(C611*Master!C$5%,0)))</f>
        <v/>
      </c>
      <c r="E611" s="9" t="str">
        <f>IF(AND(C611=""),"",IF(AND(Y609=""),"",ROUND(C611*Master!H$5%,0)))</f>
        <v/>
      </c>
      <c r="F611" s="9" t="str">
        <f t="shared" ref="F611" si="861">IF(AND(C611=""),"",SUM(C611:E611))</f>
        <v/>
      </c>
      <c r="G611" s="9" t="str">
        <f>IF(AND(Y609=""),"",G610)</f>
        <v/>
      </c>
      <c r="H611" s="9" t="str">
        <f>IF(AND(G611=""),"",IF(AND(Y609=""),"",ROUND(G611*Master!C$4%,0)))</f>
        <v/>
      </c>
      <c r="I611" s="9" t="str">
        <f>IF(AND(G611=""),"",IF(AND(Y609=""),"",ROUND(G611*Master!H$4%,0)))</f>
        <v/>
      </c>
      <c r="J611" s="9" t="str">
        <f t="shared" ref="J611" si="862">IF(AND(C611=""),"",SUM(G611:I611))</f>
        <v/>
      </c>
      <c r="K611" s="9" t="str">
        <f t="shared" ref="K611" si="863">IF(AND(C611=""),"",IF(AND(G611=""),"",C611-G611))</f>
        <v/>
      </c>
      <c r="L611" s="9" t="str">
        <f t="shared" ref="L611" si="864">IF(AND(D611=""),"",IF(AND(H611=""),"",D611-H611))</f>
        <v/>
      </c>
      <c r="M611" s="9" t="str">
        <f t="shared" ref="M611" si="865">IF(AND(E611=""),"",IF(AND(I611=""),"",E611-I611))</f>
        <v/>
      </c>
      <c r="N611" s="9" t="str">
        <f t="shared" ref="N611" si="866">IF(AND(F611=""),"",IF(AND(J611=""),"",F611-J611))</f>
        <v/>
      </c>
      <c r="O611" s="9" t="str">
        <f t="shared" ref="O611" si="867">IF(AND(C611=""),"",N611-P611)</f>
        <v/>
      </c>
      <c r="P611" s="9" t="str">
        <f>IF(AND(Y609=""),"",IF(AND(N611=""),"",ROUND(N611*X$17%,0)))</f>
        <v/>
      </c>
      <c r="Q611" s="9" t="str">
        <f>IF(AND(Y609=""),"",IF(AND(C611=""),"",IF(AND(O611=""),"",SUM(O611,P611))))</f>
        <v/>
      </c>
      <c r="R611" s="9" t="str">
        <f t="shared" ref="R611" si="868">IF(AND(N611=""),"",IF(AND(Q611=""),"",N611-Q611))</f>
        <v/>
      </c>
      <c r="S611" s="20"/>
    </row>
    <row r="612" spans="1:25" ht="30.75" customHeight="1">
      <c r="A612" s="153" t="s">
        <v>9</v>
      </c>
      <c r="B612" s="154"/>
      <c r="C612" s="63">
        <f>IF(AND($Y$608=""),"",SUM(C608:C611))</f>
        <v>0</v>
      </c>
      <c r="D612" s="63">
        <f t="shared" ref="D612:Q612" si="869">IF(AND($Y$608=""),"",SUM(D608:D611))</f>
        <v>0</v>
      </c>
      <c r="E612" s="63">
        <f t="shared" si="869"/>
        <v>0</v>
      </c>
      <c r="F612" s="63">
        <f t="shared" si="869"/>
        <v>0</v>
      </c>
      <c r="G612" s="63">
        <f t="shared" si="869"/>
        <v>0</v>
      </c>
      <c r="H612" s="63">
        <f t="shared" si="869"/>
        <v>0</v>
      </c>
      <c r="I612" s="63">
        <f t="shared" si="869"/>
        <v>0</v>
      </c>
      <c r="J612" s="63">
        <f t="shared" si="869"/>
        <v>0</v>
      </c>
      <c r="K612" s="63">
        <f t="shared" si="869"/>
        <v>0</v>
      </c>
      <c r="L612" s="63">
        <f t="shared" si="869"/>
        <v>0</v>
      </c>
      <c r="M612" s="63">
        <f t="shared" si="869"/>
        <v>0</v>
      </c>
      <c r="N612" s="63">
        <f t="shared" si="869"/>
        <v>0</v>
      </c>
      <c r="O612" s="63">
        <f t="shared" si="869"/>
        <v>0</v>
      </c>
      <c r="P612" s="63">
        <f t="shared" si="869"/>
        <v>0</v>
      </c>
      <c r="Q612" s="63">
        <f t="shared" si="869"/>
        <v>0</v>
      </c>
      <c r="R612" s="63">
        <f>IF(AND($Y$608=""),"",SUM(R608:R611))</f>
        <v>0</v>
      </c>
      <c r="S612" s="49"/>
    </row>
    <row r="613" spans="1:25" ht="11.25" customHeight="1">
      <c r="A613" s="73"/>
      <c r="B613" s="73"/>
      <c r="C613" s="74"/>
      <c r="D613" s="74"/>
      <c r="E613" s="74"/>
      <c r="F613" s="74"/>
      <c r="G613" s="74"/>
      <c r="H613" s="74"/>
      <c r="I613" s="74"/>
      <c r="J613" s="74"/>
      <c r="K613" s="74"/>
      <c r="L613" s="74"/>
      <c r="M613" s="74"/>
      <c r="N613" s="74"/>
      <c r="O613" s="74"/>
      <c r="P613" s="74"/>
      <c r="Q613" s="74"/>
      <c r="R613" s="74"/>
      <c r="S613" s="75"/>
    </row>
    <row r="614" spans="1:25" ht="23.25" customHeight="1">
      <c r="E614" s="133" t="s">
        <v>10</v>
      </c>
      <c r="F614" s="133"/>
      <c r="G614" s="133"/>
      <c r="H614" s="133"/>
      <c r="I614" s="133"/>
      <c r="J614" s="132" t="str">
        <f>IF(ISNA(VLOOKUP(Y616,Master!A$8:N$127,2,FALSE)),"",VLOOKUP(Y616,Master!A$8:AH$127,2,FALSE))</f>
        <v/>
      </c>
      <c r="K614" s="132"/>
      <c r="L614" s="132"/>
      <c r="M614" s="132"/>
      <c r="N614" s="132"/>
      <c r="O614" s="60" t="s">
        <v>31</v>
      </c>
      <c r="P614" s="132" t="str">
        <f>IF(ISNA(VLOOKUP($Y$431,Master!A$8:N$127,3,FALSE)),"",VLOOKUP($Y$431,Master!A$8:AH$127,3,FALSE))</f>
        <v/>
      </c>
      <c r="Q614" s="132"/>
      <c r="R614" s="132"/>
      <c r="S614" s="132"/>
    </row>
    <row r="615" spans="1:25" ht="9" customHeight="1">
      <c r="E615" s="19"/>
      <c r="F615" s="52"/>
      <c r="G615" s="22"/>
      <c r="H615" s="22"/>
      <c r="I615" s="22"/>
      <c r="J615" s="5"/>
      <c r="K615" s="5"/>
      <c r="L615" s="5"/>
      <c r="M615" s="5"/>
      <c r="N615" s="5"/>
      <c r="O615" s="6"/>
      <c r="P615" s="6"/>
    </row>
    <row r="616" spans="1:25" ht="21" customHeight="1">
      <c r="A616" s="8">
        <v>1</v>
      </c>
      <c r="B616" s="23" t="str">
        <f>IFERROR(IF(ISNA(VLOOKUP(Y616,Master!A$8:N$127,8,FALSE)),"",VLOOKUP($Y616,Master!A$8:AH$127,8,FALSE)),"")</f>
        <v/>
      </c>
      <c r="C616" s="9" t="str">
        <f>IF(ISNA(VLOOKUP(Y616,Master!A$8:N$127,5,FALSE)),"",VLOOKUP(Y616,Master!A$8:AH$127,5,FALSE))</f>
        <v/>
      </c>
      <c r="D616" s="9" t="str">
        <f>IF(AND(C616=""),"",IF(AND(Y616=""),"",ROUND(C616*Master!C$5%,0)))</f>
        <v/>
      </c>
      <c r="E616" s="9" t="str">
        <f>IF(AND(C616=""),"",IF(AND(Y616=""),"",ROUND(C616*Master!H$5%,0)))</f>
        <v/>
      </c>
      <c r="F616" s="9" t="str">
        <f t="shared" ref="F616:F618" si="870">IF(AND(C616=""),"",SUM(C616:E616))</f>
        <v/>
      </c>
      <c r="G616" s="9" t="str">
        <f>IF(ISNA(VLOOKUP(Y616,Master!A$8:N$127,5,FALSE)),"",VLOOKUP(Y616,Master!A$8:AH$127,5,FALSE))</f>
        <v/>
      </c>
      <c r="H616" s="9" t="str">
        <f>IF(AND(G616=""),"",IF(AND(Y616=""),"",ROUND(G616*Master!C$4%,0)))</f>
        <v/>
      </c>
      <c r="I616" s="9" t="str">
        <f>IF(AND(G616=""),"",IF(AND(Y616=""),"",ROUND(G616*Master!H$4%,0)))</f>
        <v/>
      </c>
      <c r="J616" s="9" t="str">
        <f t="shared" ref="J616:J618" si="871">IF(AND(C616=""),"",SUM(G616:I616))</f>
        <v/>
      </c>
      <c r="K616" s="9" t="str">
        <f t="shared" ref="K616:K618" si="872">IF(AND(C616=""),"",IF(AND(G616=""),"",C616-G616))</f>
        <v/>
      </c>
      <c r="L616" s="9" t="str">
        <f t="shared" ref="L616:L618" si="873">IF(AND(D616=""),"",IF(AND(H616=""),"",D616-H616))</f>
        <v/>
      </c>
      <c r="M616" s="9" t="str">
        <f t="shared" ref="M616:M618" si="874">IF(AND(E616=""),"",IF(AND(I616=""),"",E616-I616))</f>
        <v/>
      </c>
      <c r="N616" s="9" t="str">
        <f t="shared" ref="N616:N618" si="875">IF(AND(F616=""),"",IF(AND(J616=""),"",F616-J616))</f>
        <v/>
      </c>
      <c r="O616" s="9" t="str">
        <f>IF(AND(C616=""),"",N616-P616)</f>
        <v/>
      </c>
      <c r="P616" s="9" t="str">
        <f>IF(AND(Y616=""),"",IF(AND(N616=""),"",ROUND(N616*AA$1%,0)))</f>
        <v/>
      </c>
      <c r="Q616" s="9" t="str">
        <f>IF(AND(Y616=""),"",IF(AND(C616=""),"",IF(AND(O616=""),"",SUM(O616,P616))))</f>
        <v/>
      </c>
      <c r="R616" s="9" t="str">
        <f>IF(AND(N616=""),"",IF(AND(Q616=""),"",N616-Q616))</f>
        <v/>
      </c>
      <c r="S616" s="20"/>
      <c r="X616" s="61" t="s">
        <v>49</v>
      </c>
      <c r="Y616" s="64">
        <v>51</v>
      </c>
    </row>
    <row r="617" spans="1:25" ht="21" customHeight="1">
      <c r="A617" s="8">
        <v>2</v>
      </c>
      <c r="B617" s="23" t="str">
        <f>IFERROR(DATE(YEAR(B616),MONTH(B616)+1,DAY(B616)),"")</f>
        <v/>
      </c>
      <c r="C617" s="9" t="str">
        <f>IF(AND(Y616=""),"",C616)</f>
        <v/>
      </c>
      <c r="D617" s="9" t="str">
        <f>IF(AND(C617=""),"",IF(AND(Y616=""),"",ROUND(C617*Master!C$5%,0)))</f>
        <v/>
      </c>
      <c r="E617" s="9" t="str">
        <f>IF(AND(C617=""),"",IF(AND(Y616=""),"",ROUND(C617*Master!H$5%,0)))</f>
        <v/>
      </c>
      <c r="F617" s="9" t="str">
        <f t="shared" si="870"/>
        <v/>
      </c>
      <c r="G617" s="9" t="str">
        <f>IF(AND(Y616=""),"",G616)</f>
        <v/>
      </c>
      <c r="H617" s="9" t="str">
        <f>IF(AND(G617=""),"",IF(AND(Y616=""),"",ROUND(G617*Master!C$4%,0)))</f>
        <v/>
      </c>
      <c r="I617" s="9" t="str">
        <f>IF(AND(G617=""),"",IF(AND(Y616=""),"",ROUND(G617*Master!H$4%,0)))</f>
        <v/>
      </c>
      <c r="J617" s="9" t="str">
        <f t="shared" si="871"/>
        <v/>
      </c>
      <c r="K617" s="9" t="str">
        <f t="shared" si="872"/>
        <v/>
      </c>
      <c r="L617" s="9" t="str">
        <f t="shared" si="873"/>
        <v/>
      </c>
      <c r="M617" s="9" t="str">
        <f t="shared" si="874"/>
        <v/>
      </c>
      <c r="N617" s="9" t="str">
        <f t="shared" si="875"/>
        <v/>
      </c>
      <c r="O617" s="9" t="str">
        <f t="shared" ref="O617:O618" si="876">IF(AND(C617=""),"",N617-P617)</f>
        <v/>
      </c>
      <c r="P617" s="9" t="str">
        <f>IF(AND(Y616=""),"",IF(AND(N617=""),"",ROUND(N617*AA$1%,0)))</f>
        <v/>
      </c>
      <c r="Q617" s="9" t="str">
        <f>IF(AND(Y616=""),"",IF(AND(C617=""),"",IF(AND(O617=""),"",SUM(O617,P617))))</f>
        <v/>
      </c>
      <c r="R617" s="9" t="str">
        <f t="shared" ref="R617:R618" si="877">IF(AND(N617=""),"",IF(AND(Q617=""),"",N617-Q617))</f>
        <v/>
      </c>
      <c r="S617" s="20"/>
      <c r="X617" s="4" t="str">
        <f>IF(ISNA(VLOOKUP(Y616,Master!A$8:N$127,7,FALSE)),"",VLOOKUP(Y616,Master!A$8:AH$127,7,FALSE))</f>
        <v/>
      </c>
    </row>
    <row r="618" spans="1:25" ht="21" customHeight="1">
      <c r="A618" s="8">
        <v>3</v>
      </c>
      <c r="B618" s="23" t="str">
        <f>IFERROR(DATE(YEAR(B617),MONTH(B617)+1,DAY(B617)),"")</f>
        <v/>
      </c>
      <c r="C618" s="9" t="str">
        <f>IF(AND(Y616=""),"",C617)</f>
        <v/>
      </c>
      <c r="D618" s="9" t="str">
        <f>IF(AND(C618=""),"",IF(AND(Y616=""),"",ROUND(C618*Master!C$5%,0)))</f>
        <v/>
      </c>
      <c r="E618" s="9" t="str">
        <f>IF(AND(C618=""),"",IF(AND(Y616=""),"",ROUND(C618*Master!H$5%,0)))</f>
        <v/>
      </c>
      <c r="F618" s="9" t="str">
        <f t="shared" si="870"/>
        <v/>
      </c>
      <c r="G618" s="9" t="str">
        <f>IF(AND(Y616=""),"",G617)</f>
        <v/>
      </c>
      <c r="H618" s="9" t="str">
        <f>IF(AND(G618=""),"",IF(AND(Y616=""),"",ROUND(G618*Master!C$4%,0)))</f>
        <v/>
      </c>
      <c r="I618" s="9" t="str">
        <f>IF(AND(G618=""),"",IF(AND(Y616=""),"",ROUND(G618*Master!H$4%,0)))</f>
        <v/>
      </c>
      <c r="J618" s="9" t="str">
        <f t="shared" si="871"/>
        <v/>
      </c>
      <c r="K618" s="9" t="str">
        <f t="shared" si="872"/>
        <v/>
      </c>
      <c r="L618" s="9" t="str">
        <f t="shared" si="873"/>
        <v/>
      </c>
      <c r="M618" s="9" t="str">
        <f t="shared" si="874"/>
        <v/>
      </c>
      <c r="N618" s="9" t="str">
        <f t="shared" si="875"/>
        <v/>
      </c>
      <c r="O618" s="9" t="str">
        <f t="shared" si="876"/>
        <v/>
      </c>
      <c r="P618" s="9" t="str">
        <f>IF(AND(Y616=""),"",IF(AND(N618=""),"",ROUND(N618*AA$1%,0)))</f>
        <v/>
      </c>
      <c r="Q618" s="9" t="str">
        <f>IF(AND(Y616=""),"",IF(AND(C618=""),"",IF(AND(O618=""),"",SUM(O618,P618))))</f>
        <v/>
      </c>
      <c r="R618" s="9" t="str">
        <f t="shared" si="877"/>
        <v/>
      </c>
      <c r="S618" s="20"/>
    </row>
    <row r="619" spans="1:25" ht="21" customHeight="1">
      <c r="A619" s="8">
        <v>4</v>
      </c>
      <c r="B619" s="23" t="str">
        <f>IFERROR(DATE(YEAR(B618),MONTH(B618)+1,DAY(B618)),"")</f>
        <v/>
      </c>
      <c r="C619" s="9" t="str">
        <f>IF(AND(Y617=""),"",C618)</f>
        <v/>
      </c>
      <c r="D619" s="9" t="str">
        <f>IF(AND(C619=""),"",IF(AND(Y617=""),"",ROUND(C619*Master!C$5%,0)))</f>
        <v/>
      </c>
      <c r="E619" s="9" t="str">
        <f>IF(AND(C619=""),"",IF(AND(Y617=""),"",ROUND(C619*Master!H$5%,0)))</f>
        <v/>
      </c>
      <c r="F619" s="9" t="str">
        <f t="shared" ref="F619" si="878">IF(AND(C619=""),"",SUM(C619:E619))</f>
        <v/>
      </c>
      <c r="G619" s="9" t="str">
        <f>IF(AND(Y617=""),"",G618)</f>
        <v/>
      </c>
      <c r="H619" s="9" t="str">
        <f>IF(AND(G619=""),"",IF(AND(Y617=""),"",ROUND(G619*Master!C$4%,0)))</f>
        <v/>
      </c>
      <c r="I619" s="9" t="str">
        <f>IF(AND(G619=""),"",IF(AND(Y617=""),"",ROUND(G619*Master!H$4%,0)))</f>
        <v/>
      </c>
      <c r="J619" s="9" t="str">
        <f t="shared" ref="J619" si="879">IF(AND(C619=""),"",SUM(G619:I619))</f>
        <v/>
      </c>
      <c r="K619" s="9" t="str">
        <f t="shared" ref="K619" si="880">IF(AND(C619=""),"",IF(AND(G619=""),"",C619-G619))</f>
        <v/>
      </c>
      <c r="L619" s="9" t="str">
        <f t="shared" ref="L619" si="881">IF(AND(D619=""),"",IF(AND(H619=""),"",D619-H619))</f>
        <v/>
      </c>
      <c r="M619" s="9" t="str">
        <f t="shared" ref="M619" si="882">IF(AND(E619=""),"",IF(AND(I619=""),"",E619-I619))</f>
        <v/>
      </c>
      <c r="N619" s="9" t="str">
        <f t="shared" ref="N619" si="883">IF(AND(F619=""),"",IF(AND(J619=""),"",F619-J619))</f>
        <v/>
      </c>
      <c r="O619" s="9" t="str">
        <f t="shared" ref="O619" si="884">IF(AND(C619=""),"",N619-P619)</f>
        <v/>
      </c>
      <c r="P619" s="9" t="str">
        <f>IF(AND(Y617=""),"",IF(AND(N619=""),"",ROUND(N619*AA$1%,0)))</f>
        <v/>
      </c>
      <c r="Q619" s="9" t="str">
        <f>IF(AND(Y617=""),"",IF(AND(C619=""),"",IF(AND(O619=""),"",SUM(O619,P619))))</f>
        <v/>
      </c>
      <c r="R619" s="9" t="str">
        <f t="shared" ref="R619" si="885">IF(AND(N619=""),"",IF(AND(Q619=""),"",N619-Q619))</f>
        <v/>
      </c>
      <c r="S619" s="20"/>
    </row>
    <row r="620" spans="1:25" ht="30.75" customHeight="1">
      <c r="A620" s="153" t="s">
        <v>9</v>
      </c>
      <c r="B620" s="154"/>
      <c r="C620" s="63">
        <f>IF(AND($Y$616=""),"",SUM(C616:C619))</f>
        <v>0</v>
      </c>
      <c r="D620" s="63">
        <f t="shared" ref="D620:R620" si="886">IF(AND($Y$616=""),"",SUM(D616:D619))</f>
        <v>0</v>
      </c>
      <c r="E620" s="63">
        <f t="shared" si="886"/>
        <v>0</v>
      </c>
      <c r="F620" s="63">
        <f t="shared" si="886"/>
        <v>0</v>
      </c>
      <c r="G620" s="63">
        <f t="shared" si="886"/>
        <v>0</v>
      </c>
      <c r="H620" s="63">
        <f t="shared" si="886"/>
        <v>0</v>
      </c>
      <c r="I620" s="63">
        <f t="shared" si="886"/>
        <v>0</v>
      </c>
      <c r="J620" s="63">
        <f t="shared" si="886"/>
        <v>0</v>
      </c>
      <c r="K620" s="63">
        <f t="shared" si="886"/>
        <v>0</v>
      </c>
      <c r="L620" s="63">
        <f t="shared" si="886"/>
        <v>0</v>
      </c>
      <c r="M620" s="63">
        <f t="shared" si="886"/>
        <v>0</v>
      </c>
      <c r="N620" s="63">
        <f t="shared" si="886"/>
        <v>0</v>
      </c>
      <c r="O620" s="63">
        <f t="shared" si="886"/>
        <v>0</v>
      </c>
      <c r="P620" s="63">
        <f t="shared" si="886"/>
        <v>0</v>
      </c>
      <c r="Q620" s="63">
        <f t="shared" si="886"/>
        <v>0</v>
      </c>
      <c r="R620" s="63">
        <f t="shared" si="886"/>
        <v>0</v>
      </c>
      <c r="S620" s="49"/>
    </row>
    <row r="621" spans="1:25" ht="30.75" customHeight="1">
      <c r="A621" s="73"/>
      <c r="B621" s="73"/>
      <c r="C621" s="74"/>
      <c r="D621" s="74"/>
      <c r="E621" s="74"/>
      <c r="F621" s="74"/>
      <c r="G621" s="74"/>
      <c r="H621" s="74"/>
      <c r="I621" s="74"/>
      <c r="J621" s="74"/>
      <c r="K621" s="74"/>
      <c r="L621" s="74"/>
      <c r="M621" s="74"/>
      <c r="N621" s="74"/>
      <c r="O621" s="74"/>
      <c r="P621" s="74"/>
      <c r="Q621" s="74"/>
      <c r="R621" s="74"/>
      <c r="S621" s="75"/>
    </row>
    <row r="622" spans="1:25" ht="18.75">
      <c r="A622" s="21"/>
      <c r="B622" s="58"/>
      <c r="C622" s="58"/>
      <c r="D622" s="58"/>
      <c r="E622" s="58"/>
      <c r="F622" s="58"/>
      <c r="G622" s="58"/>
      <c r="H622" s="59"/>
      <c r="I622" s="59"/>
      <c r="J622" s="59"/>
      <c r="K622" s="66"/>
      <c r="L622" s="66"/>
      <c r="M622" s="66"/>
      <c r="N622" s="66"/>
      <c r="O622" s="138" t="s">
        <v>42</v>
      </c>
      <c r="P622" s="138"/>
      <c r="Q622" s="138"/>
      <c r="R622" s="138"/>
      <c r="S622" s="138"/>
    </row>
    <row r="623" spans="1:25" ht="18.75">
      <c r="A623" s="1"/>
      <c r="B623" s="24" t="s">
        <v>19</v>
      </c>
      <c r="C623" s="139"/>
      <c r="D623" s="139"/>
      <c r="E623" s="139"/>
      <c r="F623" s="139"/>
      <c r="G623" s="139"/>
      <c r="H623" s="25"/>
      <c r="I623" s="143" t="s">
        <v>20</v>
      </c>
      <c r="J623" s="143"/>
      <c r="K623" s="141"/>
      <c r="L623" s="141"/>
      <c r="M623" s="141"/>
      <c r="O623" s="138"/>
      <c r="P623" s="138"/>
      <c r="Q623" s="138"/>
      <c r="R623" s="138"/>
      <c r="S623" s="138"/>
    </row>
    <row r="624" spans="1:25" ht="18.75">
      <c r="A624" s="1"/>
      <c r="B624" s="140" t="s">
        <v>21</v>
      </c>
      <c r="C624" s="140"/>
      <c r="D624" s="140"/>
      <c r="E624" s="140"/>
      <c r="F624" s="140"/>
      <c r="G624" s="140"/>
      <c r="H624" s="140"/>
      <c r="I624" s="27"/>
      <c r="J624" s="26"/>
      <c r="K624" s="26"/>
      <c r="L624" s="26"/>
      <c r="M624" s="26"/>
    </row>
    <row r="625" spans="1:27" ht="18.75">
      <c r="A625" s="22">
        <v>1</v>
      </c>
      <c r="B625" s="142" t="s">
        <v>22</v>
      </c>
      <c r="C625" s="142"/>
      <c r="D625" s="142"/>
      <c r="E625" s="142"/>
      <c r="F625" s="142"/>
      <c r="G625" s="142"/>
      <c r="H625" s="142"/>
      <c r="I625" s="28"/>
      <c r="J625" s="26"/>
      <c r="K625" s="26"/>
      <c r="L625" s="26"/>
      <c r="M625" s="26"/>
    </row>
    <row r="626" spans="1:27" ht="18.75">
      <c r="A626" s="2">
        <v>2</v>
      </c>
      <c r="B626" s="142" t="s">
        <v>23</v>
      </c>
      <c r="C626" s="142"/>
      <c r="D626" s="142"/>
      <c r="E626" s="142"/>
      <c r="F626" s="142"/>
      <c r="G626" s="132"/>
      <c r="H626" s="132"/>
      <c r="I626" s="132"/>
      <c r="J626" s="132"/>
      <c r="K626" s="132"/>
      <c r="L626" s="132"/>
      <c r="M626" s="132"/>
    </row>
    <row r="627" spans="1:27" ht="18.75">
      <c r="A627" s="3">
        <v>3</v>
      </c>
      <c r="B627" s="142" t="s">
        <v>24</v>
      </c>
      <c r="C627" s="142"/>
      <c r="D627" s="142"/>
      <c r="E627" s="29"/>
      <c r="F627" s="28"/>
      <c r="G627" s="28"/>
      <c r="H627" s="30"/>
      <c r="I627" s="31"/>
      <c r="J627" s="26"/>
      <c r="K627" s="26"/>
      <c r="L627" s="26"/>
      <c r="M627" s="26"/>
    </row>
    <row r="628" spans="1:27" ht="15.75">
      <c r="O628" s="138" t="s">
        <v>42</v>
      </c>
      <c r="P628" s="138"/>
      <c r="Q628" s="138"/>
      <c r="R628" s="138"/>
      <c r="S628" s="138"/>
    </row>
    <row r="630" spans="1:27" ht="18" customHeight="1">
      <c r="A630" s="148" t="str">
        <f>A593</f>
        <v xml:space="preserve">DA (46% to 50%) Drawn Statement  </v>
      </c>
      <c r="B630" s="148"/>
      <c r="C630" s="148"/>
      <c r="D630" s="148"/>
      <c r="E630" s="148"/>
      <c r="F630" s="148"/>
      <c r="G630" s="148"/>
      <c r="H630" s="148"/>
      <c r="I630" s="148"/>
      <c r="J630" s="148"/>
      <c r="K630" s="148"/>
      <c r="L630" s="148"/>
      <c r="M630" s="148"/>
      <c r="N630" s="148"/>
      <c r="O630" s="148"/>
      <c r="P630" s="148"/>
      <c r="Q630" s="148"/>
      <c r="R630" s="148"/>
      <c r="S630" s="148"/>
      <c r="W630" s="4">
        <f>IF(ISNA(VLOOKUP($Y$3,Master!A$8:N$127,4,FALSE)),"",VLOOKUP($Y$3,Master!A$8:AH$127,4,FALSE))</f>
        <v>2</v>
      </c>
      <c r="X630" s="4" t="str">
        <f>IF(ISNA(VLOOKUP($Y$3,Master!A$8:N$127,6,FALSE)),"",VLOOKUP($Y$3,Master!A$8:AH$127,6,FALSE))</f>
        <v>GPF-2004</v>
      </c>
      <c r="Y630" s="4" t="s">
        <v>45</v>
      </c>
      <c r="Z630" s="4" t="s">
        <v>18</v>
      </c>
      <c r="AA630" s="4" t="str">
        <f>IF(ISNA(VLOOKUP(Y632,Master!A$8:N$127,7,FALSE)),"",VLOOKUP(Y632,Master!A$8:AH$127,7,FALSE))</f>
        <v/>
      </c>
    </row>
    <row r="631" spans="1:27" ht="18">
      <c r="A631" s="131" t="str">
        <f>IF(AND(Master!C581=""),"",CONCATENATE("Office Of  ",Master!C581))</f>
        <v/>
      </c>
      <c r="B631" s="131"/>
      <c r="C631" s="131"/>
      <c r="D631" s="131"/>
      <c r="E631" s="131"/>
      <c r="F631" s="131"/>
      <c r="G631" s="131"/>
      <c r="H631" s="131"/>
      <c r="I631" s="131"/>
      <c r="J631" s="131"/>
      <c r="K631" s="131"/>
      <c r="L631" s="131"/>
      <c r="M631" s="131"/>
      <c r="N631" s="131"/>
      <c r="O631" s="131"/>
      <c r="P631" s="131"/>
      <c r="Q631" s="131"/>
      <c r="R631" s="131"/>
      <c r="S631" s="131"/>
      <c r="X631" s="4">
        <f>IF(ISNA(VLOOKUP($Y$3,Master!A$8:N$127,8,FALSE)),"",VLOOKUP($Y$3,Master!A$8:AH$127,8,FALSE))</f>
        <v>45292</v>
      </c>
      <c r="Y631" s="4" t="s">
        <v>43</v>
      </c>
    </row>
    <row r="632" spans="1:27" ht="18.75">
      <c r="E632" s="133" t="s">
        <v>10</v>
      </c>
      <c r="F632" s="133"/>
      <c r="G632" s="133"/>
      <c r="H632" s="133"/>
      <c r="I632" s="133"/>
      <c r="J632" s="132" t="str">
        <f>IF(ISNA(VLOOKUP(Y632,Master!A$8:N$127,2,FALSE)),"",VLOOKUP(Y632,Master!A$8:AH$127,2,FALSE))</f>
        <v/>
      </c>
      <c r="K632" s="132"/>
      <c r="L632" s="132"/>
      <c r="M632" s="132"/>
      <c r="N632" s="132"/>
      <c r="O632" s="60" t="s">
        <v>31</v>
      </c>
      <c r="P632" s="132" t="str">
        <f>IF(ISNA(VLOOKUP(Y632,Master!A$8:N$127,3,FALSE)),"",VLOOKUP(Y632,Master!A$8:AH$127,3,FALSE))</f>
        <v/>
      </c>
      <c r="Q632" s="132"/>
      <c r="R632" s="132"/>
      <c r="S632" s="132"/>
      <c r="X632" s="61" t="s">
        <v>49</v>
      </c>
      <c r="Y632" s="64">
        <v>52</v>
      </c>
    </row>
    <row r="633" spans="1:27" ht="8.25" customHeight="1">
      <c r="E633" s="19"/>
      <c r="F633" s="52"/>
      <c r="G633" s="22"/>
      <c r="H633" s="22"/>
      <c r="I633" s="22"/>
      <c r="J633" s="5"/>
      <c r="K633" s="5"/>
      <c r="L633" s="5"/>
      <c r="M633" s="5"/>
      <c r="N633" s="5"/>
      <c r="O633" s="6"/>
      <c r="P633" s="6"/>
    </row>
    <row r="634" spans="1:27" ht="24.75" customHeight="1">
      <c r="A634" s="157" t="s">
        <v>0</v>
      </c>
      <c r="B634" s="158" t="s">
        <v>3</v>
      </c>
      <c r="C634" s="159" t="s">
        <v>5</v>
      </c>
      <c r="D634" s="159"/>
      <c r="E634" s="159"/>
      <c r="F634" s="159"/>
      <c r="G634" s="159" t="s">
        <v>6</v>
      </c>
      <c r="H634" s="159"/>
      <c r="I634" s="159"/>
      <c r="J634" s="159"/>
      <c r="K634" s="159" t="s">
        <v>7</v>
      </c>
      <c r="L634" s="159"/>
      <c r="M634" s="159"/>
      <c r="N634" s="159"/>
      <c r="O634" s="149" t="s">
        <v>8</v>
      </c>
      <c r="P634" s="150"/>
      <c r="Q634" s="151"/>
      <c r="R634" s="162" t="s">
        <v>54</v>
      </c>
      <c r="S634" s="162" t="s">
        <v>40</v>
      </c>
    </row>
    <row r="635" spans="1:27" ht="69" customHeight="1">
      <c r="A635" s="157"/>
      <c r="B635" s="158"/>
      <c r="C635" s="54" t="s">
        <v>29</v>
      </c>
      <c r="D635" s="55" t="s">
        <v>1</v>
      </c>
      <c r="E635" s="56" t="s">
        <v>2</v>
      </c>
      <c r="F635" s="54" t="s">
        <v>46</v>
      </c>
      <c r="G635" s="54" t="s">
        <v>29</v>
      </c>
      <c r="H635" s="55" t="s">
        <v>1</v>
      </c>
      <c r="I635" s="56" t="s">
        <v>2</v>
      </c>
      <c r="J635" s="54" t="s">
        <v>47</v>
      </c>
      <c r="K635" s="54" t="s">
        <v>4</v>
      </c>
      <c r="L635" s="55" t="s">
        <v>1</v>
      </c>
      <c r="M635" s="56" t="s">
        <v>2</v>
      </c>
      <c r="N635" s="57" t="s">
        <v>48</v>
      </c>
      <c r="O635" s="53" t="s">
        <v>69</v>
      </c>
      <c r="P635" s="65" t="s">
        <v>41</v>
      </c>
      <c r="Q635" s="57" t="s">
        <v>53</v>
      </c>
      <c r="R635" s="162"/>
      <c r="S635" s="162"/>
    </row>
    <row r="636" spans="1:27" ht="18" customHeight="1">
      <c r="A636" s="7">
        <v>1</v>
      </c>
      <c r="B636" s="7">
        <v>2</v>
      </c>
      <c r="C636" s="7">
        <v>3</v>
      </c>
      <c r="D636" s="7">
        <v>4</v>
      </c>
      <c r="E636" s="7">
        <v>5</v>
      </c>
      <c r="F636" s="7">
        <v>6</v>
      </c>
      <c r="G636" s="7">
        <v>7</v>
      </c>
      <c r="H636" s="7">
        <v>8</v>
      </c>
      <c r="I636" s="7">
        <v>9</v>
      </c>
      <c r="J636" s="7">
        <v>10</v>
      </c>
      <c r="K636" s="7">
        <v>11</v>
      </c>
      <c r="L636" s="7">
        <v>12</v>
      </c>
      <c r="M636" s="7">
        <v>13</v>
      </c>
      <c r="N636" s="7">
        <v>14</v>
      </c>
      <c r="O636" s="7">
        <v>15</v>
      </c>
      <c r="P636" s="7">
        <v>17</v>
      </c>
      <c r="Q636" s="7">
        <v>18</v>
      </c>
      <c r="R636" s="7">
        <v>19</v>
      </c>
      <c r="S636" s="7">
        <v>20</v>
      </c>
    </row>
    <row r="637" spans="1:27" ht="21" customHeight="1">
      <c r="A637" s="8">
        <v>1</v>
      </c>
      <c r="B637" s="23" t="str">
        <f>IFERROR(IF(ISNA(VLOOKUP(Y632,Master!A$8:N$127,8,FALSE)),"",VLOOKUP($Y632,Master!A$8:AH$127,8,FALSE)),"")</f>
        <v/>
      </c>
      <c r="C637" s="9" t="str">
        <f>IF(ISNA(VLOOKUP(Y632,Master!A$8:N$127,5,FALSE)),"",VLOOKUP(Y632,Master!A$8:AH$127,5,FALSE))</f>
        <v/>
      </c>
      <c r="D637" s="9" t="str">
        <f>IF(AND(C637=""),"",IF(AND(Y632=""),"",ROUND(C637*Master!C$5%,0)))</f>
        <v/>
      </c>
      <c r="E637" s="9" t="str">
        <f>IF(AND(C637=""),"",IF(AND(Y632=""),"",ROUND(C637*Master!H$5%,0)))</f>
        <v/>
      </c>
      <c r="F637" s="9" t="str">
        <f t="shared" ref="F637" si="887">IF(AND(C637=""),"",SUM(C637:E637))</f>
        <v/>
      </c>
      <c r="G637" s="9" t="str">
        <f>IF(ISNA(VLOOKUP(Y632,Master!A$8:N$127,5,FALSE)),"",VLOOKUP(Y632,Master!A$8:AH$127,5,FALSE))</f>
        <v/>
      </c>
      <c r="H637" s="9" t="str">
        <f>IF(AND(G637=""),"",IF(AND(Y632=""),"",ROUND(G637*Master!C$4%,0)))</f>
        <v/>
      </c>
      <c r="I637" s="9" t="str">
        <f>IF(AND(G637=""),"",IF(AND(Y632=""),"",ROUND(G637*Master!H$4%,0)))</f>
        <v/>
      </c>
      <c r="J637" s="9" t="str">
        <f t="shared" ref="J637:J638" si="888">IF(AND(C637=""),"",SUM(G637:I637))</f>
        <v/>
      </c>
      <c r="K637" s="9" t="str">
        <f t="shared" ref="K637:K639" si="889">IF(AND(C637=""),"",IF(AND(G637=""),"",C637-G637))</f>
        <v/>
      </c>
      <c r="L637" s="9" t="str">
        <f t="shared" ref="L637:L639" si="890">IF(AND(D637=""),"",IF(AND(H637=""),"",D637-H637))</f>
        <v/>
      </c>
      <c r="M637" s="9" t="str">
        <f t="shared" ref="M637:M638" si="891">IF(AND(E637=""),"",IF(AND(I637=""),"",E637-I637))</f>
        <v/>
      </c>
      <c r="N637" s="9" t="str">
        <f t="shared" ref="N637:N638" si="892">IF(AND(F637=""),"",IF(AND(J637=""),"",F637-J637))</f>
        <v/>
      </c>
      <c r="O637" s="9" t="str">
        <f>IF(AND(C637=""),"",N637-P637)</f>
        <v/>
      </c>
      <c r="P637" s="9" t="str">
        <f>IF(AND(Y632=""),"",IF(AND(N637=""),"",ROUND(N637*AA$1%,0)))</f>
        <v/>
      </c>
      <c r="Q637" s="9" t="str">
        <f>IF(AND(Y632=""),"",IF(AND(C637=""),"",IF(AND(O637=""),"",SUM(O637,P637))))</f>
        <v/>
      </c>
      <c r="R637" s="9" t="str">
        <f>IF(AND(N637=""),"",IF(AND(Q637=""),"",N637-Q637))</f>
        <v/>
      </c>
      <c r="S637" s="20"/>
    </row>
    <row r="638" spans="1:27" ht="21" customHeight="1">
      <c r="A638" s="8">
        <v>2</v>
      </c>
      <c r="B638" s="23" t="str">
        <f>IFERROR(DATE(YEAR(B637),MONTH(B637)+1,DAY(B637)),"")</f>
        <v/>
      </c>
      <c r="C638" s="9" t="str">
        <f>IF(AND(Y632=""),"",C637)</f>
        <v/>
      </c>
      <c r="D638" s="9" t="str">
        <f>IF(AND(C638=""),"",IF(AND(Y632=""),"",ROUND(C638*Master!C$5%,0)))</f>
        <v/>
      </c>
      <c r="E638" s="9" t="str">
        <f>IF(AND(C638=""),"",IF(AND(Y632=""),"",ROUND(C638*Master!H$5%,0)))</f>
        <v/>
      </c>
      <c r="F638" s="9" t="str">
        <f>IF(AND(C638=""),"",SUM(C638:E638))</f>
        <v/>
      </c>
      <c r="G638" s="9" t="str">
        <f>IF(AND(Y632=""),"",G637)</f>
        <v/>
      </c>
      <c r="H638" s="9" t="str">
        <f>IF(AND(G638=""),"",IF(AND(Y632=""),"",ROUND(G638*Master!C$4%,0)))</f>
        <v/>
      </c>
      <c r="I638" s="9" t="str">
        <f>IF(AND(G638=""),"",IF(AND(Y632=""),"",ROUND(G638*Master!H$4%,0)))</f>
        <v/>
      </c>
      <c r="J638" s="9" t="str">
        <f t="shared" si="888"/>
        <v/>
      </c>
      <c r="K638" s="9" t="str">
        <f t="shared" si="889"/>
        <v/>
      </c>
      <c r="L638" s="9" t="str">
        <f t="shared" si="890"/>
        <v/>
      </c>
      <c r="M638" s="9" t="str">
        <f t="shared" si="891"/>
        <v/>
      </c>
      <c r="N638" s="9" t="str">
        <f t="shared" si="892"/>
        <v/>
      </c>
      <c r="O638" s="9" t="str">
        <f t="shared" ref="O638:O639" si="893">IF(AND(C638=""),"",N638-P638)</f>
        <v/>
      </c>
      <c r="P638" s="9" t="str">
        <f>IF(AND(Y632=""),"",IF(AND(N638=""),"",ROUND(N638*AA$1%,0)))</f>
        <v/>
      </c>
      <c r="Q638" s="9" t="str">
        <f>IF(AND(Y632=""),"",IF(AND(C638=""),"",IF(AND(O638=""),"",SUM(O638,P638))))</f>
        <v/>
      </c>
      <c r="R638" s="9" t="str">
        <f t="shared" ref="R638:R639" si="894">IF(AND(N638=""),"",IF(AND(Q638=""),"",N638-Q638))</f>
        <v/>
      </c>
      <c r="S638" s="20"/>
    </row>
    <row r="639" spans="1:27" ht="21" customHeight="1">
      <c r="A639" s="8">
        <v>3</v>
      </c>
      <c r="B639" s="23" t="str">
        <f>IFERROR(DATE(YEAR(B638),MONTH(B638)+1,DAY(B638)),"")</f>
        <v/>
      </c>
      <c r="C639" s="9" t="str">
        <f>IF(AND(Y632=""),"",C638)</f>
        <v/>
      </c>
      <c r="D639" s="9" t="str">
        <f>IF(AND(C639=""),"",IF(AND(Y632=""),"",ROUND(C639*Master!C$5%,0)))</f>
        <v/>
      </c>
      <c r="E639" s="9" t="str">
        <f>IF(AND(C639=""),"",IF(AND(Y632=""),"",ROUND(C639*Master!H$5%,0)))</f>
        <v/>
      </c>
      <c r="F639" s="9" t="str">
        <f t="shared" ref="F639" si="895">IF(AND(C639=""),"",SUM(C639:E639))</f>
        <v/>
      </c>
      <c r="G639" s="9" t="str">
        <f>IF(AND(Y632=""),"",G638)</f>
        <v/>
      </c>
      <c r="H639" s="9" t="str">
        <f>IF(AND(G639=""),"",IF(AND(Y632=""),"",ROUND(G639*Master!C$4%,0)))</f>
        <v/>
      </c>
      <c r="I639" s="9" t="str">
        <f>IF(AND(G639=""),"",IF(AND(Y632=""),"",ROUND(G639*Master!H$4%,0)))</f>
        <v/>
      </c>
      <c r="J639" s="9" t="str">
        <f>IF(AND(C639=""),"",SUM(G639:I639))</f>
        <v/>
      </c>
      <c r="K639" s="9" t="str">
        <f t="shared" si="889"/>
        <v/>
      </c>
      <c r="L639" s="9" t="str">
        <f t="shared" si="890"/>
        <v/>
      </c>
      <c r="M639" s="9" t="str">
        <f>IF(AND(E639=""),"",IF(AND(I639=""),"",E639-I639))</f>
        <v/>
      </c>
      <c r="N639" s="9" t="str">
        <f>IF(AND(F639=""),"",IF(AND(J639=""),"",F639-J639))</f>
        <v/>
      </c>
      <c r="O639" s="9" t="str">
        <f t="shared" si="893"/>
        <v/>
      </c>
      <c r="P639" s="9" t="str">
        <f>IF(AND(Y632=""),"",IF(AND(N639=""),"",ROUND(N639*AA$1%,0)))</f>
        <v/>
      </c>
      <c r="Q639" s="9" t="str">
        <f>IF(AND(Y632=""),"",IF(AND(C639=""),"",IF(AND(O639=""),"",SUM(O639,P639))))</f>
        <v/>
      </c>
      <c r="R639" s="9" t="str">
        <f t="shared" si="894"/>
        <v/>
      </c>
      <c r="S639" s="20"/>
    </row>
    <row r="640" spans="1:27" ht="21" customHeight="1">
      <c r="A640" s="8">
        <v>4</v>
      </c>
      <c r="B640" s="23" t="str">
        <f>IFERROR(DATE(YEAR(B639),MONTH(B639)+1,DAY(B639)),"")</f>
        <v/>
      </c>
      <c r="C640" s="9" t="str">
        <f>IF(AND(Y633=""),"",C639)</f>
        <v/>
      </c>
      <c r="D640" s="9" t="str">
        <f>IF(AND(C640=""),"",IF(AND(Y633=""),"",ROUND(C640*Master!C$5%,0)))</f>
        <v/>
      </c>
      <c r="E640" s="9" t="str">
        <f>IF(AND(C640=""),"",IF(AND(Y633=""),"",ROUND(C640*Master!H$5%,0)))</f>
        <v/>
      </c>
      <c r="F640" s="9" t="str">
        <f t="shared" ref="F640" si="896">IF(AND(C640=""),"",SUM(C640:E640))</f>
        <v/>
      </c>
      <c r="G640" s="9" t="str">
        <f>IF(AND(Y633=""),"",G639)</f>
        <v/>
      </c>
      <c r="H640" s="9" t="str">
        <f>IF(AND(G640=""),"",IF(AND(Y633=""),"",ROUND(G640*Master!C$4%,0)))</f>
        <v/>
      </c>
      <c r="I640" s="9" t="str">
        <f>IF(AND(G640=""),"",IF(AND(Y633=""),"",ROUND(G640*Master!H$4%,0)))</f>
        <v/>
      </c>
      <c r="J640" s="9" t="str">
        <f>IF(AND(C640=""),"",SUM(G640:I640))</f>
        <v/>
      </c>
      <c r="K640" s="9" t="str">
        <f t="shared" ref="K640" si="897">IF(AND(C640=""),"",IF(AND(G640=""),"",C640-G640))</f>
        <v/>
      </c>
      <c r="L640" s="9" t="str">
        <f t="shared" ref="L640" si="898">IF(AND(D640=""),"",IF(AND(H640=""),"",D640-H640))</f>
        <v/>
      </c>
      <c r="M640" s="9" t="str">
        <f>IF(AND(E640=""),"",IF(AND(I640=""),"",E640-I640))</f>
        <v/>
      </c>
      <c r="N640" s="9" t="str">
        <f>IF(AND(F640=""),"",IF(AND(J640=""),"",F640-J640))</f>
        <v/>
      </c>
      <c r="O640" s="9" t="str">
        <f t="shared" ref="O640" si="899">IF(AND(C640=""),"",N640-P640)</f>
        <v/>
      </c>
      <c r="P640" s="9" t="str">
        <f>IF(AND(Y633=""),"",IF(AND(N640=""),"",ROUND(N640*AA$1%,0)))</f>
        <v/>
      </c>
      <c r="Q640" s="9" t="str">
        <f>IF(AND(Y633=""),"",IF(AND(C640=""),"",IF(AND(O640=""),"",SUM(O640,P640))))</f>
        <v/>
      </c>
      <c r="R640" s="9" t="str">
        <f t="shared" ref="R640" si="900">IF(AND(N640=""),"",IF(AND(Q640=""),"",N640-Q640))</f>
        <v/>
      </c>
      <c r="S640" s="20"/>
    </row>
    <row r="641" spans="1:25" ht="23.25" customHeight="1">
      <c r="A641" s="153" t="s">
        <v>9</v>
      </c>
      <c r="B641" s="154"/>
      <c r="C641" s="63">
        <f>IF(AND($Y$632=""),"",SUM(C637:C640))</f>
        <v>0</v>
      </c>
      <c r="D641" s="63">
        <f t="shared" ref="D641:R641" si="901">IF(AND($Y$632=""),"",SUM(D637:D640))</f>
        <v>0</v>
      </c>
      <c r="E641" s="63">
        <f t="shared" si="901"/>
        <v>0</v>
      </c>
      <c r="F641" s="63">
        <f t="shared" si="901"/>
        <v>0</v>
      </c>
      <c r="G641" s="63">
        <f t="shared" si="901"/>
        <v>0</v>
      </c>
      <c r="H641" s="63">
        <f t="shared" si="901"/>
        <v>0</v>
      </c>
      <c r="I641" s="63">
        <f t="shared" si="901"/>
        <v>0</v>
      </c>
      <c r="J641" s="63">
        <f t="shared" si="901"/>
        <v>0</v>
      </c>
      <c r="K641" s="63">
        <f t="shared" si="901"/>
        <v>0</v>
      </c>
      <c r="L641" s="63">
        <f t="shared" si="901"/>
        <v>0</v>
      </c>
      <c r="M641" s="63">
        <f t="shared" si="901"/>
        <v>0</v>
      </c>
      <c r="N641" s="63">
        <f t="shared" si="901"/>
        <v>0</v>
      </c>
      <c r="O641" s="63">
        <f t="shared" si="901"/>
        <v>0</v>
      </c>
      <c r="P641" s="63">
        <f t="shared" si="901"/>
        <v>0</v>
      </c>
      <c r="Q641" s="63">
        <f t="shared" si="901"/>
        <v>0</v>
      </c>
      <c r="R641" s="63">
        <f t="shared" si="901"/>
        <v>0</v>
      </c>
      <c r="S641" s="49"/>
    </row>
    <row r="642" spans="1:25" ht="10.5" customHeight="1">
      <c r="A642" s="73"/>
      <c r="B642" s="73"/>
      <c r="C642" s="74"/>
      <c r="D642" s="74"/>
      <c r="E642" s="74"/>
      <c r="F642" s="74"/>
      <c r="G642" s="74"/>
      <c r="H642" s="74"/>
      <c r="I642" s="74"/>
      <c r="J642" s="74"/>
      <c r="K642" s="74"/>
      <c r="L642" s="74"/>
      <c r="M642" s="74"/>
      <c r="N642" s="74"/>
      <c r="O642" s="74"/>
      <c r="P642" s="74"/>
      <c r="Q642" s="74"/>
      <c r="R642" s="74"/>
      <c r="S642" s="75"/>
    </row>
    <row r="643" spans="1:25" ht="23.25" customHeight="1">
      <c r="E643" s="133" t="s">
        <v>10</v>
      </c>
      <c r="F643" s="133"/>
      <c r="G643" s="133"/>
      <c r="H643" s="133"/>
      <c r="I643" s="133"/>
      <c r="J643" s="132" t="str">
        <f>IF(ISNA(VLOOKUP(Y645,Master!A$8:N$127,2,FALSE)),"",VLOOKUP(Y645,Master!A$8:AH$127,2,FALSE))</f>
        <v/>
      </c>
      <c r="K643" s="132"/>
      <c r="L643" s="132"/>
      <c r="M643" s="132"/>
      <c r="N643" s="132"/>
      <c r="O643" s="60" t="s">
        <v>31</v>
      </c>
      <c r="P643" s="132" t="str">
        <f>IF(ISNA(VLOOKUP(Y645,Master!A$8:N$127,3,FALSE)),"",VLOOKUP(Y645,Master!A$8:AH$127,3,FALSE))</f>
        <v/>
      </c>
      <c r="Q643" s="132"/>
      <c r="R643" s="132"/>
      <c r="S643" s="132"/>
    </row>
    <row r="644" spans="1:25" ht="9" customHeight="1">
      <c r="E644" s="19"/>
      <c r="F644" s="52"/>
      <c r="G644" s="22"/>
      <c r="H644" s="22"/>
      <c r="I644" s="22"/>
      <c r="J644" s="5"/>
      <c r="K644" s="5"/>
      <c r="L644" s="5"/>
      <c r="M644" s="5"/>
      <c r="N644" s="5"/>
      <c r="O644" s="6"/>
      <c r="P644" s="6"/>
    </row>
    <row r="645" spans="1:25" ht="21" customHeight="1">
      <c r="A645" s="8">
        <v>1</v>
      </c>
      <c r="B645" s="23" t="str">
        <f>IFERROR(IF(ISNA(VLOOKUP(Y645,Master!A$8:N$127,8,FALSE)),"",VLOOKUP($Y645,Master!A$8:AH$127,8,FALSE)),"")</f>
        <v/>
      </c>
      <c r="C645" s="9" t="str">
        <f>IF(ISNA(VLOOKUP(Y645,Master!A$8:N$127,5,FALSE)),"",VLOOKUP(Y645,Master!A$8:AH$127,5,FALSE))</f>
        <v/>
      </c>
      <c r="D645" s="9" t="str">
        <f>IF(AND(C645=""),"",IF(AND(Y645=""),"",ROUND(C645*Master!C$5%,0)))</f>
        <v/>
      </c>
      <c r="E645" s="9" t="str">
        <f>IF(AND(C645=""),"",IF(AND(Y645=""),"",ROUND(C645*Master!H$5%,0)))</f>
        <v/>
      </c>
      <c r="F645" s="9" t="str">
        <f t="shared" ref="F645:F647" si="902">IF(AND(C645=""),"",SUM(C645:E645))</f>
        <v/>
      </c>
      <c r="G645" s="9" t="str">
        <f>IF(ISNA(VLOOKUP(Y645,Master!A$8:N$127,5,FALSE)),"",VLOOKUP(Y645,Master!A$8:AH$127,5,FALSE))</f>
        <v/>
      </c>
      <c r="H645" s="9" t="str">
        <f>IF(AND(G645=""),"",IF(AND(Y645=""),"",ROUND(G645*Master!C$4%,0)))</f>
        <v/>
      </c>
      <c r="I645" s="9" t="str">
        <f>IF(AND(G645=""),"",IF(AND(Y645=""),"",ROUND(G645*Master!H$4%,0)))</f>
        <v/>
      </c>
      <c r="J645" s="9" t="str">
        <f t="shared" ref="J645:J647" si="903">IF(AND(C645=""),"",SUM(G645:I645))</f>
        <v/>
      </c>
      <c r="K645" s="9" t="str">
        <f t="shared" ref="K645" si="904">IF(AND(C645=""),"",IF(AND(G645=""),"",C645-G645))</f>
        <v/>
      </c>
      <c r="L645" s="9" t="str">
        <f>IF(AND(D645=""),"",IF(AND(H645=""),"",D645-H645))</f>
        <v/>
      </c>
      <c r="M645" s="9" t="str">
        <f t="shared" ref="M645:M647" si="905">IF(AND(E645=""),"",IF(AND(I645=""),"",E645-I645))</f>
        <v/>
      </c>
      <c r="N645" s="9" t="str">
        <f t="shared" ref="N645:N647" si="906">IF(AND(F645=""),"",IF(AND(J645=""),"",F645-J645))</f>
        <v/>
      </c>
      <c r="O645" s="9" t="str">
        <f>IF(AND(C645=""),"",N645-P645)</f>
        <v/>
      </c>
      <c r="P645" s="9" t="str">
        <f>IF(AND(Y645=""),"",IF(AND(N645=""),"",ROUND(N645*X$17%,0)))</f>
        <v/>
      </c>
      <c r="Q645" s="9" t="str">
        <f>IF(AND(Y645=""),"",IF(AND(C645=""),"",IF(AND(O645=""),"",SUM(O645,P645))))</f>
        <v/>
      </c>
      <c r="R645" s="9" t="str">
        <f>IF(AND(N645=""),"",IF(AND(Q645=""),"",N645-Q645))</f>
        <v/>
      </c>
      <c r="S645" s="20"/>
      <c r="X645" s="61" t="s">
        <v>49</v>
      </c>
      <c r="Y645" s="64">
        <v>53</v>
      </c>
    </row>
    <row r="646" spans="1:25" ht="21" customHeight="1">
      <c r="A646" s="8">
        <v>2</v>
      </c>
      <c r="B646" s="23" t="str">
        <f>IFERROR(DATE(YEAR(B645),MONTH(B645)+1,DAY(B645)),"")</f>
        <v/>
      </c>
      <c r="C646" s="9" t="str">
        <f>IF(AND(Y645=""),"",C645)</f>
        <v/>
      </c>
      <c r="D646" s="9" t="str">
        <f>IF(AND(C646=""),"",IF(AND(Y645=""),"",ROUND(C646*Master!C$5%,0)))</f>
        <v/>
      </c>
      <c r="E646" s="9" t="str">
        <f>IF(AND(C646=""),"",IF(AND(Y645=""),"",ROUND(C646*Master!H$5%,0)))</f>
        <v/>
      </c>
      <c r="F646" s="9" t="str">
        <f t="shared" si="902"/>
        <v/>
      </c>
      <c r="G646" s="9" t="str">
        <f>IF(AND(Y645=""),"",G645)</f>
        <v/>
      </c>
      <c r="H646" s="9" t="str">
        <f>IF(AND(G646=""),"",IF(AND(Y645=""),"",ROUND(G646*Master!C$4%,0)))</f>
        <v/>
      </c>
      <c r="I646" s="9" t="str">
        <f>IF(AND(G646=""),"",IF(AND(Y645=""),"",ROUND(G646*Master!H$4%,0)))</f>
        <v/>
      </c>
      <c r="J646" s="9" t="str">
        <f t="shared" si="903"/>
        <v/>
      </c>
      <c r="K646" s="9" t="str">
        <f>IF(AND(C646=""),"",IF(AND(G646=""),"",C646-G646))</f>
        <v/>
      </c>
      <c r="L646" s="9" t="str">
        <f t="shared" ref="L646:L647" si="907">IF(AND(D646=""),"",IF(AND(H646=""),"",D646-H646))</f>
        <v/>
      </c>
      <c r="M646" s="9" t="str">
        <f t="shared" si="905"/>
        <v/>
      </c>
      <c r="N646" s="9" t="str">
        <f t="shared" si="906"/>
        <v/>
      </c>
      <c r="O646" s="9" t="str">
        <f t="shared" ref="O646:O647" si="908">IF(AND(C646=""),"",N646-P646)</f>
        <v/>
      </c>
      <c r="P646" s="9" t="str">
        <f>IF(AND(Y645=""),"",IF(AND(N646=""),"",ROUND(N646*X$17%,0)))</f>
        <v/>
      </c>
      <c r="Q646" s="9" t="str">
        <f>IF(AND(Y645=""),"",IF(AND(C646=""),"",IF(AND(O646=""),"",SUM(O646,P646))))</f>
        <v/>
      </c>
      <c r="R646" s="9" t="str">
        <f t="shared" ref="R646:R647" si="909">IF(AND(N646=""),"",IF(AND(Q646=""),"",N646-Q646))</f>
        <v/>
      </c>
      <c r="S646" s="20"/>
      <c r="X646" s="4" t="str">
        <f>IF(ISNA(VLOOKUP(Y645,Master!A$8:N$127,7,FALSE)),"",VLOOKUP(Y645,Master!A$8:AH$127,7,FALSE))</f>
        <v/>
      </c>
    </row>
    <row r="647" spans="1:25" ht="21" customHeight="1">
      <c r="A647" s="8">
        <v>3</v>
      </c>
      <c r="B647" s="23" t="str">
        <f>IFERROR(DATE(YEAR(B646),MONTH(B646)+1,DAY(B646)),"")</f>
        <v/>
      </c>
      <c r="C647" s="9" t="str">
        <f>IF(AND(Y645=""),"",C646)</f>
        <v/>
      </c>
      <c r="D647" s="9" t="str">
        <f>IF(AND(C647=""),"",IF(AND(Y645=""),"",ROUND(C647*Master!C$5%,0)))</f>
        <v/>
      </c>
      <c r="E647" s="9" t="str">
        <f>IF(AND(C647=""),"",IF(AND(Y645=""),"",ROUND(C647*Master!H$5%,0)))</f>
        <v/>
      </c>
      <c r="F647" s="9" t="str">
        <f t="shared" si="902"/>
        <v/>
      </c>
      <c r="G647" s="9" t="str">
        <f>IF(AND(Y645=""),"",G646)</f>
        <v/>
      </c>
      <c r="H647" s="9" t="str">
        <f>IF(AND(G647=""),"",IF(AND(Y645=""),"",ROUND(G647*Master!C$4%,0)))</f>
        <v/>
      </c>
      <c r="I647" s="9" t="str">
        <f>IF(AND(G647=""),"",IF(AND(Y645=""),"",ROUND(G647*Master!H$4%,0)))</f>
        <v/>
      </c>
      <c r="J647" s="9" t="str">
        <f t="shared" si="903"/>
        <v/>
      </c>
      <c r="K647" s="9" t="str">
        <f t="shared" ref="K647" si="910">IF(AND(C647=""),"",IF(AND(G647=""),"",C647-G647))</f>
        <v/>
      </c>
      <c r="L647" s="9" t="str">
        <f t="shared" si="907"/>
        <v/>
      </c>
      <c r="M647" s="9" t="str">
        <f t="shared" si="905"/>
        <v/>
      </c>
      <c r="N647" s="9" t="str">
        <f t="shared" si="906"/>
        <v/>
      </c>
      <c r="O647" s="9" t="str">
        <f t="shared" si="908"/>
        <v/>
      </c>
      <c r="P647" s="9" t="str">
        <f>IF(AND(Y645=""),"",IF(AND(N647=""),"",ROUND(N647*X$17%,0)))</f>
        <v/>
      </c>
      <c r="Q647" s="9" t="str">
        <f>IF(AND(Y645=""),"",IF(AND(C647=""),"",IF(AND(O647=""),"",SUM(O647,P647))))</f>
        <v/>
      </c>
      <c r="R647" s="9" t="str">
        <f t="shared" si="909"/>
        <v/>
      </c>
      <c r="S647" s="20"/>
    </row>
    <row r="648" spans="1:25" ht="21" customHeight="1">
      <c r="A648" s="8">
        <v>4</v>
      </c>
      <c r="B648" s="23" t="str">
        <f>IFERROR(DATE(YEAR(B647),MONTH(B647)+1,DAY(B647)),"")</f>
        <v/>
      </c>
      <c r="C648" s="9" t="str">
        <f>IF(AND(Y646=""),"",C647)</f>
        <v/>
      </c>
      <c r="D648" s="9" t="str">
        <f>IF(AND(C648=""),"",IF(AND(Y646=""),"",ROUND(C648*Master!C$5%,0)))</f>
        <v/>
      </c>
      <c r="E648" s="9" t="str">
        <f>IF(AND(C648=""),"",IF(AND(Y646=""),"",ROUND(C648*Master!H$5%,0)))</f>
        <v/>
      </c>
      <c r="F648" s="9" t="str">
        <f t="shared" ref="F648" si="911">IF(AND(C648=""),"",SUM(C648:E648))</f>
        <v/>
      </c>
      <c r="G648" s="9" t="str">
        <f>IF(AND(Y646=""),"",G647)</f>
        <v/>
      </c>
      <c r="H648" s="9" t="str">
        <f>IF(AND(G648=""),"",IF(AND(Y646=""),"",ROUND(G648*Master!C$4%,0)))</f>
        <v/>
      </c>
      <c r="I648" s="9" t="str">
        <f>IF(AND(G648=""),"",IF(AND(Y646=""),"",ROUND(G648*Master!H$4%,0)))</f>
        <v/>
      </c>
      <c r="J648" s="9" t="str">
        <f t="shared" ref="J648" si="912">IF(AND(C648=""),"",SUM(G648:I648))</f>
        <v/>
      </c>
      <c r="K648" s="9" t="str">
        <f t="shared" ref="K648" si="913">IF(AND(C648=""),"",IF(AND(G648=""),"",C648-G648))</f>
        <v/>
      </c>
      <c r="L648" s="9" t="str">
        <f t="shared" ref="L648" si="914">IF(AND(D648=""),"",IF(AND(H648=""),"",D648-H648))</f>
        <v/>
      </c>
      <c r="M648" s="9" t="str">
        <f t="shared" ref="M648" si="915">IF(AND(E648=""),"",IF(AND(I648=""),"",E648-I648))</f>
        <v/>
      </c>
      <c r="N648" s="9" t="str">
        <f t="shared" ref="N648" si="916">IF(AND(F648=""),"",IF(AND(J648=""),"",F648-J648))</f>
        <v/>
      </c>
      <c r="O648" s="9" t="str">
        <f t="shared" ref="O648" si="917">IF(AND(C648=""),"",N648-P648)</f>
        <v/>
      </c>
      <c r="P648" s="9" t="str">
        <f>IF(AND(Y646=""),"",IF(AND(N648=""),"",ROUND(N648*X$17%,0)))</f>
        <v/>
      </c>
      <c r="Q648" s="9" t="str">
        <f>IF(AND(Y646=""),"",IF(AND(C648=""),"",IF(AND(O648=""),"",SUM(O648,P648))))</f>
        <v/>
      </c>
      <c r="R648" s="9" t="str">
        <f t="shared" ref="R648" si="918">IF(AND(N648=""),"",IF(AND(Q648=""),"",N648-Q648))</f>
        <v/>
      </c>
      <c r="S648" s="20"/>
    </row>
    <row r="649" spans="1:25" ht="30.75" customHeight="1">
      <c r="A649" s="153" t="s">
        <v>9</v>
      </c>
      <c r="B649" s="154"/>
      <c r="C649" s="63">
        <f>IF(AND($Y$645=""),"",SUM(C645:C648))</f>
        <v>0</v>
      </c>
      <c r="D649" s="63">
        <f t="shared" ref="D649:R649" si="919">IF(AND($Y$645=""),"",SUM(D645:D648))</f>
        <v>0</v>
      </c>
      <c r="E649" s="63">
        <f t="shared" si="919"/>
        <v>0</v>
      </c>
      <c r="F649" s="63">
        <f t="shared" si="919"/>
        <v>0</v>
      </c>
      <c r="G649" s="63">
        <f t="shared" si="919"/>
        <v>0</v>
      </c>
      <c r="H649" s="63">
        <f t="shared" si="919"/>
        <v>0</v>
      </c>
      <c r="I649" s="63">
        <f t="shared" si="919"/>
        <v>0</v>
      </c>
      <c r="J649" s="63">
        <f t="shared" si="919"/>
        <v>0</v>
      </c>
      <c r="K649" s="63">
        <f t="shared" si="919"/>
        <v>0</v>
      </c>
      <c r="L649" s="63">
        <f t="shared" si="919"/>
        <v>0</v>
      </c>
      <c r="M649" s="63">
        <f t="shared" si="919"/>
        <v>0</v>
      </c>
      <c r="N649" s="63">
        <f t="shared" si="919"/>
        <v>0</v>
      </c>
      <c r="O649" s="63">
        <f t="shared" si="919"/>
        <v>0</v>
      </c>
      <c r="P649" s="63">
        <f t="shared" si="919"/>
        <v>0</v>
      </c>
      <c r="Q649" s="63">
        <f t="shared" si="919"/>
        <v>0</v>
      </c>
      <c r="R649" s="63">
        <f t="shared" si="919"/>
        <v>0</v>
      </c>
      <c r="S649" s="49"/>
    </row>
    <row r="650" spans="1:25" ht="11.25" customHeight="1">
      <c r="A650" s="73"/>
      <c r="B650" s="73"/>
      <c r="C650" s="74"/>
      <c r="D650" s="74"/>
      <c r="E650" s="74"/>
      <c r="F650" s="74"/>
      <c r="G650" s="74"/>
      <c r="H650" s="74"/>
      <c r="I650" s="74"/>
      <c r="J650" s="74"/>
      <c r="K650" s="74"/>
      <c r="L650" s="74"/>
      <c r="M650" s="74"/>
      <c r="N650" s="74"/>
      <c r="O650" s="74"/>
      <c r="P650" s="74"/>
      <c r="Q650" s="74"/>
      <c r="R650" s="74"/>
      <c r="S650" s="75"/>
    </row>
    <row r="651" spans="1:25" ht="23.25" customHeight="1">
      <c r="E651" s="133" t="s">
        <v>10</v>
      </c>
      <c r="F651" s="133"/>
      <c r="G651" s="133"/>
      <c r="H651" s="133"/>
      <c r="I651" s="133"/>
      <c r="J651" s="132" t="str">
        <f>IF(ISNA(VLOOKUP(Y653,Master!A$8:N$127,2,FALSE)),"",VLOOKUP(Y653,Master!A$8:AH$127,2,FALSE))</f>
        <v/>
      </c>
      <c r="K651" s="132"/>
      <c r="L651" s="132"/>
      <c r="M651" s="132"/>
      <c r="N651" s="132"/>
      <c r="O651" s="60" t="s">
        <v>31</v>
      </c>
      <c r="P651" s="132" t="str">
        <f>IF(ISNA(VLOOKUP($Y$431,Master!A$8:N$127,3,FALSE)),"",VLOOKUP($Y$431,Master!A$8:AH$127,3,FALSE))</f>
        <v/>
      </c>
      <c r="Q651" s="132"/>
      <c r="R651" s="132"/>
      <c r="S651" s="132"/>
    </row>
    <row r="652" spans="1:25" ht="9" customHeight="1">
      <c r="E652" s="19"/>
      <c r="F652" s="52"/>
      <c r="G652" s="22"/>
      <c r="H652" s="22"/>
      <c r="I652" s="22"/>
      <c r="J652" s="5"/>
      <c r="K652" s="5"/>
      <c r="L652" s="5"/>
      <c r="M652" s="5"/>
      <c r="N652" s="5"/>
      <c r="O652" s="6"/>
      <c r="P652" s="6"/>
    </row>
    <row r="653" spans="1:25" ht="21" customHeight="1">
      <c r="A653" s="8">
        <v>1</v>
      </c>
      <c r="B653" s="23" t="str">
        <f>IFERROR(IF(ISNA(VLOOKUP(Y653,Master!A$8:N$127,8,FALSE)),"",VLOOKUP($Y653,Master!A$8:AH$127,8,FALSE)),"")</f>
        <v/>
      </c>
      <c r="C653" s="9" t="str">
        <f>IF(ISNA(VLOOKUP(Y653,Master!A$8:N$127,5,FALSE)),"",VLOOKUP(Y653,Master!A$8:AH$127,5,FALSE))</f>
        <v/>
      </c>
      <c r="D653" s="9" t="str">
        <f>IF(AND(C653=""),"",IF(AND(Y653=""),"",ROUND(C653*Master!C$5%,0)))</f>
        <v/>
      </c>
      <c r="E653" s="9" t="str">
        <f>IF(AND(C653=""),"",IF(AND(Y653=""),"",ROUND(C653*Master!H$5%,0)))</f>
        <v/>
      </c>
      <c r="F653" s="9" t="str">
        <f t="shared" ref="F653:F655" si="920">IF(AND(C653=""),"",SUM(C653:E653))</f>
        <v/>
      </c>
      <c r="G653" s="9" t="str">
        <f>IF(ISNA(VLOOKUP(Y653,Master!A$8:N$127,5,FALSE)),"",VLOOKUP(Y653,Master!A$8:AH$127,5,FALSE))</f>
        <v/>
      </c>
      <c r="H653" s="9" t="str">
        <f>IF(AND(G653=""),"",IF(AND(Y653=""),"",ROUND(G653*Master!C$4%,0)))</f>
        <v/>
      </c>
      <c r="I653" s="9" t="str">
        <f>IF(AND(G653=""),"",IF(AND(Y653=""),"",ROUND(G653*Master!H$4%,0)))</f>
        <v/>
      </c>
      <c r="J653" s="9" t="str">
        <f t="shared" ref="J653:J655" si="921">IF(AND(C653=""),"",SUM(G653:I653))</f>
        <v/>
      </c>
      <c r="K653" s="9" t="str">
        <f t="shared" ref="K653:K655" si="922">IF(AND(C653=""),"",IF(AND(G653=""),"",C653-G653))</f>
        <v/>
      </c>
      <c r="L653" s="9" t="str">
        <f t="shared" ref="L653:L655" si="923">IF(AND(D653=""),"",IF(AND(H653=""),"",D653-H653))</f>
        <v/>
      </c>
      <c r="M653" s="9" t="str">
        <f t="shared" ref="M653:M655" si="924">IF(AND(E653=""),"",IF(AND(I653=""),"",E653-I653))</f>
        <v/>
      </c>
      <c r="N653" s="9" t="str">
        <f t="shared" ref="N653:N655" si="925">IF(AND(F653=""),"",IF(AND(J653=""),"",F653-J653))</f>
        <v/>
      </c>
      <c r="O653" s="9" t="str">
        <f>IF(AND(C653=""),"",N653-P653)</f>
        <v/>
      </c>
      <c r="P653" s="9" t="str">
        <f>IF(AND(Y653=""),"",IF(AND(N653=""),"",ROUND(N653*AA$1%,0)))</f>
        <v/>
      </c>
      <c r="Q653" s="9" t="str">
        <f>IF(AND(Y653=""),"",IF(AND(C653=""),"",IF(AND(O653=""),"",SUM(O653,P653))))</f>
        <v/>
      </c>
      <c r="R653" s="9" t="str">
        <f>IF(AND(N653=""),"",IF(AND(Q653=""),"",N653-Q653))</f>
        <v/>
      </c>
      <c r="S653" s="20"/>
      <c r="X653" s="61" t="s">
        <v>49</v>
      </c>
      <c r="Y653" s="64">
        <v>54</v>
      </c>
    </row>
    <row r="654" spans="1:25" ht="21" customHeight="1">
      <c r="A654" s="8">
        <v>2</v>
      </c>
      <c r="B654" s="23" t="str">
        <f>IFERROR(DATE(YEAR(B653),MONTH(B653)+1,DAY(B653)),"")</f>
        <v/>
      </c>
      <c r="C654" s="9" t="str">
        <f>IF(AND(Y653=""),"",C653)</f>
        <v/>
      </c>
      <c r="D654" s="9" t="str">
        <f>IF(AND(C654=""),"",IF(AND(Y653=""),"",ROUND(C654*Master!C$5%,0)))</f>
        <v/>
      </c>
      <c r="E654" s="9" t="str">
        <f>IF(AND(C654=""),"",IF(AND(Y653=""),"",ROUND(C654*Master!H$5%,0)))</f>
        <v/>
      </c>
      <c r="F654" s="9" t="str">
        <f t="shared" si="920"/>
        <v/>
      </c>
      <c r="G654" s="9" t="str">
        <f>IF(AND(Y653=""),"",G653)</f>
        <v/>
      </c>
      <c r="H654" s="9" t="str">
        <f>IF(AND(G654=""),"",IF(AND(Y653=""),"",ROUND(G654*Master!C$4%,0)))</f>
        <v/>
      </c>
      <c r="I654" s="9" t="str">
        <f>IF(AND(G654=""),"",IF(AND(Y653=""),"",ROUND(G654*Master!H$4%,0)))</f>
        <v/>
      </c>
      <c r="J654" s="9" t="str">
        <f t="shared" si="921"/>
        <v/>
      </c>
      <c r="K654" s="9" t="str">
        <f t="shared" si="922"/>
        <v/>
      </c>
      <c r="L654" s="9" t="str">
        <f t="shared" si="923"/>
        <v/>
      </c>
      <c r="M654" s="9" t="str">
        <f t="shared" si="924"/>
        <v/>
      </c>
      <c r="N654" s="9" t="str">
        <f t="shared" si="925"/>
        <v/>
      </c>
      <c r="O654" s="9" t="str">
        <f t="shared" ref="O654:O655" si="926">IF(AND(C654=""),"",N654-P654)</f>
        <v/>
      </c>
      <c r="P654" s="9" t="str">
        <f>IF(AND(Y653=""),"",IF(AND(N654=""),"",ROUND(N654*AA$1%,0)))</f>
        <v/>
      </c>
      <c r="Q654" s="9" t="str">
        <f>IF(AND(Y653=""),"",IF(AND(C654=""),"",IF(AND(O654=""),"",SUM(O654,P654))))</f>
        <v/>
      </c>
      <c r="R654" s="9" t="str">
        <f t="shared" ref="R654:R655" si="927">IF(AND(N654=""),"",IF(AND(Q654=""),"",N654-Q654))</f>
        <v/>
      </c>
      <c r="S654" s="20"/>
      <c r="X654" s="4" t="str">
        <f>IF(ISNA(VLOOKUP(Y653,Master!A$8:N$127,7,FALSE)),"",VLOOKUP(Y653,Master!A$8:AH$127,7,FALSE))</f>
        <v/>
      </c>
    </row>
    <row r="655" spans="1:25" ht="21" customHeight="1">
      <c r="A655" s="8">
        <v>3</v>
      </c>
      <c r="B655" s="23" t="str">
        <f>IFERROR(DATE(YEAR(B654),MONTH(B654)+1,DAY(B654)),"")</f>
        <v/>
      </c>
      <c r="C655" s="9" t="str">
        <f>IF(AND(Y653=""),"",C654)</f>
        <v/>
      </c>
      <c r="D655" s="9" t="str">
        <f>IF(AND(C655=""),"",IF(AND(Y653=""),"",ROUND(C655*Master!C$5%,0)))</f>
        <v/>
      </c>
      <c r="E655" s="9" t="str">
        <f>IF(AND(C655=""),"",IF(AND(Y653=""),"",ROUND(C655*Master!H$5%,0)))</f>
        <v/>
      </c>
      <c r="F655" s="9" t="str">
        <f t="shared" si="920"/>
        <v/>
      </c>
      <c r="G655" s="9" t="str">
        <f>IF(AND(Y653=""),"",G654)</f>
        <v/>
      </c>
      <c r="H655" s="9" t="str">
        <f>IF(AND(G655=""),"",IF(AND(Y653=""),"",ROUND(G655*Master!C$4%,0)))</f>
        <v/>
      </c>
      <c r="I655" s="9" t="str">
        <f>IF(AND(G655=""),"",IF(AND(Y653=""),"",ROUND(G655*Master!H$4%,0)))</f>
        <v/>
      </c>
      <c r="J655" s="9" t="str">
        <f t="shared" si="921"/>
        <v/>
      </c>
      <c r="K655" s="9" t="str">
        <f t="shared" si="922"/>
        <v/>
      </c>
      <c r="L655" s="9" t="str">
        <f t="shared" si="923"/>
        <v/>
      </c>
      <c r="M655" s="9" t="str">
        <f t="shared" si="924"/>
        <v/>
      </c>
      <c r="N655" s="9" t="str">
        <f t="shared" si="925"/>
        <v/>
      </c>
      <c r="O655" s="9" t="str">
        <f t="shared" si="926"/>
        <v/>
      </c>
      <c r="P655" s="9" t="str">
        <f>IF(AND(Y653=""),"",IF(AND(N655=""),"",ROUND(N655*AA$1%,0)))</f>
        <v/>
      </c>
      <c r="Q655" s="9" t="str">
        <f>IF(AND(Y653=""),"",IF(AND(C655=""),"",IF(AND(O655=""),"",SUM(O655,P655))))</f>
        <v/>
      </c>
      <c r="R655" s="9" t="str">
        <f t="shared" si="927"/>
        <v/>
      </c>
      <c r="S655" s="20"/>
    </row>
    <row r="656" spans="1:25" ht="21" customHeight="1">
      <c r="A656" s="8">
        <v>4</v>
      </c>
      <c r="B656" s="23" t="str">
        <f>IFERROR(DATE(YEAR(B655),MONTH(B655)+1,DAY(B655)),"")</f>
        <v/>
      </c>
      <c r="C656" s="9" t="str">
        <f>IF(AND(Y654=""),"",C655)</f>
        <v/>
      </c>
      <c r="D656" s="9" t="str">
        <f>IF(AND(C656=""),"",IF(AND(Y654=""),"",ROUND(C656*Master!C$5%,0)))</f>
        <v/>
      </c>
      <c r="E656" s="9" t="str">
        <f>IF(AND(C656=""),"",IF(AND(Y654=""),"",ROUND(C656*Master!H$5%,0)))</f>
        <v/>
      </c>
      <c r="F656" s="9" t="str">
        <f t="shared" ref="F656" si="928">IF(AND(C656=""),"",SUM(C656:E656))</f>
        <v/>
      </c>
      <c r="G656" s="9" t="str">
        <f>IF(AND(Y654=""),"",G655)</f>
        <v/>
      </c>
      <c r="H656" s="9" t="str">
        <f>IF(AND(G656=""),"",IF(AND(Y654=""),"",ROUND(G656*Master!C$4%,0)))</f>
        <v/>
      </c>
      <c r="I656" s="9" t="str">
        <f>IF(AND(G656=""),"",IF(AND(Y654=""),"",ROUND(G656*Master!H$4%,0)))</f>
        <v/>
      </c>
      <c r="J656" s="9" t="str">
        <f t="shared" ref="J656" si="929">IF(AND(C656=""),"",SUM(G656:I656))</f>
        <v/>
      </c>
      <c r="K656" s="9" t="str">
        <f t="shared" ref="K656" si="930">IF(AND(C656=""),"",IF(AND(G656=""),"",C656-G656))</f>
        <v/>
      </c>
      <c r="L656" s="9" t="str">
        <f t="shared" ref="L656" si="931">IF(AND(D656=""),"",IF(AND(H656=""),"",D656-H656))</f>
        <v/>
      </c>
      <c r="M656" s="9" t="str">
        <f t="shared" ref="M656" si="932">IF(AND(E656=""),"",IF(AND(I656=""),"",E656-I656))</f>
        <v/>
      </c>
      <c r="N656" s="9" t="str">
        <f t="shared" ref="N656" si="933">IF(AND(F656=""),"",IF(AND(J656=""),"",F656-J656))</f>
        <v/>
      </c>
      <c r="O656" s="9" t="str">
        <f t="shared" ref="O656" si="934">IF(AND(C656=""),"",N656-P656)</f>
        <v/>
      </c>
      <c r="P656" s="9" t="str">
        <f>IF(AND(Y654=""),"",IF(AND(N656=""),"",ROUND(N656*AA$1%,0)))</f>
        <v/>
      </c>
      <c r="Q656" s="9" t="str">
        <f>IF(AND(Y654=""),"",IF(AND(C656=""),"",IF(AND(O656=""),"",SUM(O656,P656))))</f>
        <v/>
      </c>
      <c r="R656" s="9" t="str">
        <f t="shared" ref="R656" si="935">IF(AND(N656=""),"",IF(AND(Q656=""),"",N656-Q656))</f>
        <v/>
      </c>
      <c r="S656" s="20"/>
    </row>
    <row r="657" spans="1:27" ht="30.75" customHeight="1">
      <c r="A657" s="153" t="s">
        <v>9</v>
      </c>
      <c r="B657" s="154"/>
      <c r="C657" s="63">
        <f>IF(AND($Y$653=""),"",SUM(C653:C656))</f>
        <v>0</v>
      </c>
      <c r="D657" s="63">
        <f t="shared" ref="D657:Q657" si="936">IF(AND($Y$653=""),"",SUM(D653:D656))</f>
        <v>0</v>
      </c>
      <c r="E657" s="63">
        <f t="shared" si="936"/>
        <v>0</v>
      </c>
      <c r="F657" s="63">
        <f t="shared" si="936"/>
        <v>0</v>
      </c>
      <c r="G657" s="63">
        <f t="shared" si="936"/>
        <v>0</v>
      </c>
      <c r="H657" s="63">
        <f t="shared" si="936"/>
        <v>0</v>
      </c>
      <c r="I657" s="63">
        <f t="shared" si="936"/>
        <v>0</v>
      </c>
      <c r="J657" s="63">
        <f t="shared" si="936"/>
        <v>0</v>
      </c>
      <c r="K657" s="63">
        <f t="shared" si="936"/>
        <v>0</v>
      </c>
      <c r="L657" s="63">
        <f t="shared" si="936"/>
        <v>0</v>
      </c>
      <c r="M657" s="63">
        <f t="shared" si="936"/>
        <v>0</v>
      </c>
      <c r="N657" s="63">
        <f t="shared" si="936"/>
        <v>0</v>
      </c>
      <c r="O657" s="63">
        <f t="shared" si="936"/>
        <v>0</v>
      </c>
      <c r="P657" s="63">
        <f t="shared" si="936"/>
        <v>0</v>
      </c>
      <c r="Q657" s="63">
        <f t="shared" si="936"/>
        <v>0</v>
      </c>
      <c r="R657" s="63">
        <f>IF(AND($Y$653=""),"",SUM(R653:R656))</f>
        <v>0</v>
      </c>
      <c r="S657" s="49"/>
    </row>
    <row r="658" spans="1:27" ht="30.75" customHeight="1">
      <c r="A658" s="73"/>
      <c r="B658" s="73"/>
      <c r="C658" s="74"/>
      <c r="D658" s="74"/>
      <c r="E658" s="74"/>
      <c r="F658" s="74"/>
      <c r="G658" s="74"/>
      <c r="H658" s="74"/>
      <c r="I658" s="74"/>
      <c r="J658" s="74"/>
      <c r="K658" s="74"/>
      <c r="L658" s="74"/>
      <c r="M658" s="74"/>
      <c r="N658" s="74"/>
      <c r="O658" s="74"/>
      <c r="P658" s="74"/>
      <c r="Q658" s="74"/>
      <c r="R658" s="74"/>
      <c r="S658" s="75"/>
    </row>
    <row r="659" spans="1:27" ht="18.75">
      <c r="A659" s="21"/>
      <c r="B659" s="58"/>
      <c r="C659" s="58"/>
      <c r="D659" s="58"/>
      <c r="E659" s="58"/>
      <c r="F659" s="58"/>
      <c r="G659" s="58"/>
      <c r="H659" s="59"/>
      <c r="I659" s="59"/>
      <c r="J659" s="59"/>
      <c r="K659" s="66"/>
      <c r="L659" s="66"/>
      <c r="M659" s="66"/>
      <c r="N659" s="66"/>
      <c r="O659" s="138" t="s">
        <v>42</v>
      </c>
      <c r="P659" s="138"/>
      <c r="Q659" s="138"/>
      <c r="R659" s="138"/>
      <c r="S659" s="138"/>
    </row>
    <row r="660" spans="1:27" ht="18.75">
      <c r="A660" s="1"/>
      <c r="B660" s="24" t="s">
        <v>19</v>
      </c>
      <c r="C660" s="139"/>
      <c r="D660" s="139"/>
      <c r="E660" s="139"/>
      <c r="F660" s="139"/>
      <c r="G660" s="139"/>
      <c r="H660" s="25"/>
      <c r="I660" s="143" t="s">
        <v>20</v>
      </c>
      <c r="J660" s="143"/>
      <c r="K660" s="141"/>
      <c r="L660" s="141"/>
      <c r="M660" s="141"/>
      <c r="O660" s="138"/>
      <c r="P660" s="138"/>
      <c r="Q660" s="138"/>
      <c r="R660" s="138"/>
      <c r="S660" s="138"/>
    </row>
    <row r="661" spans="1:27" ht="18.75">
      <c r="A661" s="1"/>
      <c r="B661" s="140" t="s">
        <v>21</v>
      </c>
      <c r="C661" s="140"/>
      <c r="D661" s="140"/>
      <c r="E661" s="140"/>
      <c r="F661" s="140"/>
      <c r="G661" s="140"/>
      <c r="H661" s="140"/>
      <c r="I661" s="27"/>
      <c r="J661" s="26"/>
      <c r="K661" s="26"/>
      <c r="L661" s="26"/>
      <c r="M661" s="26"/>
    </row>
    <row r="662" spans="1:27" ht="18.75">
      <c r="A662" s="22">
        <v>1</v>
      </c>
      <c r="B662" s="142" t="s">
        <v>22</v>
      </c>
      <c r="C662" s="142"/>
      <c r="D662" s="142"/>
      <c r="E662" s="142"/>
      <c r="F662" s="142"/>
      <c r="G662" s="142"/>
      <c r="H662" s="142"/>
      <c r="I662" s="28"/>
      <c r="J662" s="26"/>
      <c r="K662" s="26"/>
      <c r="L662" s="26"/>
      <c r="M662" s="26"/>
    </row>
    <row r="663" spans="1:27" ht="18.75">
      <c r="A663" s="2">
        <v>2</v>
      </c>
      <c r="B663" s="142" t="s">
        <v>23</v>
      </c>
      <c r="C663" s="142"/>
      <c r="D663" s="142"/>
      <c r="E663" s="142"/>
      <c r="F663" s="142"/>
      <c r="G663" s="132"/>
      <c r="H663" s="132"/>
      <c r="I663" s="132"/>
      <c r="J663" s="132"/>
      <c r="K663" s="132"/>
      <c r="L663" s="132"/>
      <c r="M663" s="132"/>
    </row>
    <row r="664" spans="1:27" ht="18.75">
      <c r="A664" s="3">
        <v>3</v>
      </c>
      <c r="B664" s="142" t="s">
        <v>24</v>
      </c>
      <c r="C664" s="142"/>
      <c r="D664" s="142"/>
      <c r="E664" s="29"/>
      <c r="F664" s="28"/>
      <c r="G664" s="28"/>
      <c r="H664" s="30"/>
      <c r="I664" s="31"/>
      <c r="J664" s="26"/>
      <c r="K664" s="26"/>
      <c r="L664" s="26"/>
      <c r="M664" s="26"/>
    </row>
    <row r="665" spans="1:27" ht="15.75">
      <c r="O665" s="138" t="s">
        <v>42</v>
      </c>
      <c r="P665" s="138"/>
      <c r="Q665" s="138"/>
      <c r="R665" s="138"/>
      <c r="S665" s="138"/>
    </row>
    <row r="667" spans="1:27" ht="18" customHeight="1">
      <c r="A667" s="148" t="str">
        <f>A630</f>
        <v xml:space="preserve">DA (46% to 50%) Drawn Statement  </v>
      </c>
      <c r="B667" s="148"/>
      <c r="C667" s="148"/>
      <c r="D667" s="148"/>
      <c r="E667" s="148"/>
      <c r="F667" s="148"/>
      <c r="G667" s="148"/>
      <c r="H667" s="148"/>
      <c r="I667" s="148"/>
      <c r="J667" s="148"/>
      <c r="K667" s="148"/>
      <c r="L667" s="148"/>
      <c r="M667" s="148"/>
      <c r="N667" s="148"/>
      <c r="O667" s="148"/>
      <c r="P667" s="148"/>
      <c r="Q667" s="148"/>
      <c r="R667" s="148"/>
      <c r="S667" s="148"/>
      <c r="W667" s="4">
        <f>IF(ISNA(VLOOKUP($Y$3,Master!A$8:N$127,4,FALSE)),"",VLOOKUP($Y$3,Master!A$8:AH$127,4,FALSE))</f>
        <v>2</v>
      </c>
      <c r="X667" s="4" t="str">
        <f>IF(ISNA(VLOOKUP($Y$3,Master!A$8:N$127,6,FALSE)),"",VLOOKUP($Y$3,Master!A$8:AH$127,6,FALSE))</f>
        <v>GPF-2004</v>
      </c>
      <c r="Y667" s="4" t="s">
        <v>45</v>
      </c>
      <c r="Z667" s="4" t="s">
        <v>18</v>
      </c>
      <c r="AA667" s="4" t="str">
        <f>IF(ISNA(VLOOKUP(Y669,Master!A$8:N$127,7,FALSE)),"",VLOOKUP(Y669,Master!A$8:AH$127,7,FALSE))</f>
        <v/>
      </c>
    </row>
    <row r="668" spans="1:27" ht="18">
      <c r="A668" s="131" t="str">
        <f>IF(AND(Master!C615=""),"",CONCATENATE("Office Of  ",Master!C615))</f>
        <v/>
      </c>
      <c r="B668" s="131"/>
      <c r="C668" s="131"/>
      <c r="D668" s="131"/>
      <c r="E668" s="131"/>
      <c r="F668" s="131"/>
      <c r="G668" s="131"/>
      <c r="H668" s="131"/>
      <c r="I668" s="131"/>
      <c r="J668" s="131"/>
      <c r="K668" s="131"/>
      <c r="L668" s="131"/>
      <c r="M668" s="131"/>
      <c r="N668" s="131"/>
      <c r="O668" s="131"/>
      <c r="P668" s="131"/>
      <c r="Q668" s="131"/>
      <c r="R668" s="131"/>
      <c r="S668" s="131"/>
      <c r="X668" s="4">
        <f>IF(ISNA(VLOOKUP($Y$3,Master!A$8:N$127,8,FALSE)),"",VLOOKUP($Y$3,Master!A$8:AH$127,8,FALSE))</f>
        <v>45292</v>
      </c>
      <c r="Y668" s="4" t="s">
        <v>43</v>
      </c>
    </row>
    <row r="669" spans="1:27" ht="18.75">
      <c r="E669" s="133" t="s">
        <v>10</v>
      </c>
      <c r="F669" s="133"/>
      <c r="G669" s="133"/>
      <c r="H669" s="133"/>
      <c r="I669" s="133"/>
      <c r="J669" s="132" t="str">
        <f>IF(ISNA(VLOOKUP(Y669,Master!A$8:N$127,2,FALSE)),"",VLOOKUP(Y669,Master!A$8:AH$127,2,FALSE))</f>
        <v/>
      </c>
      <c r="K669" s="132"/>
      <c r="L669" s="132"/>
      <c r="M669" s="132"/>
      <c r="N669" s="132"/>
      <c r="O669" s="60" t="s">
        <v>31</v>
      </c>
      <c r="P669" s="132" t="str">
        <f>IF(ISNA(VLOOKUP(Y669,Master!A$8:N$127,3,FALSE)),"",VLOOKUP(Y669,Master!A$8:AH$127,3,FALSE))</f>
        <v/>
      </c>
      <c r="Q669" s="132"/>
      <c r="R669" s="132"/>
      <c r="S669" s="132"/>
      <c r="X669" s="61" t="s">
        <v>49</v>
      </c>
      <c r="Y669" s="64">
        <v>55</v>
      </c>
    </row>
    <row r="670" spans="1:27" ht="8.25" customHeight="1">
      <c r="E670" s="19"/>
      <c r="F670" s="52"/>
      <c r="G670" s="22"/>
      <c r="H670" s="22"/>
      <c r="I670" s="22"/>
      <c r="J670" s="5"/>
      <c r="K670" s="5"/>
      <c r="L670" s="5"/>
      <c r="M670" s="5"/>
      <c r="N670" s="5"/>
      <c r="O670" s="6"/>
      <c r="P670" s="6"/>
    </row>
    <row r="671" spans="1:27" ht="24.75" customHeight="1">
      <c r="A671" s="157" t="s">
        <v>0</v>
      </c>
      <c r="B671" s="158" t="s">
        <v>3</v>
      </c>
      <c r="C671" s="159" t="s">
        <v>5</v>
      </c>
      <c r="D671" s="159"/>
      <c r="E671" s="159"/>
      <c r="F671" s="159"/>
      <c r="G671" s="159" t="s">
        <v>6</v>
      </c>
      <c r="H671" s="159"/>
      <c r="I671" s="159"/>
      <c r="J671" s="159"/>
      <c r="K671" s="159" t="s">
        <v>7</v>
      </c>
      <c r="L671" s="159"/>
      <c r="M671" s="159"/>
      <c r="N671" s="159"/>
      <c r="O671" s="149" t="s">
        <v>8</v>
      </c>
      <c r="P671" s="150"/>
      <c r="Q671" s="151"/>
      <c r="R671" s="162" t="s">
        <v>54</v>
      </c>
      <c r="S671" s="162" t="s">
        <v>40</v>
      </c>
    </row>
    <row r="672" spans="1:27" ht="69" customHeight="1">
      <c r="A672" s="157"/>
      <c r="B672" s="158"/>
      <c r="C672" s="54" t="s">
        <v>29</v>
      </c>
      <c r="D672" s="55" t="s">
        <v>1</v>
      </c>
      <c r="E672" s="56" t="s">
        <v>2</v>
      </c>
      <c r="F672" s="54" t="s">
        <v>46</v>
      </c>
      <c r="G672" s="54" t="s">
        <v>29</v>
      </c>
      <c r="H672" s="55" t="s">
        <v>1</v>
      </c>
      <c r="I672" s="56" t="s">
        <v>2</v>
      </c>
      <c r="J672" s="54" t="s">
        <v>47</v>
      </c>
      <c r="K672" s="54" t="s">
        <v>4</v>
      </c>
      <c r="L672" s="55" t="s">
        <v>1</v>
      </c>
      <c r="M672" s="56" t="s">
        <v>2</v>
      </c>
      <c r="N672" s="57" t="s">
        <v>48</v>
      </c>
      <c r="O672" s="53" t="s">
        <v>69</v>
      </c>
      <c r="P672" s="65" t="s">
        <v>41</v>
      </c>
      <c r="Q672" s="57" t="s">
        <v>53</v>
      </c>
      <c r="R672" s="162"/>
      <c r="S672" s="162"/>
    </row>
    <row r="673" spans="1:25" ht="18" customHeight="1">
      <c r="A673" s="7">
        <v>1</v>
      </c>
      <c r="B673" s="7">
        <v>2</v>
      </c>
      <c r="C673" s="7">
        <v>3</v>
      </c>
      <c r="D673" s="7">
        <v>4</v>
      </c>
      <c r="E673" s="7">
        <v>5</v>
      </c>
      <c r="F673" s="7">
        <v>6</v>
      </c>
      <c r="G673" s="7">
        <v>7</v>
      </c>
      <c r="H673" s="7">
        <v>8</v>
      </c>
      <c r="I673" s="7">
        <v>9</v>
      </c>
      <c r="J673" s="7">
        <v>10</v>
      </c>
      <c r="K673" s="7">
        <v>11</v>
      </c>
      <c r="L673" s="7">
        <v>12</v>
      </c>
      <c r="M673" s="7">
        <v>13</v>
      </c>
      <c r="N673" s="7">
        <v>14</v>
      </c>
      <c r="O673" s="7">
        <v>15</v>
      </c>
      <c r="P673" s="7">
        <v>17</v>
      </c>
      <c r="Q673" s="7">
        <v>18</v>
      </c>
      <c r="R673" s="7">
        <v>19</v>
      </c>
      <c r="S673" s="7">
        <v>20</v>
      </c>
    </row>
    <row r="674" spans="1:25" ht="21" customHeight="1">
      <c r="A674" s="8">
        <v>1</v>
      </c>
      <c r="B674" s="23" t="str">
        <f>IFERROR(IF(ISNA(VLOOKUP(Y669,Master!A$8:N$127,8,FALSE)),"",VLOOKUP($Y669,Master!A$8:AH$127,8,FALSE)),"")</f>
        <v/>
      </c>
      <c r="C674" s="9" t="str">
        <f>IF(ISNA(VLOOKUP(Y669,Master!A$8:N$127,5,FALSE)),"",VLOOKUP(Y669,Master!A$8:AH$127,5,FALSE))</f>
        <v/>
      </c>
      <c r="D674" s="9" t="str">
        <f>IF(AND(C674=""),"",IF(AND(Y669=""),"",ROUND(C674*Master!C$5%,0)))</f>
        <v/>
      </c>
      <c r="E674" s="9" t="str">
        <f>IF(AND(C674=""),"",IF(AND(Y669=""),"",ROUND(C674*Master!H$5%,0)))</f>
        <v/>
      </c>
      <c r="F674" s="9" t="str">
        <f t="shared" ref="F674" si="937">IF(AND(C674=""),"",SUM(C674:E674))</f>
        <v/>
      </c>
      <c r="G674" s="9" t="str">
        <f>IF(ISNA(VLOOKUP(Y669,Master!A$8:N$127,5,FALSE)),"",VLOOKUP(Y669,Master!A$8:AH$127,5,FALSE))</f>
        <v/>
      </c>
      <c r="H674" s="9" t="str">
        <f>IF(AND(G674=""),"",IF(AND(Y669=""),"",ROUND(G674*Master!C$4%,0)))</f>
        <v/>
      </c>
      <c r="I674" s="9" t="str">
        <f>IF(AND(G674=""),"",IF(AND(Y669=""),"",ROUND(G674*Master!H$4%,0)))</f>
        <v/>
      </c>
      <c r="J674" s="9" t="str">
        <f t="shared" ref="J674:J675" si="938">IF(AND(C674=""),"",SUM(G674:I674))</f>
        <v/>
      </c>
      <c r="K674" s="9" t="str">
        <f t="shared" ref="K674:K676" si="939">IF(AND(C674=""),"",IF(AND(G674=""),"",C674-G674))</f>
        <v/>
      </c>
      <c r="L674" s="9" t="str">
        <f t="shared" ref="L674:L676" si="940">IF(AND(D674=""),"",IF(AND(H674=""),"",D674-H674))</f>
        <v/>
      </c>
      <c r="M674" s="9" t="str">
        <f t="shared" ref="M674:M675" si="941">IF(AND(E674=""),"",IF(AND(I674=""),"",E674-I674))</f>
        <v/>
      </c>
      <c r="N674" s="9" t="str">
        <f t="shared" ref="N674:N675" si="942">IF(AND(F674=""),"",IF(AND(J674=""),"",F674-J674))</f>
        <v/>
      </c>
      <c r="O674" s="9" t="str">
        <f>IF(AND(C674=""),"",N674-P674)</f>
        <v/>
      </c>
      <c r="P674" s="9" t="str">
        <f>IF(AND(Y669=""),"",IF(AND(N674=""),"",ROUND(N674*AA$1%,0)))</f>
        <v/>
      </c>
      <c r="Q674" s="9" t="str">
        <f>IF(AND(Y669=""),"",IF(AND(C674=""),"",IF(AND(O674=""),"",SUM(O674,P674))))</f>
        <v/>
      </c>
      <c r="R674" s="9" t="str">
        <f>IF(AND(N674=""),"",IF(AND(Q674=""),"",N674-Q674))</f>
        <v/>
      </c>
      <c r="S674" s="20"/>
    </row>
    <row r="675" spans="1:25" ht="21" customHeight="1">
      <c r="A675" s="8">
        <v>2</v>
      </c>
      <c r="B675" s="23" t="str">
        <f>IFERROR(DATE(YEAR(B674),MONTH(B674)+1,DAY(B674)),"")</f>
        <v/>
      </c>
      <c r="C675" s="9" t="str">
        <f>IF(AND(Y669=""),"",C674)</f>
        <v/>
      </c>
      <c r="D675" s="9" t="str">
        <f>IF(AND(C675=""),"",IF(AND(Y669=""),"",ROUND(C675*Master!C$5%,0)))</f>
        <v/>
      </c>
      <c r="E675" s="9" t="str">
        <f>IF(AND(C675=""),"",IF(AND(Y669=""),"",ROUND(C675*Master!H$5%,0)))</f>
        <v/>
      </c>
      <c r="F675" s="9" t="str">
        <f>IF(AND(C675=""),"",SUM(C675:E675))</f>
        <v/>
      </c>
      <c r="G675" s="9" t="str">
        <f>IF(AND(Y669=""),"",G674)</f>
        <v/>
      </c>
      <c r="H675" s="9" t="str">
        <f>IF(AND(G675=""),"",IF(AND(Y669=""),"",ROUND(G675*Master!C$4%,0)))</f>
        <v/>
      </c>
      <c r="I675" s="9" t="str">
        <f>IF(AND(G675=""),"",IF(AND(Y669=""),"",ROUND(G675*Master!H$4%,0)))</f>
        <v/>
      </c>
      <c r="J675" s="9" t="str">
        <f t="shared" si="938"/>
        <v/>
      </c>
      <c r="K675" s="9" t="str">
        <f t="shared" si="939"/>
        <v/>
      </c>
      <c r="L675" s="9" t="str">
        <f t="shared" si="940"/>
        <v/>
      </c>
      <c r="M675" s="9" t="str">
        <f t="shared" si="941"/>
        <v/>
      </c>
      <c r="N675" s="9" t="str">
        <f t="shared" si="942"/>
        <v/>
      </c>
      <c r="O675" s="9" t="str">
        <f t="shared" ref="O675:O676" si="943">IF(AND(C675=""),"",N675-P675)</f>
        <v/>
      </c>
      <c r="P675" s="9" t="str">
        <f>IF(AND(Y669=""),"",IF(AND(N675=""),"",ROUND(N675*AA$1%,0)))</f>
        <v/>
      </c>
      <c r="Q675" s="9" t="str">
        <f>IF(AND(Y669=""),"",IF(AND(C675=""),"",IF(AND(O675=""),"",SUM(O675,P675))))</f>
        <v/>
      </c>
      <c r="R675" s="9" t="str">
        <f t="shared" ref="R675:R676" si="944">IF(AND(N675=""),"",IF(AND(Q675=""),"",N675-Q675))</f>
        <v/>
      </c>
      <c r="S675" s="20"/>
    </row>
    <row r="676" spans="1:25" ht="21" customHeight="1">
      <c r="A676" s="8">
        <v>3</v>
      </c>
      <c r="B676" s="23" t="str">
        <f>IFERROR(DATE(YEAR(B675),MONTH(B675)+1,DAY(B675)),"")</f>
        <v/>
      </c>
      <c r="C676" s="9" t="str">
        <f>IF(AND(Y669=""),"",C675)</f>
        <v/>
      </c>
      <c r="D676" s="9" t="str">
        <f>IF(AND(C676=""),"",IF(AND(Y669=""),"",ROUND(C676*Master!C$5%,0)))</f>
        <v/>
      </c>
      <c r="E676" s="9" t="str">
        <f>IF(AND(C676=""),"",IF(AND(Y669=""),"",ROUND(C676*Master!H$5%,0)))</f>
        <v/>
      </c>
      <c r="F676" s="9" t="str">
        <f t="shared" ref="F676" si="945">IF(AND(C676=""),"",SUM(C676:E676))</f>
        <v/>
      </c>
      <c r="G676" s="9" t="str">
        <f>IF(AND(Y669=""),"",G675)</f>
        <v/>
      </c>
      <c r="H676" s="9" t="str">
        <f>IF(AND(G676=""),"",IF(AND(Y669=""),"",ROUND(G676*Master!C$4%,0)))</f>
        <v/>
      </c>
      <c r="I676" s="9" t="str">
        <f>IF(AND(G676=""),"",IF(AND(Y669=""),"",ROUND(G676*Master!H$4%,0)))</f>
        <v/>
      </c>
      <c r="J676" s="9" t="str">
        <f>IF(AND(C676=""),"",SUM(G676:I676))</f>
        <v/>
      </c>
      <c r="K676" s="9" t="str">
        <f t="shared" si="939"/>
        <v/>
      </c>
      <c r="L676" s="9" t="str">
        <f t="shared" si="940"/>
        <v/>
      </c>
      <c r="M676" s="9" t="str">
        <f>IF(AND(E676=""),"",IF(AND(I676=""),"",E676-I676))</f>
        <v/>
      </c>
      <c r="N676" s="9" t="str">
        <f>IF(AND(F676=""),"",IF(AND(J676=""),"",F676-J676))</f>
        <v/>
      </c>
      <c r="O676" s="9" t="str">
        <f t="shared" si="943"/>
        <v/>
      </c>
      <c r="P676" s="9" t="str">
        <f>IF(AND(Y669=""),"",IF(AND(N676=""),"",ROUND(N676*AA$1%,0)))</f>
        <v/>
      </c>
      <c r="Q676" s="9" t="str">
        <f>IF(AND(Y669=""),"",IF(AND(C676=""),"",IF(AND(O676=""),"",SUM(O676,P676))))</f>
        <v/>
      </c>
      <c r="R676" s="9" t="str">
        <f t="shared" si="944"/>
        <v/>
      </c>
      <c r="S676" s="20"/>
    </row>
    <row r="677" spans="1:25" ht="21" customHeight="1">
      <c r="A677" s="8">
        <v>4</v>
      </c>
      <c r="B677" s="23" t="str">
        <f>IFERROR(DATE(YEAR(B676),MONTH(B676)+1,DAY(B676)),"")</f>
        <v/>
      </c>
      <c r="C677" s="9" t="str">
        <f>IF(AND(Y670=""),"",C676)</f>
        <v/>
      </c>
      <c r="D677" s="9" t="str">
        <f>IF(AND(C677=""),"",IF(AND(Y670=""),"",ROUND(C677*Master!C$5%,0)))</f>
        <v/>
      </c>
      <c r="E677" s="9" t="str">
        <f>IF(AND(C677=""),"",IF(AND(Y670=""),"",ROUND(C677*Master!H$5%,0)))</f>
        <v/>
      </c>
      <c r="F677" s="9" t="str">
        <f t="shared" ref="F677" si="946">IF(AND(C677=""),"",SUM(C677:E677))</f>
        <v/>
      </c>
      <c r="G677" s="9" t="str">
        <f>IF(AND(Y670=""),"",G676)</f>
        <v/>
      </c>
      <c r="H677" s="9" t="str">
        <f>IF(AND(G677=""),"",IF(AND(Y670=""),"",ROUND(G677*Master!C$4%,0)))</f>
        <v/>
      </c>
      <c r="I677" s="9" t="str">
        <f>IF(AND(G677=""),"",IF(AND(Y670=""),"",ROUND(G677*Master!H$4%,0)))</f>
        <v/>
      </c>
      <c r="J677" s="9" t="str">
        <f>IF(AND(C677=""),"",SUM(G677:I677))</f>
        <v/>
      </c>
      <c r="K677" s="9" t="str">
        <f t="shared" ref="K677" si="947">IF(AND(C677=""),"",IF(AND(G677=""),"",C677-G677))</f>
        <v/>
      </c>
      <c r="L677" s="9" t="str">
        <f t="shared" ref="L677" si="948">IF(AND(D677=""),"",IF(AND(H677=""),"",D677-H677))</f>
        <v/>
      </c>
      <c r="M677" s="9" t="str">
        <f>IF(AND(E677=""),"",IF(AND(I677=""),"",E677-I677))</f>
        <v/>
      </c>
      <c r="N677" s="9" t="str">
        <f>IF(AND(F677=""),"",IF(AND(J677=""),"",F677-J677))</f>
        <v/>
      </c>
      <c r="O677" s="9" t="str">
        <f t="shared" ref="O677" si="949">IF(AND(C677=""),"",N677-P677)</f>
        <v/>
      </c>
      <c r="P677" s="9" t="str">
        <f>IF(AND(Y670=""),"",IF(AND(N677=""),"",ROUND(N677*AA$1%,0)))</f>
        <v/>
      </c>
      <c r="Q677" s="9" t="str">
        <f>IF(AND(Y670=""),"",IF(AND(C677=""),"",IF(AND(O677=""),"",SUM(O677,P677))))</f>
        <v/>
      </c>
      <c r="R677" s="9" t="str">
        <f t="shared" ref="R677" si="950">IF(AND(N677=""),"",IF(AND(Q677=""),"",N677-Q677))</f>
        <v/>
      </c>
      <c r="S677" s="20"/>
    </row>
    <row r="678" spans="1:25" ht="23.25" customHeight="1">
      <c r="A678" s="153" t="s">
        <v>9</v>
      </c>
      <c r="B678" s="154"/>
      <c r="C678" s="63">
        <f>IF(AND($Y$669=""),"",SUM(C674:C677))</f>
        <v>0</v>
      </c>
      <c r="D678" s="63">
        <f t="shared" ref="D678:R678" si="951">IF(AND($Y$669=""),"",SUM(D674:D677))</f>
        <v>0</v>
      </c>
      <c r="E678" s="63">
        <f t="shared" si="951"/>
        <v>0</v>
      </c>
      <c r="F678" s="63">
        <f t="shared" si="951"/>
        <v>0</v>
      </c>
      <c r="G678" s="63">
        <f t="shared" si="951"/>
        <v>0</v>
      </c>
      <c r="H678" s="63">
        <f t="shared" si="951"/>
        <v>0</v>
      </c>
      <c r="I678" s="63">
        <f t="shared" si="951"/>
        <v>0</v>
      </c>
      <c r="J678" s="63">
        <f t="shared" si="951"/>
        <v>0</v>
      </c>
      <c r="K678" s="63">
        <f t="shared" si="951"/>
        <v>0</v>
      </c>
      <c r="L678" s="63">
        <f t="shared" si="951"/>
        <v>0</v>
      </c>
      <c r="M678" s="63">
        <f t="shared" si="951"/>
        <v>0</v>
      </c>
      <c r="N678" s="63">
        <f t="shared" si="951"/>
        <v>0</v>
      </c>
      <c r="O678" s="63">
        <f t="shared" si="951"/>
        <v>0</v>
      </c>
      <c r="P678" s="63">
        <f t="shared" si="951"/>
        <v>0</v>
      </c>
      <c r="Q678" s="63">
        <f t="shared" si="951"/>
        <v>0</v>
      </c>
      <c r="R678" s="63">
        <f t="shared" si="951"/>
        <v>0</v>
      </c>
      <c r="S678" s="49"/>
    </row>
    <row r="679" spans="1:25" ht="10.5" customHeight="1">
      <c r="A679" s="73"/>
      <c r="B679" s="73"/>
      <c r="C679" s="74"/>
      <c r="D679" s="74"/>
      <c r="E679" s="74"/>
      <c r="F679" s="74"/>
      <c r="G679" s="74"/>
      <c r="H679" s="74"/>
      <c r="I679" s="74"/>
      <c r="J679" s="74"/>
      <c r="K679" s="74"/>
      <c r="L679" s="74"/>
      <c r="M679" s="74"/>
      <c r="N679" s="74"/>
      <c r="O679" s="74"/>
      <c r="P679" s="74"/>
      <c r="Q679" s="74"/>
      <c r="R679" s="74"/>
      <c r="S679" s="75"/>
    </row>
    <row r="680" spans="1:25" ht="23.25" customHeight="1">
      <c r="E680" s="133" t="s">
        <v>10</v>
      </c>
      <c r="F680" s="133"/>
      <c r="G680" s="133"/>
      <c r="H680" s="133"/>
      <c r="I680" s="133"/>
      <c r="J680" s="132" t="str">
        <f>IF(ISNA(VLOOKUP(Y682,Master!A$8:N$127,2,FALSE)),"",VLOOKUP(Y682,Master!A$8:AH$127,2,FALSE))</f>
        <v/>
      </c>
      <c r="K680" s="132"/>
      <c r="L680" s="132"/>
      <c r="M680" s="132"/>
      <c r="N680" s="132"/>
      <c r="O680" s="60" t="s">
        <v>31</v>
      </c>
      <c r="P680" s="132" t="str">
        <f>IF(ISNA(VLOOKUP(Y682,Master!A$8:N$127,3,FALSE)),"",VLOOKUP(Y682,Master!A$8:AH$127,3,FALSE))</f>
        <v/>
      </c>
      <c r="Q680" s="132"/>
      <c r="R680" s="132"/>
      <c r="S680" s="132"/>
    </row>
    <row r="681" spans="1:25" ht="9" customHeight="1">
      <c r="E681" s="19"/>
      <c r="F681" s="52"/>
      <c r="G681" s="22"/>
      <c r="H681" s="22"/>
      <c r="I681" s="22"/>
      <c r="J681" s="5"/>
      <c r="K681" s="5"/>
      <c r="L681" s="5"/>
      <c r="M681" s="5"/>
      <c r="N681" s="5"/>
      <c r="O681" s="6"/>
      <c r="P681" s="6"/>
    </row>
    <row r="682" spans="1:25" ht="21" customHeight="1">
      <c r="A682" s="8">
        <v>1</v>
      </c>
      <c r="B682" s="23" t="str">
        <f>IFERROR(IF(ISNA(VLOOKUP(Y682,Master!A$8:N$127,8,FALSE)),"",VLOOKUP($Y682,Master!A$8:AH$127,8,FALSE)),"")</f>
        <v/>
      </c>
      <c r="C682" s="9" t="str">
        <f>IF(ISNA(VLOOKUP(Y682,Master!A$8:N$127,5,FALSE)),"",VLOOKUP(Y682,Master!A$8:AH$127,5,FALSE))</f>
        <v/>
      </c>
      <c r="D682" s="9" t="str">
        <f>IF(AND(C682=""),"",IF(AND(Y682=""),"",ROUND(C682*Master!C$5%,0)))</f>
        <v/>
      </c>
      <c r="E682" s="9" t="str">
        <f>IF(AND(C682=""),"",IF(AND(Y682=""),"",ROUND(C682*Master!H$5%,0)))</f>
        <v/>
      </c>
      <c r="F682" s="9" t="str">
        <f t="shared" ref="F682:F684" si="952">IF(AND(C682=""),"",SUM(C682:E682))</f>
        <v/>
      </c>
      <c r="G682" s="9" t="str">
        <f>IF(ISNA(VLOOKUP(Y682,Master!A$8:N$127,5,FALSE)),"",VLOOKUP(Y682,Master!A$8:AH$127,5,FALSE))</f>
        <v/>
      </c>
      <c r="H682" s="9" t="str">
        <f>IF(AND(G682=""),"",IF(AND(Y682=""),"",ROUND(G682*Master!C$4%,0)))</f>
        <v/>
      </c>
      <c r="I682" s="9" t="str">
        <f>IF(AND(G682=""),"",IF(AND(Y682=""),"",ROUND(G682*Master!H$4%,0)))</f>
        <v/>
      </c>
      <c r="J682" s="9" t="str">
        <f t="shared" ref="J682:J684" si="953">IF(AND(C682=""),"",SUM(G682:I682))</f>
        <v/>
      </c>
      <c r="K682" s="9" t="str">
        <f t="shared" ref="K682" si="954">IF(AND(C682=""),"",IF(AND(G682=""),"",C682-G682))</f>
        <v/>
      </c>
      <c r="L682" s="9" t="str">
        <f>IF(AND(D682=""),"",IF(AND(H682=""),"",D682-H682))</f>
        <v/>
      </c>
      <c r="M682" s="9" t="str">
        <f t="shared" ref="M682:M684" si="955">IF(AND(E682=""),"",IF(AND(I682=""),"",E682-I682))</f>
        <v/>
      </c>
      <c r="N682" s="9" t="str">
        <f t="shared" ref="N682:N684" si="956">IF(AND(F682=""),"",IF(AND(J682=""),"",F682-J682))</f>
        <v/>
      </c>
      <c r="O682" s="9" t="str">
        <f>IF(AND(C682=""),"",N682-P682)</f>
        <v/>
      </c>
      <c r="P682" s="9" t="str">
        <f>IF(AND(Y682=""),"",IF(AND(N682=""),"",ROUND(N682*X$17%,0)))</f>
        <v/>
      </c>
      <c r="Q682" s="9" t="str">
        <f>IF(AND(Y682=""),"",IF(AND(C682=""),"",IF(AND(O682=""),"",SUM(O682,P682))))</f>
        <v/>
      </c>
      <c r="R682" s="9" t="str">
        <f>IF(AND(N682=""),"",IF(AND(Q682=""),"",N682-Q682))</f>
        <v/>
      </c>
      <c r="S682" s="20"/>
      <c r="X682" s="61" t="s">
        <v>49</v>
      </c>
      <c r="Y682" s="64">
        <v>56</v>
      </c>
    </row>
    <row r="683" spans="1:25" ht="21" customHeight="1">
      <c r="A683" s="8">
        <v>2</v>
      </c>
      <c r="B683" s="23" t="str">
        <f>IFERROR(DATE(YEAR(B682),MONTH(B682)+1,DAY(B682)),"")</f>
        <v/>
      </c>
      <c r="C683" s="9" t="str">
        <f>IF(AND(Y682=""),"",C682)</f>
        <v/>
      </c>
      <c r="D683" s="9" t="str">
        <f>IF(AND(C683=""),"",IF(AND(Y682=""),"",ROUND(C683*Master!C$5%,0)))</f>
        <v/>
      </c>
      <c r="E683" s="9" t="str">
        <f>IF(AND(C683=""),"",IF(AND(Y682=""),"",ROUND(C683*Master!H$5%,0)))</f>
        <v/>
      </c>
      <c r="F683" s="9" t="str">
        <f t="shared" si="952"/>
        <v/>
      </c>
      <c r="G683" s="9" t="str">
        <f>IF(AND(Y682=""),"",G682)</f>
        <v/>
      </c>
      <c r="H683" s="9" t="str">
        <f>IF(AND(G683=""),"",IF(AND(Y682=""),"",ROUND(G683*Master!C$4%,0)))</f>
        <v/>
      </c>
      <c r="I683" s="9" t="str">
        <f>IF(AND(G683=""),"",IF(AND(Y682=""),"",ROUND(G683*Master!H$4%,0)))</f>
        <v/>
      </c>
      <c r="J683" s="9" t="str">
        <f t="shared" si="953"/>
        <v/>
      </c>
      <c r="K683" s="9" t="str">
        <f>IF(AND(C683=""),"",IF(AND(G683=""),"",C683-G683))</f>
        <v/>
      </c>
      <c r="L683" s="9" t="str">
        <f t="shared" ref="L683:L684" si="957">IF(AND(D683=""),"",IF(AND(H683=""),"",D683-H683))</f>
        <v/>
      </c>
      <c r="M683" s="9" t="str">
        <f t="shared" si="955"/>
        <v/>
      </c>
      <c r="N683" s="9" t="str">
        <f t="shared" si="956"/>
        <v/>
      </c>
      <c r="O683" s="9" t="str">
        <f t="shared" ref="O683:O684" si="958">IF(AND(C683=""),"",N683-P683)</f>
        <v/>
      </c>
      <c r="P683" s="9" t="str">
        <f>IF(AND(Y682=""),"",IF(AND(N683=""),"",ROUND(N683*X$17%,0)))</f>
        <v/>
      </c>
      <c r="Q683" s="9" t="str">
        <f>IF(AND(Y682=""),"",IF(AND(C683=""),"",IF(AND(O683=""),"",SUM(O683,P683))))</f>
        <v/>
      </c>
      <c r="R683" s="9" t="str">
        <f t="shared" ref="R683:R684" si="959">IF(AND(N683=""),"",IF(AND(Q683=""),"",N683-Q683))</f>
        <v/>
      </c>
      <c r="S683" s="20"/>
      <c r="X683" s="4" t="str">
        <f>IF(ISNA(VLOOKUP(Y682,Master!A$8:N$127,7,FALSE)),"",VLOOKUP(Y682,Master!A$8:AH$127,7,FALSE))</f>
        <v/>
      </c>
    </row>
    <row r="684" spans="1:25" ht="21" customHeight="1">
      <c r="A684" s="8">
        <v>3</v>
      </c>
      <c r="B684" s="23" t="str">
        <f>IFERROR(DATE(YEAR(B683),MONTH(B683)+1,DAY(B683)),"")</f>
        <v/>
      </c>
      <c r="C684" s="9" t="str">
        <f>IF(AND(Y682=""),"",C683)</f>
        <v/>
      </c>
      <c r="D684" s="9" t="str">
        <f>IF(AND(C684=""),"",IF(AND(Y682=""),"",ROUND(C684*Master!C$5%,0)))</f>
        <v/>
      </c>
      <c r="E684" s="9" t="str">
        <f>IF(AND(C684=""),"",IF(AND(Y682=""),"",ROUND(C684*Master!H$5%,0)))</f>
        <v/>
      </c>
      <c r="F684" s="9" t="str">
        <f t="shared" si="952"/>
        <v/>
      </c>
      <c r="G684" s="9" t="str">
        <f>IF(AND(Y682=""),"",G683)</f>
        <v/>
      </c>
      <c r="H684" s="9" t="str">
        <f>IF(AND(G684=""),"",IF(AND(Y682=""),"",ROUND(G684*Master!C$4%,0)))</f>
        <v/>
      </c>
      <c r="I684" s="9" t="str">
        <f>IF(AND(G684=""),"",IF(AND(Y682=""),"",ROUND(G684*Master!H$4%,0)))</f>
        <v/>
      </c>
      <c r="J684" s="9" t="str">
        <f t="shared" si="953"/>
        <v/>
      </c>
      <c r="K684" s="9" t="str">
        <f t="shared" ref="K684" si="960">IF(AND(C684=""),"",IF(AND(G684=""),"",C684-G684))</f>
        <v/>
      </c>
      <c r="L684" s="9" t="str">
        <f t="shared" si="957"/>
        <v/>
      </c>
      <c r="M684" s="9" t="str">
        <f t="shared" si="955"/>
        <v/>
      </c>
      <c r="N684" s="9" t="str">
        <f t="shared" si="956"/>
        <v/>
      </c>
      <c r="O684" s="9" t="str">
        <f t="shared" si="958"/>
        <v/>
      </c>
      <c r="P684" s="9" t="str">
        <f>IF(AND(Y682=""),"",IF(AND(N684=""),"",ROUND(N684*X$17%,0)))</f>
        <v/>
      </c>
      <c r="Q684" s="9" t="str">
        <f>IF(AND(Y682=""),"",IF(AND(C684=""),"",IF(AND(O684=""),"",SUM(O684,P684))))</f>
        <v/>
      </c>
      <c r="R684" s="9" t="str">
        <f t="shared" si="959"/>
        <v/>
      </c>
      <c r="S684" s="20"/>
    </row>
    <row r="685" spans="1:25" ht="21" customHeight="1">
      <c r="A685" s="8">
        <v>4</v>
      </c>
      <c r="B685" s="23" t="str">
        <f>IFERROR(DATE(YEAR(B684),MONTH(B684)+1,DAY(B684)),"")</f>
        <v/>
      </c>
      <c r="C685" s="9" t="str">
        <f>IF(AND(Y683=""),"",C684)</f>
        <v/>
      </c>
      <c r="D685" s="9" t="str">
        <f>IF(AND(C685=""),"",IF(AND(Y683=""),"",ROUND(C685*Master!C$5%,0)))</f>
        <v/>
      </c>
      <c r="E685" s="9" t="str">
        <f>IF(AND(C685=""),"",IF(AND(Y683=""),"",ROUND(C685*Master!H$5%,0)))</f>
        <v/>
      </c>
      <c r="F685" s="9" t="str">
        <f t="shared" ref="F685" si="961">IF(AND(C685=""),"",SUM(C685:E685))</f>
        <v/>
      </c>
      <c r="G685" s="9" t="str">
        <f>IF(AND(Y683=""),"",G684)</f>
        <v/>
      </c>
      <c r="H685" s="9" t="str">
        <f>IF(AND(G685=""),"",IF(AND(Y683=""),"",ROUND(G685*Master!C$4%,0)))</f>
        <v/>
      </c>
      <c r="I685" s="9" t="str">
        <f>IF(AND(G685=""),"",IF(AND(Y683=""),"",ROUND(G685*Master!H$4%,0)))</f>
        <v/>
      </c>
      <c r="J685" s="9" t="str">
        <f t="shared" ref="J685" si="962">IF(AND(C685=""),"",SUM(G685:I685))</f>
        <v/>
      </c>
      <c r="K685" s="9" t="str">
        <f t="shared" ref="K685" si="963">IF(AND(C685=""),"",IF(AND(G685=""),"",C685-G685))</f>
        <v/>
      </c>
      <c r="L685" s="9" t="str">
        <f t="shared" ref="L685" si="964">IF(AND(D685=""),"",IF(AND(H685=""),"",D685-H685))</f>
        <v/>
      </c>
      <c r="M685" s="9" t="str">
        <f t="shared" ref="M685" si="965">IF(AND(E685=""),"",IF(AND(I685=""),"",E685-I685))</f>
        <v/>
      </c>
      <c r="N685" s="9" t="str">
        <f t="shared" ref="N685" si="966">IF(AND(F685=""),"",IF(AND(J685=""),"",F685-J685))</f>
        <v/>
      </c>
      <c r="O685" s="9" t="str">
        <f t="shared" ref="O685" si="967">IF(AND(C685=""),"",N685-P685)</f>
        <v/>
      </c>
      <c r="P685" s="9" t="str">
        <f>IF(AND(Y683=""),"",IF(AND(N685=""),"",ROUND(N685*X$17%,0)))</f>
        <v/>
      </c>
      <c r="Q685" s="9" t="str">
        <f>IF(AND(Y683=""),"",IF(AND(C685=""),"",IF(AND(O685=""),"",SUM(O685,P685))))</f>
        <v/>
      </c>
      <c r="R685" s="9" t="str">
        <f t="shared" ref="R685" si="968">IF(AND(N685=""),"",IF(AND(Q685=""),"",N685-Q685))</f>
        <v/>
      </c>
      <c r="S685" s="20"/>
    </row>
    <row r="686" spans="1:25" ht="30.75" customHeight="1">
      <c r="A686" s="153" t="s">
        <v>9</v>
      </c>
      <c r="B686" s="154"/>
      <c r="C686" s="63">
        <f>IF(AND($Y$682=""),"",SUM(C682:C685))</f>
        <v>0</v>
      </c>
      <c r="D686" s="63">
        <f t="shared" ref="D686:R686" si="969">IF(AND($Y$682=""),"",SUM(D682:D685))</f>
        <v>0</v>
      </c>
      <c r="E686" s="63">
        <f t="shared" si="969"/>
        <v>0</v>
      </c>
      <c r="F686" s="63">
        <f t="shared" si="969"/>
        <v>0</v>
      </c>
      <c r="G686" s="63">
        <f t="shared" si="969"/>
        <v>0</v>
      </c>
      <c r="H686" s="63">
        <f t="shared" si="969"/>
        <v>0</v>
      </c>
      <c r="I686" s="63">
        <f t="shared" si="969"/>
        <v>0</v>
      </c>
      <c r="J686" s="63">
        <f t="shared" si="969"/>
        <v>0</v>
      </c>
      <c r="K686" s="63">
        <f t="shared" si="969"/>
        <v>0</v>
      </c>
      <c r="L686" s="63">
        <f t="shared" si="969"/>
        <v>0</v>
      </c>
      <c r="M686" s="63">
        <f t="shared" si="969"/>
        <v>0</v>
      </c>
      <c r="N686" s="63">
        <f t="shared" si="969"/>
        <v>0</v>
      </c>
      <c r="O686" s="63">
        <f t="shared" si="969"/>
        <v>0</v>
      </c>
      <c r="P686" s="63">
        <f t="shared" si="969"/>
        <v>0</v>
      </c>
      <c r="Q686" s="63">
        <f t="shared" si="969"/>
        <v>0</v>
      </c>
      <c r="R686" s="63">
        <f t="shared" si="969"/>
        <v>0</v>
      </c>
      <c r="S686" s="49"/>
    </row>
    <row r="687" spans="1:25" ht="11.25" customHeight="1">
      <c r="A687" s="73"/>
      <c r="B687" s="73"/>
      <c r="C687" s="74"/>
      <c r="D687" s="74"/>
      <c r="E687" s="74"/>
      <c r="F687" s="74"/>
      <c r="G687" s="74"/>
      <c r="H687" s="74"/>
      <c r="I687" s="74"/>
      <c r="J687" s="74"/>
      <c r="K687" s="74"/>
      <c r="L687" s="74"/>
      <c r="M687" s="74"/>
      <c r="N687" s="74"/>
      <c r="O687" s="74"/>
      <c r="P687" s="74"/>
      <c r="Q687" s="74"/>
      <c r="R687" s="74"/>
      <c r="S687" s="75"/>
    </row>
    <row r="688" spans="1:25" ht="23.25" customHeight="1">
      <c r="E688" s="133" t="s">
        <v>10</v>
      </c>
      <c r="F688" s="133"/>
      <c r="G688" s="133"/>
      <c r="H688" s="133"/>
      <c r="I688" s="133"/>
      <c r="J688" s="132" t="str">
        <f>IF(ISNA(VLOOKUP(Y690,Master!A$8:N$127,2,FALSE)),"",VLOOKUP(Y690,Master!A$8:AH$127,2,FALSE))</f>
        <v/>
      </c>
      <c r="K688" s="132"/>
      <c r="L688" s="132"/>
      <c r="M688" s="132"/>
      <c r="N688" s="132"/>
      <c r="O688" s="60" t="s">
        <v>31</v>
      </c>
      <c r="P688" s="132" t="str">
        <f>IF(ISNA(VLOOKUP($Y$431,Master!A$8:N$127,3,FALSE)),"",VLOOKUP($Y$431,Master!A$8:AH$127,3,FALSE))</f>
        <v/>
      </c>
      <c r="Q688" s="132"/>
      <c r="R688" s="132"/>
      <c r="S688" s="132"/>
    </row>
    <row r="689" spans="1:27" ht="9" customHeight="1">
      <c r="E689" s="19"/>
      <c r="F689" s="52"/>
      <c r="G689" s="22"/>
      <c r="H689" s="22"/>
      <c r="I689" s="22"/>
      <c r="J689" s="5"/>
      <c r="K689" s="5"/>
      <c r="L689" s="5"/>
      <c r="M689" s="5"/>
      <c r="N689" s="5"/>
      <c r="O689" s="6"/>
      <c r="P689" s="6"/>
    </row>
    <row r="690" spans="1:27" ht="21" customHeight="1">
      <c r="A690" s="8">
        <v>1</v>
      </c>
      <c r="B690" s="23" t="str">
        <f>IFERROR(IF(ISNA(VLOOKUP(Y690,Master!A$8:N$127,8,FALSE)),"",VLOOKUP($Y690,Master!A$8:AH$127,8,FALSE)),"")</f>
        <v/>
      </c>
      <c r="C690" s="9" t="str">
        <f>IF(ISNA(VLOOKUP(Y690,Master!A$8:N$127,5,FALSE)),"",VLOOKUP(Y690,Master!A$8:AH$127,5,FALSE))</f>
        <v/>
      </c>
      <c r="D690" s="9" t="str">
        <f>IF(AND(C690=""),"",IF(AND(Y690=""),"",ROUND(C690*Master!C$5%,0)))</f>
        <v/>
      </c>
      <c r="E690" s="9" t="str">
        <f>IF(AND(C690=""),"",IF(AND(Y690=""),"",ROUND(C690*Master!H$5%,0)))</f>
        <v/>
      </c>
      <c r="F690" s="9" t="str">
        <f t="shared" ref="F690:F692" si="970">IF(AND(C690=""),"",SUM(C690:E690))</f>
        <v/>
      </c>
      <c r="G690" s="9" t="str">
        <f>IF(ISNA(VLOOKUP(Y690,Master!A$8:N$127,5,FALSE)),"",VLOOKUP(Y690,Master!A$8:AH$127,5,FALSE))</f>
        <v/>
      </c>
      <c r="H690" s="9" t="str">
        <f>IF(AND(G690=""),"",IF(AND(Y690=""),"",ROUND(G690*Master!C$4%,0)))</f>
        <v/>
      </c>
      <c r="I690" s="9" t="str">
        <f>IF(AND(G690=""),"",IF(AND(Y690=""),"",ROUND(G690*Master!H$4%,0)))</f>
        <v/>
      </c>
      <c r="J690" s="9" t="str">
        <f t="shared" ref="J690:J692" si="971">IF(AND(C690=""),"",SUM(G690:I690))</f>
        <v/>
      </c>
      <c r="K690" s="9" t="str">
        <f t="shared" ref="K690:K692" si="972">IF(AND(C690=""),"",IF(AND(G690=""),"",C690-G690))</f>
        <v/>
      </c>
      <c r="L690" s="9" t="str">
        <f t="shared" ref="L690:L692" si="973">IF(AND(D690=""),"",IF(AND(H690=""),"",D690-H690))</f>
        <v/>
      </c>
      <c r="M690" s="9" t="str">
        <f t="shared" ref="M690:M692" si="974">IF(AND(E690=""),"",IF(AND(I690=""),"",E690-I690))</f>
        <v/>
      </c>
      <c r="N690" s="9" t="str">
        <f t="shared" ref="N690:N692" si="975">IF(AND(F690=""),"",IF(AND(J690=""),"",F690-J690))</f>
        <v/>
      </c>
      <c r="O690" s="9" t="str">
        <f>IF(AND(C690=""),"",N690-P690)</f>
        <v/>
      </c>
      <c r="P690" s="9" t="str">
        <f>IF(AND(Y690=""),"",IF(AND(N690=""),"",ROUND(N690*AA$1%,0)))</f>
        <v/>
      </c>
      <c r="Q690" s="9" t="str">
        <f>IF(AND(Y690=""),"",IF(AND(C690=""),"",IF(AND(O690=""),"",SUM(O690,P690))))</f>
        <v/>
      </c>
      <c r="R690" s="9" t="str">
        <f>IF(AND(N690=""),"",IF(AND(Q690=""),"",N690-Q690))</f>
        <v/>
      </c>
      <c r="S690" s="20"/>
      <c r="X690" s="61" t="s">
        <v>49</v>
      </c>
      <c r="Y690" s="64">
        <v>57</v>
      </c>
    </row>
    <row r="691" spans="1:27" ht="21" customHeight="1">
      <c r="A691" s="8">
        <v>2</v>
      </c>
      <c r="B691" s="23" t="str">
        <f>IFERROR(DATE(YEAR(B690),MONTH(B690)+1,DAY(B690)),"")</f>
        <v/>
      </c>
      <c r="C691" s="9" t="str">
        <f>IF(AND(Y690=""),"",C690)</f>
        <v/>
      </c>
      <c r="D691" s="9" t="str">
        <f>IF(AND(C691=""),"",IF(AND(Y690=""),"",ROUND(C691*Master!C$5%,0)))</f>
        <v/>
      </c>
      <c r="E691" s="9" t="str">
        <f>IF(AND(C691=""),"",IF(AND(Y690=""),"",ROUND(C691*Master!H$5%,0)))</f>
        <v/>
      </c>
      <c r="F691" s="9" t="str">
        <f t="shared" si="970"/>
        <v/>
      </c>
      <c r="G691" s="9" t="str">
        <f>IF(AND(Y690=""),"",G690)</f>
        <v/>
      </c>
      <c r="H691" s="9" t="str">
        <f>IF(AND(G691=""),"",IF(AND(Y690=""),"",ROUND(G691*Master!C$4%,0)))</f>
        <v/>
      </c>
      <c r="I691" s="9" t="str">
        <f>IF(AND(G691=""),"",IF(AND(Y690=""),"",ROUND(G691*Master!H$4%,0)))</f>
        <v/>
      </c>
      <c r="J691" s="9" t="str">
        <f t="shared" si="971"/>
        <v/>
      </c>
      <c r="K691" s="9" t="str">
        <f t="shared" si="972"/>
        <v/>
      </c>
      <c r="L691" s="9" t="str">
        <f t="shared" si="973"/>
        <v/>
      </c>
      <c r="M691" s="9" t="str">
        <f t="shared" si="974"/>
        <v/>
      </c>
      <c r="N691" s="9" t="str">
        <f t="shared" si="975"/>
        <v/>
      </c>
      <c r="O691" s="9" t="str">
        <f t="shared" ref="O691:O692" si="976">IF(AND(C691=""),"",N691-P691)</f>
        <v/>
      </c>
      <c r="P691" s="9" t="str">
        <f>IF(AND(Y690=""),"",IF(AND(N691=""),"",ROUND(N691*AA$1%,0)))</f>
        <v/>
      </c>
      <c r="Q691" s="9" t="str">
        <f>IF(AND(Y690=""),"",IF(AND(C691=""),"",IF(AND(O691=""),"",SUM(O691,P691))))</f>
        <v/>
      </c>
      <c r="R691" s="9" t="str">
        <f t="shared" ref="R691:R692" si="977">IF(AND(N691=""),"",IF(AND(Q691=""),"",N691-Q691))</f>
        <v/>
      </c>
      <c r="S691" s="20"/>
      <c r="X691" s="4" t="str">
        <f>IF(ISNA(VLOOKUP(Y690,Master!A$8:N$127,7,FALSE)),"",VLOOKUP(Y690,Master!A$8:AH$127,7,FALSE))</f>
        <v/>
      </c>
    </row>
    <row r="692" spans="1:27" ht="21" customHeight="1">
      <c r="A692" s="8">
        <v>3</v>
      </c>
      <c r="B692" s="23" t="str">
        <f>IFERROR(DATE(YEAR(B691),MONTH(B691)+1,DAY(B691)),"")</f>
        <v/>
      </c>
      <c r="C692" s="9" t="str">
        <f>IF(AND(Y690=""),"",C691)</f>
        <v/>
      </c>
      <c r="D692" s="9" t="str">
        <f>IF(AND(C692=""),"",IF(AND(Y690=""),"",ROUND(C692*Master!C$5%,0)))</f>
        <v/>
      </c>
      <c r="E692" s="9" t="str">
        <f>IF(AND(C692=""),"",IF(AND(Y690=""),"",ROUND(C692*Master!H$5%,0)))</f>
        <v/>
      </c>
      <c r="F692" s="9" t="str">
        <f t="shared" si="970"/>
        <v/>
      </c>
      <c r="G692" s="9" t="str">
        <f>IF(AND(Y690=""),"",G691)</f>
        <v/>
      </c>
      <c r="H692" s="9" t="str">
        <f>IF(AND(G692=""),"",IF(AND(Y690=""),"",ROUND(G692*Master!C$4%,0)))</f>
        <v/>
      </c>
      <c r="I692" s="9" t="str">
        <f>IF(AND(G692=""),"",IF(AND(Y690=""),"",ROUND(G692*Master!H$4%,0)))</f>
        <v/>
      </c>
      <c r="J692" s="9" t="str">
        <f t="shared" si="971"/>
        <v/>
      </c>
      <c r="K692" s="9" t="str">
        <f t="shared" si="972"/>
        <v/>
      </c>
      <c r="L692" s="9" t="str">
        <f t="shared" si="973"/>
        <v/>
      </c>
      <c r="M692" s="9" t="str">
        <f t="shared" si="974"/>
        <v/>
      </c>
      <c r="N692" s="9" t="str">
        <f t="shared" si="975"/>
        <v/>
      </c>
      <c r="O692" s="9" t="str">
        <f t="shared" si="976"/>
        <v/>
      </c>
      <c r="P692" s="9" t="str">
        <f>IF(AND(Y690=""),"",IF(AND(N692=""),"",ROUND(N692*AA$1%,0)))</f>
        <v/>
      </c>
      <c r="Q692" s="9" t="str">
        <f>IF(AND(Y690=""),"",IF(AND(C692=""),"",IF(AND(O692=""),"",SUM(O692,P692))))</f>
        <v/>
      </c>
      <c r="R692" s="9" t="str">
        <f t="shared" si="977"/>
        <v/>
      </c>
      <c r="S692" s="20"/>
    </row>
    <row r="693" spans="1:27" ht="21" customHeight="1">
      <c r="A693" s="8">
        <v>4</v>
      </c>
      <c r="B693" s="23" t="str">
        <f>IFERROR(DATE(YEAR(B692),MONTH(B692)+1,DAY(B692)),"")</f>
        <v/>
      </c>
      <c r="C693" s="9" t="str">
        <f>IF(AND(Y691=""),"",C692)</f>
        <v/>
      </c>
      <c r="D693" s="9" t="str">
        <f>IF(AND(C693=""),"",IF(AND(Y691=""),"",ROUND(C693*Master!C$5%,0)))</f>
        <v/>
      </c>
      <c r="E693" s="9" t="str">
        <f>IF(AND(C693=""),"",IF(AND(Y691=""),"",ROUND(C693*Master!H$5%,0)))</f>
        <v/>
      </c>
      <c r="F693" s="9" t="str">
        <f t="shared" ref="F693" si="978">IF(AND(C693=""),"",SUM(C693:E693))</f>
        <v/>
      </c>
      <c r="G693" s="9" t="str">
        <f>IF(AND(Y691=""),"",G692)</f>
        <v/>
      </c>
      <c r="H693" s="9" t="str">
        <f>IF(AND(G693=""),"",IF(AND(Y691=""),"",ROUND(G693*Master!C$4%,0)))</f>
        <v/>
      </c>
      <c r="I693" s="9" t="str">
        <f>IF(AND(G693=""),"",IF(AND(Y691=""),"",ROUND(G693*Master!H$4%,0)))</f>
        <v/>
      </c>
      <c r="J693" s="9" t="str">
        <f t="shared" ref="J693" si="979">IF(AND(C693=""),"",SUM(G693:I693))</f>
        <v/>
      </c>
      <c r="K693" s="9" t="str">
        <f t="shared" ref="K693" si="980">IF(AND(C693=""),"",IF(AND(G693=""),"",C693-G693))</f>
        <v/>
      </c>
      <c r="L693" s="9" t="str">
        <f t="shared" ref="L693" si="981">IF(AND(D693=""),"",IF(AND(H693=""),"",D693-H693))</f>
        <v/>
      </c>
      <c r="M693" s="9" t="str">
        <f t="shared" ref="M693" si="982">IF(AND(E693=""),"",IF(AND(I693=""),"",E693-I693))</f>
        <v/>
      </c>
      <c r="N693" s="9" t="str">
        <f t="shared" ref="N693" si="983">IF(AND(F693=""),"",IF(AND(J693=""),"",F693-J693))</f>
        <v/>
      </c>
      <c r="O693" s="9" t="str">
        <f t="shared" ref="O693" si="984">IF(AND(C693=""),"",N693-P693)</f>
        <v/>
      </c>
      <c r="P693" s="9" t="str">
        <f>IF(AND(Y691=""),"",IF(AND(N693=""),"",ROUND(N693*AA$1%,0)))</f>
        <v/>
      </c>
      <c r="Q693" s="9" t="str">
        <f>IF(AND(Y691=""),"",IF(AND(C693=""),"",IF(AND(O693=""),"",SUM(O693,P693))))</f>
        <v/>
      </c>
      <c r="R693" s="9" t="str">
        <f t="shared" ref="R693" si="985">IF(AND(N693=""),"",IF(AND(Q693=""),"",N693-Q693))</f>
        <v/>
      </c>
      <c r="S693" s="20"/>
    </row>
    <row r="694" spans="1:27" ht="30.75" customHeight="1">
      <c r="A694" s="153" t="s">
        <v>9</v>
      </c>
      <c r="B694" s="154"/>
      <c r="C694" s="63">
        <f>IF(AND($Y$690=""),"",SUM(C690:C693))</f>
        <v>0</v>
      </c>
      <c r="D694" s="63">
        <f t="shared" ref="D694:R694" si="986">IF(AND($Y$690=""),"",SUM(D690:D693))</f>
        <v>0</v>
      </c>
      <c r="E694" s="63">
        <f t="shared" si="986"/>
        <v>0</v>
      </c>
      <c r="F694" s="63">
        <f t="shared" si="986"/>
        <v>0</v>
      </c>
      <c r="G694" s="63">
        <f t="shared" si="986"/>
        <v>0</v>
      </c>
      <c r="H694" s="63">
        <f t="shared" si="986"/>
        <v>0</v>
      </c>
      <c r="I694" s="63">
        <f t="shared" si="986"/>
        <v>0</v>
      </c>
      <c r="J694" s="63">
        <f t="shared" si="986"/>
        <v>0</v>
      </c>
      <c r="K694" s="63">
        <f t="shared" si="986"/>
        <v>0</v>
      </c>
      <c r="L694" s="63">
        <f t="shared" si="986"/>
        <v>0</v>
      </c>
      <c r="M694" s="63">
        <f t="shared" si="986"/>
        <v>0</v>
      </c>
      <c r="N694" s="63">
        <f t="shared" si="986"/>
        <v>0</v>
      </c>
      <c r="O694" s="63">
        <f t="shared" si="986"/>
        <v>0</v>
      </c>
      <c r="P694" s="63">
        <f t="shared" si="986"/>
        <v>0</v>
      </c>
      <c r="Q694" s="63">
        <f t="shared" si="986"/>
        <v>0</v>
      </c>
      <c r="R694" s="63">
        <f t="shared" si="986"/>
        <v>0</v>
      </c>
      <c r="S694" s="49"/>
    </row>
    <row r="695" spans="1:27" ht="30.75" customHeight="1">
      <c r="A695" s="73"/>
      <c r="B695" s="73"/>
      <c r="C695" s="74"/>
      <c r="D695" s="74"/>
      <c r="E695" s="74"/>
      <c r="F695" s="74"/>
      <c r="G695" s="74"/>
      <c r="H695" s="74"/>
      <c r="I695" s="74"/>
      <c r="J695" s="74"/>
      <c r="K695" s="74"/>
      <c r="L695" s="74"/>
      <c r="M695" s="74"/>
      <c r="N695" s="74"/>
      <c r="O695" s="74"/>
      <c r="P695" s="74"/>
      <c r="Q695" s="74"/>
      <c r="R695" s="74"/>
      <c r="S695" s="75"/>
    </row>
    <row r="696" spans="1:27" ht="18.75">
      <c r="A696" s="21"/>
      <c r="B696" s="58"/>
      <c r="C696" s="58"/>
      <c r="D696" s="58"/>
      <c r="E696" s="58"/>
      <c r="F696" s="58"/>
      <c r="G696" s="58"/>
      <c r="H696" s="59"/>
      <c r="I696" s="59"/>
      <c r="J696" s="59"/>
      <c r="K696" s="66"/>
      <c r="L696" s="66"/>
      <c r="M696" s="66"/>
      <c r="N696" s="66"/>
      <c r="O696" s="138" t="s">
        <v>42</v>
      </c>
      <c r="P696" s="138"/>
      <c r="Q696" s="138"/>
      <c r="R696" s="138"/>
      <c r="S696" s="138"/>
    </row>
    <row r="697" spans="1:27" ht="18.75">
      <c r="A697" s="1"/>
      <c r="B697" s="24" t="s">
        <v>19</v>
      </c>
      <c r="C697" s="139"/>
      <c r="D697" s="139"/>
      <c r="E697" s="139"/>
      <c r="F697" s="139"/>
      <c r="G697" s="139"/>
      <c r="H697" s="25"/>
      <c r="I697" s="143" t="s">
        <v>20</v>
      </c>
      <c r="J697" s="143"/>
      <c r="K697" s="141"/>
      <c r="L697" s="141"/>
      <c r="M697" s="141"/>
      <c r="O697" s="138"/>
      <c r="P697" s="138"/>
      <c r="Q697" s="138"/>
      <c r="R697" s="138"/>
      <c r="S697" s="138"/>
    </row>
    <row r="698" spans="1:27" ht="18.75">
      <c r="A698" s="1"/>
      <c r="B698" s="140" t="s">
        <v>21</v>
      </c>
      <c r="C698" s="140"/>
      <c r="D698" s="140"/>
      <c r="E698" s="140"/>
      <c r="F698" s="140"/>
      <c r="G698" s="140"/>
      <c r="H698" s="140"/>
      <c r="I698" s="27"/>
      <c r="J698" s="26"/>
      <c r="K698" s="26"/>
      <c r="L698" s="26"/>
      <c r="M698" s="26"/>
    </row>
    <row r="699" spans="1:27" ht="18.75">
      <c r="A699" s="22">
        <v>1</v>
      </c>
      <c r="B699" s="142" t="s">
        <v>22</v>
      </c>
      <c r="C699" s="142"/>
      <c r="D699" s="142"/>
      <c r="E699" s="142"/>
      <c r="F699" s="142"/>
      <c r="G699" s="142"/>
      <c r="H699" s="142"/>
      <c r="I699" s="28"/>
      <c r="J699" s="26"/>
      <c r="K699" s="26"/>
      <c r="L699" s="26"/>
      <c r="M699" s="26"/>
    </row>
    <row r="700" spans="1:27" ht="18.75">
      <c r="A700" s="2">
        <v>2</v>
      </c>
      <c r="B700" s="142" t="s">
        <v>23</v>
      </c>
      <c r="C700" s="142"/>
      <c r="D700" s="142"/>
      <c r="E700" s="142"/>
      <c r="F700" s="142"/>
      <c r="G700" s="132"/>
      <c r="H700" s="132"/>
      <c r="I700" s="132"/>
      <c r="J700" s="132"/>
      <c r="K700" s="132"/>
      <c r="L700" s="132"/>
      <c r="M700" s="132"/>
    </row>
    <row r="701" spans="1:27" ht="18.75">
      <c r="A701" s="3">
        <v>3</v>
      </c>
      <c r="B701" s="142" t="s">
        <v>24</v>
      </c>
      <c r="C701" s="142"/>
      <c r="D701" s="142"/>
      <c r="E701" s="29"/>
      <c r="F701" s="28"/>
      <c r="G701" s="28"/>
      <c r="H701" s="30"/>
      <c r="I701" s="31"/>
      <c r="J701" s="26"/>
      <c r="K701" s="26"/>
      <c r="L701" s="26"/>
      <c r="M701" s="26"/>
    </row>
    <row r="702" spans="1:27" ht="15.75">
      <c r="O702" s="138" t="s">
        <v>42</v>
      </c>
      <c r="P702" s="138"/>
      <c r="Q702" s="138"/>
      <c r="R702" s="138"/>
      <c r="S702" s="138"/>
    </row>
    <row r="704" spans="1:27" ht="18" customHeight="1">
      <c r="A704" s="148" t="str">
        <f>A667</f>
        <v xml:space="preserve">DA (46% to 50%) Drawn Statement  </v>
      </c>
      <c r="B704" s="148"/>
      <c r="C704" s="148"/>
      <c r="D704" s="148"/>
      <c r="E704" s="148"/>
      <c r="F704" s="148"/>
      <c r="G704" s="148"/>
      <c r="H704" s="148"/>
      <c r="I704" s="148"/>
      <c r="J704" s="148"/>
      <c r="K704" s="148"/>
      <c r="L704" s="148"/>
      <c r="M704" s="148"/>
      <c r="N704" s="148"/>
      <c r="O704" s="148"/>
      <c r="P704" s="148"/>
      <c r="Q704" s="148"/>
      <c r="R704" s="148"/>
      <c r="S704" s="148"/>
      <c r="W704" s="4">
        <f>IF(ISNA(VLOOKUP($Y$3,Master!A$8:N$127,4,FALSE)),"",VLOOKUP($Y$3,Master!A$8:AH$127,4,FALSE))</f>
        <v>2</v>
      </c>
      <c r="X704" s="4" t="str">
        <f>IF(ISNA(VLOOKUP($Y$3,Master!A$8:N$127,6,FALSE)),"",VLOOKUP($Y$3,Master!A$8:AH$127,6,FALSE))</f>
        <v>GPF-2004</v>
      </c>
      <c r="Y704" s="4" t="s">
        <v>45</v>
      </c>
      <c r="Z704" s="4" t="s">
        <v>18</v>
      </c>
      <c r="AA704" s="4" t="str">
        <f>IF(ISNA(VLOOKUP(Y706,Master!A$8:N$127,7,FALSE)),"",VLOOKUP(Y706,Master!A$8:AH$127,7,FALSE))</f>
        <v/>
      </c>
    </row>
    <row r="705" spans="1:25" ht="18">
      <c r="A705" s="131" t="str">
        <f>IF(AND(Master!C649=""),"",CONCATENATE("Office Of  ",Master!C649))</f>
        <v/>
      </c>
      <c r="B705" s="131"/>
      <c r="C705" s="131"/>
      <c r="D705" s="131"/>
      <c r="E705" s="131"/>
      <c r="F705" s="131"/>
      <c r="G705" s="131"/>
      <c r="H705" s="131"/>
      <c r="I705" s="131"/>
      <c r="J705" s="131"/>
      <c r="K705" s="131"/>
      <c r="L705" s="131"/>
      <c r="M705" s="131"/>
      <c r="N705" s="131"/>
      <c r="O705" s="131"/>
      <c r="P705" s="131"/>
      <c r="Q705" s="131"/>
      <c r="R705" s="131"/>
      <c r="S705" s="131"/>
      <c r="X705" s="4">
        <f>IF(ISNA(VLOOKUP($Y$3,Master!A$8:N$127,8,FALSE)),"",VLOOKUP($Y$3,Master!A$8:AH$127,8,FALSE))</f>
        <v>45292</v>
      </c>
      <c r="Y705" s="4" t="s">
        <v>43</v>
      </c>
    </row>
    <row r="706" spans="1:25" ht="18.75">
      <c r="E706" s="133" t="s">
        <v>10</v>
      </c>
      <c r="F706" s="133"/>
      <c r="G706" s="133"/>
      <c r="H706" s="133"/>
      <c r="I706" s="133"/>
      <c r="J706" s="132" t="str">
        <f>IF(ISNA(VLOOKUP(Y706,Master!A$8:N$127,2,FALSE)),"",VLOOKUP(Y706,Master!A$8:AH$127,2,FALSE))</f>
        <v/>
      </c>
      <c r="K706" s="132"/>
      <c r="L706" s="132"/>
      <c r="M706" s="132"/>
      <c r="N706" s="132"/>
      <c r="O706" s="60" t="s">
        <v>31</v>
      </c>
      <c r="P706" s="132" t="str">
        <f>IF(ISNA(VLOOKUP(Y706,Master!A$8:N$127,3,FALSE)),"",VLOOKUP(Y706,Master!A$8:AH$127,3,FALSE))</f>
        <v/>
      </c>
      <c r="Q706" s="132"/>
      <c r="R706" s="132"/>
      <c r="S706" s="132"/>
      <c r="X706" s="61" t="s">
        <v>49</v>
      </c>
      <c r="Y706" s="64">
        <v>58</v>
      </c>
    </row>
    <row r="707" spans="1:25" ht="8.25" customHeight="1">
      <c r="E707" s="19"/>
      <c r="F707" s="52"/>
      <c r="G707" s="22"/>
      <c r="H707" s="22"/>
      <c r="I707" s="22"/>
      <c r="J707" s="5"/>
      <c r="K707" s="5"/>
      <c r="L707" s="5"/>
      <c r="M707" s="5"/>
      <c r="N707" s="5"/>
      <c r="O707" s="6"/>
      <c r="P707" s="6"/>
    </row>
    <row r="708" spans="1:25" ht="24.75" customHeight="1">
      <c r="A708" s="157" t="s">
        <v>0</v>
      </c>
      <c r="B708" s="158" t="s">
        <v>3</v>
      </c>
      <c r="C708" s="159" t="s">
        <v>5</v>
      </c>
      <c r="D708" s="159"/>
      <c r="E708" s="159"/>
      <c r="F708" s="159"/>
      <c r="G708" s="159" t="s">
        <v>6</v>
      </c>
      <c r="H708" s="159"/>
      <c r="I708" s="159"/>
      <c r="J708" s="159"/>
      <c r="K708" s="159" t="s">
        <v>7</v>
      </c>
      <c r="L708" s="159"/>
      <c r="M708" s="159"/>
      <c r="N708" s="159"/>
      <c r="O708" s="149" t="s">
        <v>8</v>
      </c>
      <c r="P708" s="150"/>
      <c r="Q708" s="151"/>
      <c r="R708" s="162" t="s">
        <v>54</v>
      </c>
      <c r="S708" s="162" t="s">
        <v>40</v>
      </c>
    </row>
    <row r="709" spans="1:25" ht="69" customHeight="1">
      <c r="A709" s="157"/>
      <c r="B709" s="158"/>
      <c r="C709" s="54" t="s">
        <v>29</v>
      </c>
      <c r="D709" s="55" t="s">
        <v>1</v>
      </c>
      <c r="E709" s="56" t="s">
        <v>2</v>
      </c>
      <c r="F709" s="54" t="s">
        <v>46</v>
      </c>
      <c r="G709" s="54" t="s">
        <v>29</v>
      </c>
      <c r="H709" s="55" t="s">
        <v>1</v>
      </c>
      <c r="I709" s="56" t="s">
        <v>2</v>
      </c>
      <c r="J709" s="54" t="s">
        <v>47</v>
      </c>
      <c r="K709" s="54" t="s">
        <v>4</v>
      </c>
      <c r="L709" s="55" t="s">
        <v>1</v>
      </c>
      <c r="M709" s="56" t="s">
        <v>2</v>
      </c>
      <c r="N709" s="57" t="s">
        <v>48</v>
      </c>
      <c r="O709" s="53" t="s">
        <v>69</v>
      </c>
      <c r="P709" s="65" t="s">
        <v>41</v>
      </c>
      <c r="Q709" s="57" t="s">
        <v>53</v>
      </c>
      <c r="R709" s="162"/>
      <c r="S709" s="162"/>
    </row>
    <row r="710" spans="1:25" ht="18" customHeight="1">
      <c r="A710" s="7">
        <v>1</v>
      </c>
      <c r="B710" s="7">
        <v>2</v>
      </c>
      <c r="C710" s="7">
        <v>3</v>
      </c>
      <c r="D710" s="7">
        <v>4</v>
      </c>
      <c r="E710" s="7">
        <v>5</v>
      </c>
      <c r="F710" s="7">
        <v>6</v>
      </c>
      <c r="G710" s="7">
        <v>7</v>
      </c>
      <c r="H710" s="7">
        <v>8</v>
      </c>
      <c r="I710" s="7">
        <v>9</v>
      </c>
      <c r="J710" s="7">
        <v>10</v>
      </c>
      <c r="K710" s="7">
        <v>11</v>
      </c>
      <c r="L710" s="7">
        <v>12</v>
      </c>
      <c r="M710" s="7">
        <v>13</v>
      </c>
      <c r="N710" s="7">
        <v>14</v>
      </c>
      <c r="O710" s="7">
        <v>15</v>
      </c>
      <c r="P710" s="7">
        <v>17</v>
      </c>
      <c r="Q710" s="7">
        <v>18</v>
      </c>
      <c r="R710" s="7">
        <v>19</v>
      </c>
      <c r="S710" s="7">
        <v>20</v>
      </c>
    </row>
    <row r="711" spans="1:25" ht="21" customHeight="1">
      <c r="A711" s="8">
        <v>1</v>
      </c>
      <c r="B711" s="23" t="str">
        <f>IFERROR(IF(ISNA(VLOOKUP(Y706,Master!A$8:N$127,8,FALSE)),"",VLOOKUP($Y706,Master!A$8:AH$127,8,FALSE)),"")</f>
        <v/>
      </c>
      <c r="C711" s="9" t="str">
        <f>IF(ISNA(VLOOKUP(Y706,Master!A$8:N$127,5,FALSE)),"",VLOOKUP(Y706,Master!A$8:AH$127,5,FALSE))</f>
        <v/>
      </c>
      <c r="D711" s="9" t="str">
        <f>IF(AND(C711=""),"",IF(AND(Y706=""),"",ROUND(C711*Master!C$5%,0)))</f>
        <v/>
      </c>
      <c r="E711" s="9" t="str">
        <f>IF(AND(C711=""),"",IF(AND(Y706=""),"",ROUND(C711*Master!H$5%,0)))</f>
        <v/>
      </c>
      <c r="F711" s="9" t="str">
        <f t="shared" ref="F711" si="987">IF(AND(C711=""),"",SUM(C711:E711))</f>
        <v/>
      </c>
      <c r="G711" s="9" t="str">
        <f>IF(ISNA(VLOOKUP(Y706,Master!A$8:N$127,5,FALSE)),"",VLOOKUP(Y706,Master!A$8:AH$127,5,FALSE))</f>
        <v/>
      </c>
      <c r="H711" s="9" t="str">
        <f>IF(AND(G711=""),"",IF(AND(Y706=""),"",ROUND(G711*Master!C$4%,0)))</f>
        <v/>
      </c>
      <c r="I711" s="9" t="str">
        <f>IF(AND(G711=""),"",IF(AND(Y706=""),"",ROUND(G711*Master!H$4%,0)))</f>
        <v/>
      </c>
      <c r="J711" s="9" t="str">
        <f t="shared" ref="J711:J712" si="988">IF(AND(C711=""),"",SUM(G711:I711))</f>
        <v/>
      </c>
      <c r="K711" s="9" t="str">
        <f t="shared" ref="K711:K713" si="989">IF(AND(C711=""),"",IF(AND(G711=""),"",C711-G711))</f>
        <v/>
      </c>
      <c r="L711" s="9" t="str">
        <f t="shared" ref="L711:L713" si="990">IF(AND(D711=""),"",IF(AND(H711=""),"",D711-H711))</f>
        <v/>
      </c>
      <c r="M711" s="9" t="str">
        <f t="shared" ref="M711:M712" si="991">IF(AND(E711=""),"",IF(AND(I711=""),"",E711-I711))</f>
        <v/>
      </c>
      <c r="N711" s="9" t="str">
        <f t="shared" ref="N711:N712" si="992">IF(AND(F711=""),"",IF(AND(J711=""),"",F711-J711))</f>
        <v/>
      </c>
      <c r="O711" s="9" t="str">
        <f>IF(AND(C711=""),"",N711-P711)</f>
        <v/>
      </c>
      <c r="P711" s="9" t="str">
        <f>IF(AND(Y706=""),"",IF(AND(N711=""),"",ROUND(N711*AA$1%,0)))</f>
        <v/>
      </c>
      <c r="Q711" s="9" t="str">
        <f>IF(AND(Y706=""),"",IF(AND(C711=""),"",IF(AND(O711=""),"",SUM(O711,P711))))</f>
        <v/>
      </c>
      <c r="R711" s="9" t="str">
        <f>IF(AND(N711=""),"",IF(AND(Q711=""),"",N711-Q711))</f>
        <v/>
      </c>
      <c r="S711" s="20"/>
    </row>
    <row r="712" spans="1:25" ht="21" customHeight="1">
      <c r="A712" s="8">
        <v>2</v>
      </c>
      <c r="B712" s="23" t="str">
        <f>IFERROR(DATE(YEAR(B711),MONTH(B711)+1,DAY(B711)),"")</f>
        <v/>
      </c>
      <c r="C712" s="9" t="str">
        <f>IF(AND(Y706=""),"",C711)</f>
        <v/>
      </c>
      <c r="D712" s="9" t="str">
        <f>IF(AND(C712=""),"",IF(AND(Y706=""),"",ROUND(C712*Master!C$5%,0)))</f>
        <v/>
      </c>
      <c r="E712" s="9" t="str">
        <f>IF(AND(C712=""),"",IF(AND(Y706=""),"",ROUND(C712*Master!H$5%,0)))</f>
        <v/>
      </c>
      <c r="F712" s="9" t="str">
        <f>IF(AND(C712=""),"",SUM(C712:E712))</f>
        <v/>
      </c>
      <c r="G712" s="9" t="str">
        <f>IF(AND(Y706=""),"",G711)</f>
        <v/>
      </c>
      <c r="H712" s="9" t="str">
        <f>IF(AND(G712=""),"",IF(AND(Y706=""),"",ROUND(G712*Master!C$4%,0)))</f>
        <v/>
      </c>
      <c r="I712" s="9" t="str">
        <f>IF(AND(G712=""),"",IF(AND(Y706=""),"",ROUND(G712*Master!H$4%,0)))</f>
        <v/>
      </c>
      <c r="J712" s="9" t="str">
        <f t="shared" si="988"/>
        <v/>
      </c>
      <c r="K712" s="9" t="str">
        <f t="shared" si="989"/>
        <v/>
      </c>
      <c r="L712" s="9" t="str">
        <f t="shared" si="990"/>
        <v/>
      </c>
      <c r="M712" s="9" t="str">
        <f t="shared" si="991"/>
        <v/>
      </c>
      <c r="N712" s="9" t="str">
        <f t="shared" si="992"/>
        <v/>
      </c>
      <c r="O712" s="9" t="str">
        <f t="shared" ref="O712:O713" si="993">IF(AND(C712=""),"",N712-P712)</f>
        <v/>
      </c>
      <c r="P712" s="9" t="str">
        <f>IF(AND(Y706=""),"",IF(AND(N712=""),"",ROUND(N712*AA$1%,0)))</f>
        <v/>
      </c>
      <c r="Q712" s="9" t="str">
        <f>IF(AND(Y706=""),"",IF(AND(C712=""),"",IF(AND(O712=""),"",SUM(O712,P712))))</f>
        <v/>
      </c>
      <c r="R712" s="9" t="str">
        <f t="shared" ref="R712:R713" si="994">IF(AND(N712=""),"",IF(AND(Q712=""),"",N712-Q712))</f>
        <v/>
      </c>
      <c r="S712" s="20"/>
    </row>
    <row r="713" spans="1:25" ht="21" customHeight="1">
      <c r="A713" s="8">
        <v>3</v>
      </c>
      <c r="B713" s="23" t="str">
        <f>IFERROR(DATE(YEAR(B712),MONTH(B712)+1,DAY(B712)),"")</f>
        <v/>
      </c>
      <c r="C713" s="9" t="str">
        <f>IF(AND(Y706=""),"",C712)</f>
        <v/>
      </c>
      <c r="D713" s="9" t="str">
        <f>IF(AND(C713=""),"",IF(AND(Y706=""),"",ROUND(C713*Master!C$5%,0)))</f>
        <v/>
      </c>
      <c r="E713" s="9" t="str">
        <f>IF(AND(C713=""),"",IF(AND(Y706=""),"",ROUND(C713*Master!H$5%,0)))</f>
        <v/>
      </c>
      <c r="F713" s="9" t="str">
        <f t="shared" ref="F713" si="995">IF(AND(C713=""),"",SUM(C713:E713))</f>
        <v/>
      </c>
      <c r="G713" s="9" t="str">
        <f>IF(AND(Y706=""),"",G712)</f>
        <v/>
      </c>
      <c r="H713" s="9" t="str">
        <f>IF(AND(G713=""),"",IF(AND(Y706=""),"",ROUND(G713*Master!C$4%,0)))</f>
        <v/>
      </c>
      <c r="I713" s="9" t="str">
        <f>IF(AND(G713=""),"",IF(AND(Y706=""),"",ROUND(G713*Master!H$4%,0)))</f>
        <v/>
      </c>
      <c r="J713" s="9" t="str">
        <f>IF(AND(C713=""),"",SUM(G713:I713))</f>
        <v/>
      </c>
      <c r="K713" s="9" t="str">
        <f t="shared" si="989"/>
        <v/>
      </c>
      <c r="L713" s="9" t="str">
        <f t="shared" si="990"/>
        <v/>
      </c>
      <c r="M713" s="9" t="str">
        <f>IF(AND(E713=""),"",IF(AND(I713=""),"",E713-I713))</f>
        <v/>
      </c>
      <c r="N713" s="9" t="str">
        <f>IF(AND(F713=""),"",IF(AND(J713=""),"",F713-J713))</f>
        <v/>
      </c>
      <c r="O713" s="9" t="str">
        <f t="shared" si="993"/>
        <v/>
      </c>
      <c r="P713" s="9" t="str">
        <f>IF(AND(Y706=""),"",IF(AND(N713=""),"",ROUND(N713*AA$1%,0)))</f>
        <v/>
      </c>
      <c r="Q713" s="9" t="str">
        <f>IF(AND(Y706=""),"",IF(AND(C713=""),"",IF(AND(O713=""),"",SUM(O713,P713))))</f>
        <v/>
      </c>
      <c r="R713" s="9" t="str">
        <f t="shared" si="994"/>
        <v/>
      </c>
      <c r="S713" s="20"/>
    </row>
    <row r="714" spans="1:25" ht="21" customHeight="1">
      <c r="A714" s="8">
        <v>4</v>
      </c>
      <c r="B714" s="23" t="str">
        <f>IFERROR(DATE(YEAR(B713),MONTH(B713)+1,DAY(B713)),"")</f>
        <v/>
      </c>
      <c r="C714" s="9" t="str">
        <f>IF(AND(Y707=""),"",C713)</f>
        <v/>
      </c>
      <c r="D714" s="9" t="str">
        <f>IF(AND(C714=""),"",IF(AND(Y707=""),"",ROUND(C714*Master!C$5%,0)))</f>
        <v/>
      </c>
      <c r="E714" s="9" t="str">
        <f>IF(AND(C714=""),"",IF(AND(Y707=""),"",ROUND(C714*Master!H$5%,0)))</f>
        <v/>
      </c>
      <c r="F714" s="9" t="str">
        <f t="shared" ref="F714" si="996">IF(AND(C714=""),"",SUM(C714:E714))</f>
        <v/>
      </c>
      <c r="G714" s="9" t="str">
        <f>IF(AND(Y707=""),"",G713)</f>
        <v/>
      </c>
      <c r="H714" s="9" t="str">
        <f>IF(AND(G714=""),"",IF(AND(Y707=""),"",ROUND(G714*Master!C$4%,0)))</f>
        <v/>
      </c>
      <c r="I714" s="9" t="str">
        <f>IF(AND(G714=""),"",IF(AND(Y707=""),"",ROUND(G714*Master!H$4%,0)))</f>
        <v/>
      </c>
      <c r="J714" s="9" t="str">
        <f>IF(AND(C714=""),"",SUM(G714:I714))</f>
        <v/>
      </c>
      <c r="K714" s="9" t="str">
        <f t="shared" ref="K714" si="997">IF(AND(C714=""),"",IF(AND(G714=""),"",C714-G714))</f>
        <v/>
      </c>
      <c r="L714" s="9" t="str">
        <f t="shared" ref="L714" si="998">IF(AND(D714=""),"",IF(AND(H714=""),"",D714-H714))</f>
        <v/>
      </c>
      <c r="M714" s="9" t="str">
        <f>IF(AND(E714=""),"",IF(AND(I714=""),"",E714-I714))</f>
        <v/>
      </c>
      <c r="N714" s="9" t="str">
        <f>IF(AND(F714=""),"",IF(AND(J714=""),"",F714-J714))</f>
        <v/>
      </c>
      <c r="O714" s="9" t="str">
        <f t="shared" ref="O714" si="999">IF(AND(C714=""),"",N714-P714)</f>
        <v/>
      </c>
      <c r="P714" s="9" t="str">
        <f>IF(AND(Y707=""),"",IF(AND(N714=""),"",ROUND(N714*AA$1%,0)))</f>
        <v/>
      </c>
      <c r="Q714" s="9" t="str">
        <f>IF(AND(Y707=""),"",IF(AND(C714=""),"",IF(AND(O714=""),"",SUM(O714,P714))))</f>
        <v/>
      </c>
      <c r="R714" s="9" t="str">
        <f t="shared" ref="R714" si="1000">IF(AND(N714=""),"",IF(AND(Q714=""),"",N714-Q714))</f>
        <v/>
      </c>
      <c r="S714" s="20"/>
    </row>
    <row r="715" spans="1:25" ht="23.25" customHeight="1">
      <c r="A715" s="153" t="s">
        <v>9</v>
      </c>
      <c r="B715" s="154"/>
      <c r="C715" s="63">
        <f>IF(AND($Y$706=""),"",SUM(C711:C714))</f>
        <v>0</v>
      </c>
      <c r="D715" s="63">
        <f t="shared" ref="D715:R715" si="1001">IF(AND($Y$706=""),"",SUM(D711:D714))</f>
        <v>0</v>
      </c>
      <c r="E715" s="63">
        <f t="shared" si="1001"/>
        <v>0</v>
      </c>
      <c r="F715" s="63">
        <f t="shared" si="1001"/>
        <v>0</v>
      </c>
      <c r="G715" s="63">
        <f t="shared" si="1001"/>
        <v>0</v>
      </c>
      <c r="H715" s="63">
        <f t="shared" si="1001"/>
        <v>0</v>
      </c>
      <c r="I715" s="63">
        <f t="shared" si="1001"/>
        <v>0</v>
      </c>
      <c r="J715" s="63">
        <f t="shared" si="1001"/>
        <v>0</v>
      </c>
      <c r="K715" s="63">
        <f t="shared" si="1001"/>
        <v>0</v>
      </c>
      <c r="L715" s="63">
        <f t="shared" si="1001"/>
        <v>0</v>
      </c>
      <c r="M715" s="63">
        <f t="shared" si="1001"/>
        <v>0</v>
      </c>
      <c r="N715" s="63">
        <f t="shared" si="1001"/>
        <v>0</v>
      </c>
      <c r="O715" s="63">
        <f t="shared" si="1001"/>
        <v>0</v>
      </c>
      <c r="P715" s="63">
        <f t="shared" si="1001"/>
        <v>0</v>
      </c>
      <c r="Q715" s="63">
        <f t="shared" si="1001"/>
        <v>0</v>
      </c>
      <c r="R715" s="63">
        <f t="shared" si="1001"/>
        <v>0</v>
      </c>
      <c r="S715" s="49"/>
    </row>
    <row r="716" spans="1:25" ht="10.5" customHeight="1">
      <c r="A716" s="73"/>
      <c r="B716" s="73"/>
      <c r="C716" s="74"/>
      <c r="D716" s="74"/>
      <c r="E716" s="74"/>
      <c r="F716" s="74"/>
      <c r="G716" s="74"/>
      <c r="H716" s="74"/>
      <c r="I716" s="74"/>
      <c r="J716" s="74"/>
      <c r="K716" s="74"/>
      <c r="L716" s="74"/>
      <c r="M716" s="74"/>
      <c r="N716" s="74"/>
      <c r="O716" s="74"/>
      <c r="P716" s="74"/>
      <c r="Q716" s="74"/>
      <c r="R716" s="74"/>
      <c r="S716" s="75"/>
    </row>
    <row r="717" spans="1:25" ht="23.25" customHeight="1">
      <c r="E717" s="133" t="s">
        <v>10</v>
      </c>
      <c r="F717" s="133"/>
      <c r="G717" s="133"/>
      <c r="H717" s="133"/>
      <c r="I717" s="133"/>
      <c r="J717" s="132" t="str">
        <f>IF(ISNA(VLOOKUP(Y719,Master!A$8:N$127,2,FALSE)),"",VLOOKUP(Y719,Master!A$8:AH$127,2,FALSE))</f>
        <v/>
      </c>
      <c r="K717" s="132"/>
      <c r="L717" s="132"/>
      <c r="M717" s="132"/>
      <c r="N717" s="132"/>
      <c r="O717" s="60" t="s">
        <v>31</v>
      </c>
      <c r="P717" s="132" t="str">
        <f>IF(ISNA(VLOOKUP(Y719,Master!A$8:N$127,3,FALSE)),"",VLOOKUP(Y719,Master!A$8:AH$127,3,FALSE))</f>
        <v/>
      </c>
      <c r="Q717" s="132"/>
      <c r="R717" s="132"/>
      <c r="S717" s="132"/>
    </row>
    <row r="718" spans="1:25" ht="9" customHeight="1">
      <c r="E718" s="19"/>
      <c r="F718" s="52"/>
      <c r="G718" s="22"/>
      <c r="H718" s="22"/>
      <c r="I718" s="22"/>
      <c r="J718" s="5"/>
      <c r="K718" s="5"/>
      <c r="L718" s="5"/>
      <c r="M718" s="5"/>
      <c r="N718" s="5"/>
      <c r="O718" s="6"/>
      <c r="P718" s="6"/>
    </row>
    <row r="719" spans="1:25" ht="21" customHeight="1">
      <c r="A719" s="8">
        <v>1</v>
      </c>
      <c r="B719" s="23" t="str">
        <f>IFERROR(IF(ISNA(VLOOKUP(Y719,Master!A$8:N$127,8,FALSE)),"",VLOOKUP($Y719,Master!A$8:AH$127,8,FALSE)),"")</f>
        <v/>
      </c>
      <c r="C719" s="9" t="str">
        <f>IF(ISNA(VLOOKUP(Y719,Master!A$8:N$127,5,FALSE)),"",VLOOKUP(Y719,Master!A$8:AH$127,5,FALSE))</f>
        <v/>
      </c>
      <c r="D719" s="9" t="str">
        <f>IF(AND(C719=""),"",IF(AND(Y719=""),"",ROUND(C719*Master!C$5%,0)))</f>
        <v/>
      </c>
      <c r="E719" s="9" t="str">
        <f>IF(AND(C719=""),"",IF(AND(Y719=""),"",ROUND(C719*Master!H$5%,0)))</f>
        <v/>
      </c>
      <c r="F719" s="9" t="str">
        <f t="shared" ref="F719:F721" si="1002">IF(AND(C719=""),"",SUM(C719:E719))</f>
        <v/>
      </c>
      <c r="G719" s="9" t="str">
        <f>IF(ISNA(VLOOKUP(Y719,Master!A$8:N$127,5,FALSE)),"",VLOOKUP(Y719,Master!A$8:AH$127,5,FALSE))</f>
        <v/>
      </c>
      <c r="H719" s="9" t="str">
        <f>IF(AND(G719=""),"",IF(AND(Y719=""),"",ROUND(G719*Master!C$4%,0)))</f>
        <v/>
      </c>
      <c r="I719" s="9" t="str">
        <f>IF(AND(G719=""),"",IF(AND(Y719=""),"",ROUND(G719*Master!H$4%,0)))</f>
        <v/>
      </c>
      <c r="J719" s="9" t="str">
        <f t="shared" ref="J719:J721" si="1003">IF(AND(C719=""),"",SUM(G719:I719))</f>
        <v/>
      </c>
      <c r="K719" s="9" t="str">
        <f t="shared" ref="K719" si="1004">IF(AND(C719=""),"",IF(AND(G719=""),"",C719-G719))</f>
        <v/>
      </c>
      <c r="L719" s="9" t="str">
        <f>IF(AND(D719=""),"",IF(AND(H719=""),"",D719-H719))</f>
        <v/>
      </c>
      <c r="M719" s="9" t="str">
        <f t="shared" ref="M719:M721" si="1005">IF(AND(E719=""),"",IF(AND(I719=""),"",E719-I719))</f>
        <v/>
      </c>
      <c r="N719" s="9" t="str">
        <f t="shared" ref="N719:N721" si="1006">IF(AND(F719=""),"",IF(AND(J719=""),"",F719-J719))</f>
        <v/>
      </c>
      <c r="O719" s="9" t="str">
        <f>IF(AND(C719=""),"",N719-P719)</f>
        <v/>
      </c>
      <c r="P719" s="9" t="str">
        <f>IF(AND(Y719=""),"",IF(AND(N719=""),"",ROUND(N719*X$17%,0)))</f>
        <v/>
      </c>
      <c r="Q719" s="9" t="str">
        <f>IF(AND(Y719=""),"",IF(AND(C719=""),"",IF(AND(O719=""),"",SUM(O719,P719))))</f>
        <v/>
      </c>
      <c r="R719" s="9" t="str">
        <f>IF(AND(N719=""),"",IF(AND(Q719=""),"",N719-Q719))</f>
        <v/>
      </c>
      <c r="S719" s="20"/>
      <c r="X719" s="61" t="s">
        <v>49</v>
      </c>
      <c r="Y719" s="64">
        <v>59</v>
      </c>
    </row>
    <row r="720" spans="1:25" ht="21" customHeight="1">
      <c r="A720" s="8">
        <v>2</v>
      </c>
      <c r="B720" s="23" t="str">
        <f>IFERROR(DATE(YEAR(B719),MONTH(B719)+1,DAY(B719)),"")</f>
        <v/>
      </c>
      <c r="C720" s="9" t="str">
        <f>IF(AND(Y719=""),"",C719)</f>
        <v/>
      </c>
      <c r="D720" s="9" t="str">
        <f>IF(AND(C720=""),"",IF(AND(Y719=""),"",ROUND(C720*Master!C$5%,0)))</f>
        <v/>
      </c>
      <c r="E720" s="9" t="str">
        <f>IF(AND(C720=""),"",IF(AND(Y719=""),"",ROUND(C720*Master!H$5%,0)))</f>
        <v/>
      </c>
      <c r="F720" s="9" t="str">
        <f t="shared" si="1002"/>
        <v/>
      </c>
      <c r="G720" s="9" t="str">
        <f>IF(AND(Y719=""),"",G719)</f>
        <v/>
      </c>
      <c r="H720" s="9" t="str">
        <f>IF(AND(G720=""),"",IF(AND(Y719=""),"",ROUND(G720*Master!C$4%,0)))</f>
        <v/>
      </c>
      <c r="I720" s="9" t="str">
        <f>IF(AND(G720=""),"",IF(AND(Y719=""),"",ROUND(G720*Master!H$4%,0)))</f>
        <v/>
      </c>
      <c r="J720" s="9" t="str">
        <f t="shared" si="1003"/>
        <v/>
      </c>
      <c r="K720" s="9" t="str">
        <f>IF(AND(C720=""),"",IF(AND(G720=""),"",C720-G720))</f>
        <v/>
      </c>
      <c r="L720" s="9" t="str">
        <f t="shared" ref="L720:L721" si="1007">IF(AND(D720=""),"",IF(AND(H720=""),"",D720-H720))</f>
        <v/>
      </c>
      <c r="M720" s="9" t="str">
        <f t="shared" si="1005"/>
        <v/>
      </c>
      <c r="N720" s="9" t="str">
        <f t="shared" si="1006"/>
        <v/>
      </c>
      <c r="O720" s="9" t="str">
        <f t="shared" ref="O720:O721" si="1008">IF(AND(C720=""),"",N720-P720)</f>
        <v/>
      </c>
      <c r="P720" s="9" t="str">
        <f>IF(AND(Y719=""),"",IF(AND(N720=""),"",ROUND(N720*X$17%,0)))</f>
        <v/>
      </c>
      <c r="Q720" s="9" t="str">
        <f>IF(AND(Y719=""),"",IF(AND(C720=""),"",IF(AND(O720=""),"",SUM(O720,P720))))</f>
        <v/>
      </c>
      <c r="R720" s="9" t="str">
        <f t="shared" ref="R720:R721" si="1009">IF(AND(N720=""),"",IF(AND(Q720=""),"",N720-Q720))</f>
        <v/>
      </c>
      <c r="S720" s="20"/>
      <c r="X720" s="4" t="str">
        <f>IF(ISNA(VLOOKUP(Y719,Master!A$8:N$127,7,FALSE)),"",VLOOKUP(Y719,Master!A$8:AH$127,7,FALSE))</f>
        <v/>
      </c>
    </row>
    <row r="721" spans="1:25" ht="21" customHeight="1">
      <c r="A721" s="8">
        <v>3</v>
      </c>
      <c r="B721" s="23" t="str">
        <f>IFERROR(DATE(YEAR(B720),MONTH(B720)+1,DAY(B720)),"")</f>
        <v/>
      </c>
      <c r="C721" s="9" t="str">
        <f>IF(AND(Y719=""),"",C720)</f>
        <v/>
      </c>
      <c r="D721" s="9" t="str">
        <f>IF(AND(C721=""),"",IF(AND(Y719=""),"",ROUND(C721*Master!C$5%,0)))</f>
        <v/>
      </c>
      <c r="E721" s="9" t="str">
        <f>IF(AND(C721=""),"",IF(AND(Y719=""),"",ROUND(C721*Master!H$5%,0)))</f>
        <v/>
      </c>
      <c r="F721" s="9" t="str">
        <f t="shared" si="1002"/>
        <v/>
      </c>
      <c r="G721" s="9" t="str">
        <f>IF(AND(Y719=""),"",G720)</f>
        <v/>
      </c>
      <c r="H721" s="9" t="str">
        <f>IF(AND(G721=""),"",IF(AND(Y719=""),"",ROUND(G721*Master!C$4%,0)))</f>
        <v/>
      </c>
      <c r="I721" s="9" t="str">
        <f>IF(AND(G721=""),"",IF(AND(Y719=""),"",ROUND(G721*Master!H$4%,0)))</f>
        <v/>
      </c>
      <c r="J721" s="9" t="str">
        <f t="shared" si="1003"/>
        <v/>
      </c>
      <c r="K721" s="9" t="str">
        <f t="shared" ref="K721" si="1010">IF(AND(C721=""),"",IF(AND(G721=""),"",C721-G721))</f>
        <v/>
      </c>
      <c r="L721" s="9" t="str">
        <f t="shared" si="1007"/>
        <v/>
      </c>
      <c r="M721" s="9" t="str">
        <f t="shared" si="1005"/>
        <v/>
      </c>
      <c r="N721" s="9" t="str">
        <f t="shared" si="1006"/>
        <v/>
      </c>
      <c r="O721" s="9" t="str">
        <f t="shared" si="1008"/>
        <v/>
      </c>
      <c r="P721" s="9" t="str">
        <f>IF(AND(Y719=""),"",IF(AND(N721=""),"",ROUND(N721*X$17%,0)))</f>
        <v/>
      </c>
      <c r="Q721" s="9" t="str">
        <f>IF(AND(Y719=""),"",IF(AND(C721=""),"",IF(AND(O721=""),"",SUM(O721,P721))))</f>
        <v/>
      </c>
      <c r="R721" s="9" t="str">
        <f t="shared" si="1009"/>
        <v/>
      </c>
      <c r="S721" s="20"/>
    </row>
    <row r="722" spans="1:25" ht="21" customHeight="1">
      <c r="A722" s="8">
        <v>4</v>
      </c>
      <c r="B722" s="23" t="str">
        <f>IFERROR(DATE(YEAR(B721),MONTH(B721)+1,DAY(B721)),"")</f>
        <v/>
      </c>
      <c r="C722" s="9" t="str">
        <f>IF(AND(Y720=""),"",C721)</f>
        <v/>
      </c>
      <c r="D722" s="9" t="str">
        <f>IF(AND(C722=""),"",IF(AND(Y720=""),"",ROUND(C722*Master!C$5%,0)))</f>
        <v/>
      </c>
      <c r="E722" s="9" t="str">
        <f>IF(AND(C722=""),"",IF(AND(Y720=""),"",ROUND(C722*Master!H$5%,0)))</f>
        <v/>
      </c>
      <c r="F722" s="9" t="str">
        <f t="shared" ref="F722" si="1011">IF(AND(C722=""),"",SUM(C722:E722))</f>
        <v/>
      </c>
      <c r="G722" s="9" t="str">
        <f>IF(AND(Y720=""),"",G721)</f>
        <v/>
      </c>
      <c r="H722" s="9" t="str">
        <f>IF(AND(G722=""),"",IF(AND(Y720=""),"",ROUND(G722*Master!C$4%,0)))</f>
        <v/>
      </c>
      <c r="I722" s="9" t="str">
        <f>IF(AND(G722=""),"",IF(AND(Y720=""),"",ROUND(G722*Master!H$4%,0)))</f>
        <v/>
      </c>
      <c r="J722" s="9" t="str">
        <f t="shared" ref="J722" si="1012">IF(AND(C722=""),"",SUM(G722:I722))</f>
        <v/>
      </c>
      <c r="K722" s="9" t="str">
        <f t="shared" ref="K722" si="1013">IF(AND(C722=""),"",IF(AND(G722=""),"",C722-G722))</f>
        <v/>
      </c>
      <c r="L722" s="9" t="str">
        <f t="shared" ref="L722" si="1014">IF(AND(D722=""),"",IF(AND(H722=""),"",D722-H722))</f>
        <v/>
      </c>
      <c r="M722" s="9" t="str">
        <f t="shared" ref="M722" si="1015">IF(AND(E722=""),"",IF(AND(I722=""),"",E722-I722))</f>
        <v/>
      </c>
      <c r="N722" s="9" t="str">
        <f t="shared" ref="N722" si="1016">IF(AND(F722=""),"",IF(AND(J722=""),"",F722-J722))</f>
        <v/>
      </c>
      <c r="O722" s="9" t="str">
        <f t="shared" ref="O722" si="1017">IF(AND(C722=""),"",N722-P722)</f>
        <v/>
      </c>
      <c r="P722" s="9" t="str">
        <f>IF(AND(Y720=""),"",IF(AND(N722=""),"",ROUND(N722*X$17%,0)))</f>
        <v/>
      </c>
      <c r="Q722" s="9" t="str">
        <f>IF(AND(Y720=""),"",IF(AND(C722=""),"",IF(AND(O722=""),"",SUM(O722,P722))))</f>
        <v/>
      </c>
      <c r="R722" s="9" t="str">
        <f t="shared" ref="R722" si="1018">IF(AND(N722=""),"",IF(AND(Q722=""),"",N722-Q722))</f>
        <v/>
      </c>
      <c r="S722" s="20"/>
    </row>
    <row r="723" spans="1:25" ht="30.75" customHeight="1">
      <c r="A723" s="153" t="s">
        <v>9</v>
      </c>
      <c r="B723" s="154"/>
      <c r="C723" s="63">
        <f>IF(AND($Y$719=""),"",SUM(C719:C722))</f>
        <v>0</v>
      </c>
      <c r="D723" s="63">
        <f t="shared" ref="D723:R723" si="1019">IF(AND($Y$719=""),"",SUM(D719:D722))</f>
        <v>0</v>
      </c>
      <c r="E723" s="63">
        <f t="shared" si="1019"/>
        <v>0</v>
      </c>
      <c r="F723" s="63">
        <f t="shared" si="1019"/>
        <v>0</v>
      </c>
      <c r="G723" s="63">
        <f t="shared" si="1019"/>
        <v>0</v>
      </c>
      <c r="H723" s="63">
        <f t="shared" si="1019"/>
        <v>0</v>
      </c>
      <c r="I723" s="63">
        <f t="shared" si="1019"/>
        <v>0</v>
      </c>
      <c r="J723" s="63">
        <f t="shared" si="1019"/>
        <v>0</v>
      </c>
      <c r="K723" s="63">
        <f t="shared" si="1019"/>
        <v>0</v>
      </c>
      <c r="L723" s="63">
        <f t="shared" si="1019"/>
        <v>0</v>
      </c>
      <c r="M723" s="63">
        <f t="shared" si="1019"/>
        <v>0</v>
      </c>
      <c r="N723" s="63">
        <f t="shared" si="1019"/>
        <v>0</v>
      </c>
      <c r="O723" s="63">
        <f t="shared" si="1019"/>
        <v>0</v>
      </c>
      <c r="P723" s="63">
        <f t="shared" si="1019"/>
        <v>0</v>
      </c>
      <c r="Q723" s="63">
        <f t="shared" si="1019"/>
        <v>0</v>
      </c>
      <c r="R723" s="63">
        <f t="shared" si="1019"/>
        <v>0</v>
      </c>
      <c r="S723" s="49"/>
    </row>
    <row r="724" spans="1:25" ht="11.25" customHeight="1">
      <c r="A724" s="73"/>
      <c r="B724" s="73"/>
      <c r="C724" s="74"/>
      <c r="D724" s="74"/>
      <c r="E724" s="74"/>
      <c r="F724" s="74"/>
      <c r="G724" s="74"/>
      <c r="H724" s="74"/>
      <c r="I724" s="74"/>
      <c r="J724" s="74"/>
      <c r="K724" s="74"/>
      <c r="L724" s="74"/>
      <c r="M724" s="74"/>
      <c r="N724" s="74"/>
      <c r="O724" s="74"/>
      <c r="P724" s="74"/>
      <c r="Q724" s="74"/>
      <c r="R724" s="74"/>
      <c r="S724" s="75"/>
    </row>
    <row r="725" spans="1:25" ht="23.25" customHeight="1">
      <c r="E725" s="133" t="s">
        <v>10</v>
      </c>
      <c r="F725" s="133"/>
      <c r="G725" s="133"/>
      <c r="H725" s="133"/>
      <c r="I725" s="133"/>
      <c r="J725" s="132" t="str">
        <f>IF(ISNA(VLOOKUP(Y727,Master!A$8:N$127,2,FALSE)),"",VLOOKUP(Y727,Master!A$8:AH$127,2,FALSE))</f>
        <v/>
      </c>
      <c r="K725" s="132"/>
      <c r="L725" s="132"/>
      <c r="M725" s="132"/>
      <c r="N725" s="132"/>
      <c r="O725" s="60" t="s">
        <v>31</v>
      </c>
      <c r="P725" s="132" t="str">
        <f>IF(ISNA(VLOOKUP($Y$431,Master!A$8:N$127,3,FALSE)),"",VLOOKUP($Y$431,Master!A$8:AH$127,3,FALSE))</f>
        <v/>
      </c>
      <c r="Q725" s="132"/>
      <c r="R725" s="132"/>
      <c r="S725" s="132"/>
    </row>
    <row r="726" spans="1:25" ht="9" customHeight="1">
      <c r="E726" s="19"/>
      <c r="F726" s="52"/>
      <c r="G726" s="22"/>
      <c r="H726" s="22"/>
      <c r="I726" s="22"/>
      <c r="J726" s="5"/>
      <c r="K726" s="5"/>
      <c r="L726" s="5"/>
      <c r="M726" s="5"/>
      <c r="N726" s="5"/>
      <c r="O726" s="6"/>
      <c r="P726" s="6"/>
    </row>
    <row r="727" spans="1:25" ht="21" customHeight="1">
      <c r="A727" s="8">
        <v>1</v>
      </c>
      <c r="B727" s="23" t="str">
        <f>IFERROR(IF(ISNA(VLOOKUP(Y727,Master!A$8:N$127,8,FALSE)),"",VLOOKUP($Y727,Master!A$8:AH$127,8,FALSE)),"")</f>
        <v/>
      </c>
      <c r="C727" s="9" t="str">
        <f>IF(ISNA(VLOOKUP(Y727,Master!A$8:N$127,5,FALSE)),"",VLOOKUP(Y727,Master!A$8:AH$127,5,FALSE))</f>
        <v/>
      </c>
      <c r="D727" s="9" t="str">
        <f>IF(AND(C727=""),"",IF(AND(Y727=""),"",ROUND(C727*Master!C$5%,0)))</f>
        <v/>
      </c>
      <c r="E727" s="9" t="str">
        <f>IF(AND(C727=""),"",IF(AND(Y727=""),"",ROUND(C727*Master!H$5%,0)))</f>
        <v/>
      </c>
      <c r="F727" s="9" t="str">
        <f t="shared" ref="F727:F729" si="1020">IF(AND(C727=""),"",SUM(C727:E727))</f>
        <v/>
      </c>
      <c r="G727" s="9" t="str">
        <f>IF(ISNA(VLOOKUP(Y727,Master!A$8:N$127,5,FALSE)),"",VLOOKUP(Y727,Master!A$8:AH$127,5,FALSE))</f>
        <v/>
      </c>
      <c r="H727" s="9" t="str">
        <f>IF(AND(G727=""),"",IF(AND(Y727=""),"",ROUND(G727*Master!C$4%,0)))</f>
        <v/>
      </c>
      <c r="I727" s="9" t="str">
        <f>IF(AND(G727=""),"",IF(AND(Y727=""),"",ROUND(G727*Master!H$4%,0)))</f>
        <v/>
      </c>
      <c r="J727" s="9" t="str">
        <f t="shared" ref="J727:J729" si="1021">IF(AND(C727=""),"",SUM(G727:I727))</f>
        <v/>
      </c>
      <c r="K727" s="9" t="str">
        <f t="shared" ref="K727:K729" si="1022">IF(AND(C727=""),"",IF(AND(G727=""),"",C727-G727))</f>
        <v/>
      </c>
      <c r="L727" s="9" t="str">
        <f t="shared" ref="L727:L729" si="1023">IF(AND(D727=""),"",IF(AND(H727=""),"",D727-H727))</f>
        <v/>
      </c>
      <c r="M727" s="9" t="str">
        <f t="shared" ref="M727:M729" si="1024">IF(AND(E727=""),"",IF(AND(I727=""),"",E727-I727))</f>
        <v/>
      </c>
      <c r="N727" s="9" t="str">
        <f t="shared" ref="N727:N729" si="1025">IF(AND(F727=""),"",IF(AND(J727=""),"",F727-J727))</f>
        <v/>
      </c>
      <c r="O727" s="9" t="str">
        <f>IF(AND(C727=""),"",N727-P727)</f>
        <v/>
      </c>
      <c r="P727" s="9" t="str">
        <f>IF(AND(Y727=""),"",IF(AND(N727=""),"",ROUND(N727*AA$1%,0)))</f>
        <v/>
      </c>
      <c r="Q727" s="9" t="str">
        <f>IF(AND(Y727=""),"",IF(AND(C727=""),"",IF(AND(O727=""),"",SUM(O727,P727))))</f>
        <v/>
      </c>
      <c r="R727" s="9" t="str">
        <f>IF(AND(N727=""),"",IF(AND(Q727=""),"",N727-Q727))</f>
        <v/>
      </c>
      <c r="S727" s="20"/>
      <c r="X727" s="61" t="s">
        <v>49</v>
      </c>
      <c r="Y727" s="64">
        <v>60</v>
      </c>
    </row>
    <row r="728" spans="1:25" ht="21" customHeight="1">
      <c r="A728" s="8">
        <v>2</v>
      </c>
      <c r="B728" s="23" t="str">
        <f>IFERROR(DATE(YEAR(B727),MONTH(B727)+1,DAY(B727)),"")</f>
        <v/>
      </c>
      <c r="C728" s="9" t="str">
        <f>IF(AND(Y727=""),"",C727)</f>
        <v/>
      </c>
      <c r="D728" s="9" t="str">
        <f>IF(AND(C728=""),"",IF(AND(Y727=""),"",ROUND(C728*Master!C$5%,0)))</f>
        <v/>
      </c>
      <c r="E728" s="9" t="str">
        <f>IF(AND(C728=""),"",IF(AND(Y727=""),"",ROUND(C728*Master!H$5%,0)))</f>
        <v/>
      </c>
      <c r="F728" s="9" t="str">
        <f t="shared" si="1020"/>
        <v/>
      </c>
      <c r="G728" s="9" t="str">
        <f>IF(AND(Y727=""),"",G727)</f>
        <v/>
      </c>
      <c r="H728" s="9" t="str">
        <f>IF(AND(G728=""),"",IF(AND(Y727=""),"",ROUND(G728*Master!C$4%,0)))</f>
        <v/>
      </c>
      <c r="I728" s="9" t="str">
        <f>IF(AND(G728=""),"",IF(AND(Y727=""),"",ROUND(G728*Master!H$4%,0)))</f>
        <v/>
      </c>
      <c r="J728" s="9" t="str">
        <f t="shared" si="1021"/>
        <v/>
      </c>
      <c r="K728" s="9" t="str">
        <f t="shared" si="1022"/>
        <v/>
      </c>
      <c r="L728" s="9" t="str">
        <f t="shared" si="1023"/>
        <v/>
      </c>
      <c r="M728" s="9" t="str">
        <f t="shared" si="1024"/>
        <v/>
      </c>
      <c r="N728" s="9" t="str">
        <f t="shared" si="1025"/>
        <v/>
      </c>
      <c r="O728" s="9" t="str">
        <f t="shared" ref="O728:O729" si="1026">IF(AND(C728=""),"",N728-P728)</f>
        <v/>
      </c>
      <c r="P728" s="9" t="str">
        <f>IF(AND(Y727=""),"",IF(AND(N728=""),"",ROUND(N728*AA$1%,0)))</f>
        <v/>
      </c>
      <c r="Q728" s="9" t="str">
        <f>IF(AND(Y727=""),"",IF(AND(C728=""),"",IF(AND(O728=""),"",SUM(O728,P728))))</f>
        <v/>
      </c>
      <c r="R728" s="9" t="str">
        <f t="shared" ref="R728:R729" si="1027">IF(AND(N728=""),"",IF(AND(Q728=""),"",N728-Q728))</f>
        <v/>
      </c>
      <c r="S728" s="20"/>
      <c r="X728" s="4" t="str">
        <f>IF(ISNA(VLOOKUP(Y727,Master!A$8:N$127,7,FALSE)),"",VLOOKUP(Y727,Master!A$8:AH$127,7,FALSE))</f>
        <v/>
      </c>
    </row>
    <row r="729" spans="1:25" ht="21" customHeight="1">
      <c r="A729" s="8">
        <v>3</v>
      </c>
      <c r="B729" s="23" t="str">
        <f>IFERROR(DATE(YEAR(B728),MONTH(B728)+1,DAY(B728)),"")</f>
        <v/>
      </c>
      <c r="C729" s="9" t="str">
        <f>IF(AND(Y727=""),"",C728)</f>
        <v/>
      </c>
      <c r="D729" s="9" t="str">
        <f>IF(AND(C729=""),"",IF(AND(Y727=""),"",ROUND(C729*Master!C$5%,0)))</f>
        <v/>
      </c>
      <c r="E729" s="9" t="str">
        <f>IF(AND(C729=""),"",IF(AND(Y727=""),"",ROUND(C729*Master!H$5%,0)))</f>
        <v/>
      </c>
      <c r="F729" s="9" t="str">
        <f t="shared" si="1020"/>
        <v/>
      </c>
      <c r="G729" s="9" t="str">
        <f>IF(AND(Y727=""),"",G728)</f>
        <v/>
      </c>
      <c r="H729" s="9" t="str">
        <f>IF(AND(G729=""),"",IF(AND(Y727=""),"",ROUND(G729*Master!C$4%,0)))</f>
        <v/>
      </c>
      <c r="I729" s="9" t="str">
        <f>IF(AND(G729=""),"",IF(AND(Y727=""),"",ROUND(G729*Master!H$4%,0)))</f>
        <v/>
      </c>
      <c r="J729" s="9" t="str">
        <f t="shared" si="1021"/>
        <v/>
      </c>
      <c r="K729" s="9" t="str">
        <f t="shared" si="1022"/>
        <v/>
      </c>
      <c r="L729" s="9" t="str">
        <f t="shared" si="1023"/>
        <v/>
      </c>
      <c r="M729" s="9" t="str">
        <f t="shared" si="1024"/>
        <v/>
      </c>
      <c r="N729" s="9" t="str">
        <f t="shared" si="1025"/>
        <v/>
      </c>
      <c r="O729" s="9" t="str">
        <f t="shared" si="1026"/>
        <v/>
      </c>
      <c r="P729" s="9" t="str">
        <f>IF(AND(Y727=""),"",IF(AND(N729=""),"",ROUND(N729*AA$1%,0)))</f>
        <v/>
      </c>
      <c r="Q729" s="9" t="str">
        <f>IF(AND(Y727=""),"",IF(AND(C729=""),"",IF(AND(O729=""),"",SUM(O729,P729))))</f>
        <v/>
      </c>
      <c r="R729" s="9" t="str">
        <f t="shared" si="1027"/>
        <v/>
      </c>
      <c r="S729" s="20"/>
    </row>
    <row r="730" spans="1:25" ht="21" customHeight="1">
      <c r="A730" s="8">
        <v>4</v>
      </c>
      <c r="B730" s="23" t="str">
        <f>IFERROR(DATE(YEAR(B729),MONTH(B729)+1,DAY(B729)),"")</f>
        <v/>
      </c>
      <c r="C730" s="9" t="str">
        <f>IF(AND(Y728=""),"",C729)</f>
        <v/>
      </c>
      <c r="D730" s="9" t="str">
        <f>IF(AND(C730=""),"",IF(AND(Y728=""),"",ROUND(C730*Master!C$5%,0)))</f>
        <v/>
      </c>
      <c r="E730" s="9" t="str">
        <f>IF(AND(C730=""),"",IF(AND(Y728=""),"",ROUND(C730*Master!H$5%,0)))</f>
        <v/>
      </c>
      <c r="F730" s="9" t="str">
        <f t="shared" ref="F730" si="1028">IF(AND(C730=""),"",SUM(C730:E730))</f>
        <v/>
      </c>
      <c r="G730" s="9" t="str">
        <f>IF(AND(Y728=""),"",G729)</f>
        <v/>
      </c>
      <c r="H730" s="9" t="str">
        <f>IF(AND(G730=""),"",IF(AND(Y728=""),"",ROUND(G730*Master!C$4%,0)))</f>
        <v/>
      </c>
      <c r="I730" s="9" t="str">
        <f>IF(AND(G730=""),"",IF(AND(Y728=""),"",ROUND(G730*Master!H$4%,0)))</f>
        <v/>
      </c>
      <c r="J730" s="9" t="str">
        <f t="shared" ref="J730" si="1029">IF(AND(C730=""),"",SUM(G730:I730))</f>
        <v/>
      </c>
      <c r="K730" s="9" t="str">
        <f t="shared" ref="K730" si="1030">IF(AND(C730=""),"",IF(AND(G730=""),"",C730-G730))</f>
        <v/>
      </c>
      <c r="L730" s="9" t="str">
        <f t="shared" ref="L730" si="1031">IF(AND(D730=""),"",IF(AND(H730=""),"",D730-H730))</f>
        <v/>
      </c>
      <c r="M730" s="9" t="str">
        <f t="shared" ref="M730" si="1032">IF(AND(E730=""),"",IF(AND(I730=""),"",E730-I730))</f>
        <v/>
      </c>
      <c r="N730" s="9" t="str">
        <f t="shared" ref="N730" si="1033">IF(AND(F730=""),"",IF(AND(J730=""),"",F730-J730))</f>
        <v/>
      </c>
      <c r="O730" s="9" t="str">
        <f t="shared" ref="O730" si="1034">IF(AND(C730=""),"",N730-P730)</f>
        <v/>
      </c>
      <c r="P730" s="9" t="str">
        <f>IF(AND(Y728=""),"",IF(AND(N730=""),"",ROUND(N730*AA$1%,0)))</f>
        <v/>
      </c>
      <c r="Q730" s="9" t="str">
        <f>IF(AND(Y728=""),"",IF(AND(C730=""),"",IF(AND(O730=""),"",SUM(O730,P730))))</f>
        <v/>
      </c>
      <c r="R730" s="9" t="str">
        <f t="shared" ref="R730" si="1035">IF(AND(N730=""),"",IF(AND(Q730=""),"",N730-Q730))</f>
        <v/>
      </c>
      <c r="S730" s="20"/>
    </row>
    <row r="731" spans="1:25" ht="30.75" customHeight="1">
      <c r="A731" s="153" t="s">
        <v>9</v>
      </c>
      <c r="B731" s="154"/>
      <c r="C731" s="63">
        <f>IF(AND($Y$727=""),"",SUM(C727:C730))</f>
        <v>0</v>
      </c>
      <c r="D731" s="63">
        <f t="shared" ref="D731:R731" si="1036">IF(AND($Y$727=""),"",SUM(D727:D730))</f>
        <v>0</v>
      </c>
      <c r="E731" s="63">
        <f t="shared" si="1036"/>
        <v>0</v>
      </c>
      <c r="F731" s="63">
        <f t="shared" si="1036"/>
        <v>0</v>
      </c>
      <c r="G731" s="63">
        <f t="shared" si="1036"/>
        <v>0</v>
      </c>
      <c r="H731" s="63">
        <f t="shared" si="1036"/>
        <v>0</v>
      </c>
      <c r="I731" s="63">
        <f t="shared" si="1036"/>
        <v>0</v>
      </c>
      <c r="J731" s="63">
        <f t="shared" si="1036"/>
        <v>0</v>
      </c>
      <c r="K731" s="63">
        <f t="shared" si="1036"/>
        <v>0</v>
      </c>
      <c r="L731" s="63">
        <f t="shared" si="1036"/>
        <v>0</v>
      </c>
      <c r="M731" s="63">
        <f t="shared" si="1036"/>
        <v>0</v>
      </c>
      <c r="N731" s="63">
        <f t="shared" si="1036"/>
        <v>0</v>
      </c>
      <c r="O731" s="63">
        <f t="shared" si="1036"/>
        <v>0</v>
      </c>
      <c r="P731" s="63">
        <f t="shared" si="1036"/>
        <v>0</v>
      </c>
      <c r="Q731" s="63">
        <f t="shared" si="1036"/>
        <v>0</v>
      </c>
      <c r="R731" s="63">
        <f t="shared" si="1036"/>
        <v>0</v>
      </c>
      <c r="S731" s="49"/>
    </row>
    <row r="732" spans="1:25" ht="30.75" customHeight="1">
      <c r="A732" s="73"/>
      <c r="B732" s="73"/>
      <c r="C732" s="74"/>
      <c r="D732" s="74"/>
      <c r="E732" s="74"/>
      <c r="F732" s="74"/>
      <c r="G732" s="74"/>
      <c r="H732" s="74"/>
      <c r="I732" s="74"/>
      <c r="J732" s="74"/>
      <c r="K732" s="74"/>
      <c r="L732" s="74"/>
      <c r="M732" s="74"/>
      <c r="N732" s="74"/>
      <c r="O732" s="74"/>
      <c r="P732" s="74"/>
      <c r="Q732" s="74"/>
      <c r="R732" s="74"/>
      <c r="S732" s="75"/>
    </row>
    <row r="733" spans="1:25" ht="18.75">
      <c r="A733" s="21"/>
      <c r="B733" s="58"/>
      <c r="C733" s="58"/>
      <c r="D733" s="58"/>
      <c r="E733" s="58"/>
      <c r="F733" s="58"/>
      <c r="G733" s="58"/>
      <c r="H733" s="59"/>
      <c r="I733" s="59"/>
      <c r="J733" s="59"/>
      <c r="K733" s="66"/>
      <c r="L733" s="66"/>
      <c r="M733" s="66"/>
      <c r="N733" s="66"/>
      <c r="O733" s="138" t="s">
        <v>42</v>
      </c>
      <c r="P733" s="138"/>
      <c r="Q733" s="138"/>
      <c r="R733" s="138"/>
      <c r="S733" s="138"/>
    </row>
    <row r="734" spans="1:25" ht="18.75">
      <c r="A734" s="1"/>
      <c r="B734" s="24" t="s">
        <v>19</v>
      </c>
      <c r="C734" s="139"/>
      <c r="D734" s="139"/>
      <c r="E734" s="139"/>
      <c r="F734" s="139"/>
      <c r="G734" s="139"/>
      <c r="H734" s="25"/>
      <c r="I734" s="143" t="s">
        <v>20</v>
      </c>
      <c r="J734" s="143"/>
      <c r="K734" s="141"/>
      <c r="L734" s="141"/>
      <c r="M734" s="141"/>
      <c r="O734" s="138"/>
      <c r="P734" s="138"/>
      <c r="Q734" s="138"/>
      <c r="R734" s="138"/>
      <c r="S734" s="138"/>
    </row>
    <row r="735" spans="1:25" ht="18.75">
      <c r="A735" s="1"/>
      <c r="B735" s="140" t="s">
        <v>21</v>
      </c>
      <c r="C735" s="140"/>
      <c r="D735" s="140"/>
      <c r="E735" s="140"/>
      <c r="F735" s="140"/>
      <c r="G735" s="140"/>
      <c r="H735" s="140"/>
      <c r="I735" s="27"/>
      <c r="J735" s="26"/>
      <c r="K735" s="26"/>
      <c r="L735" s="26"/>
      <c r="M735" s="26"/>
    </row>
    <row r="736" spans="1:25" ht="18.75">
      <c r="A736" s="22">
        <v>1</v>
      </c>
      <c r="B736" s="142" t="s">
        <v>22</v>
      </c>
      <c r="C736" s="142"/>
      <c r="D736" s="142"/>
      <c r="E736" s="142"/>
      <c r="F736" s="142"/>
      <c r="G736" s="142"/>
      <c r="H736" s="142"/>
      <c r="I736" s="28"/>
      <c r="J736" s="26"/>
      <c r="K736" s="26"/>
      <c r="L736" s="26"/>
      <c r="M736" s="26"/>
    </row>
    <row r="737" spans="1:27" ht="18.75">
      <c r="A737" s="2">
        <v>2</v>
      </c>
      <c r="B737" s="142" t="s">
        <v>23</v>
      </c>
      <c r="C737" s="142"/>
      <c r="D737" s="142"/>
      <c r="E737" s="142"/>
      <c r="F737" s="142"/>
      <c r="G737" s="132"/>
      <c r="H737" s="132"/>
      <c r="I737" s="132"/>
      <c r="J737" s="132"/>
      <c r="K737" s="132"/>
      <c r="L737" s="132"/>
      <c r="M737" s="132"/>
    </row>
    <row r="738" spans="1:27" ht="18.75">
      <c r="A738" s="3">
        <v>3</v>
      </c>
      <c r="B738" s="142" t="s">
        <v>24</v>
      </c>
      <c r="C738" s="142"/>
      <c r="D738" s="142"/>
      <c r="E738" s="29"/>
      <c r="F738" s="28"/>
      <c r="G738" s="28"/>
      <c r="H738" s="30"/>
      <c r="I738" s="31"/>
      <c r="J738" s="26"/>
      <c r="K738" s="26"/>
      <c r="L738" s="26"/>
      <c r="M738" s="26"/>
    </row>
    <row r="739" spans="1:27" ht="15.75">
      <c r="O739" s="138" t="s">
        <v>42</v>
      </c>
      <c r="P739" s="138"/>
      <c r="Q739" s="138"/>
      <c r="R739" s="138"/>
      <c r="S739" s="138"/>
    </row>
    <row r="741" spans="1:27" ht="18" customHeight="1">
      <c r="A741" s="148" t="str">
        <f>A704</f>
        <v xml:space="preserve">DA (46% to 50%) Drawn Statement  </v>
      </c>
      <c r="B741" s="148"/>
      <c r="C741" s="148"/>
      <c r="D741" s="148"/>
      <c r="E741" s="148"/>
      <c r="F741" s="148"/>
      <c r="G741" s="148"/>
      <c r="H741" s="148"/>
      <c r="I741" s="148"/>
      <c r="J741" s="148"/>
      <c r="K741" s="148"/>
      <c r="L741" s="148"/>
      <c r="M741" s="148"/>
      <c r="N741" s="148"/>
      <c r="O741" s="148"/>
      <c r="P741" s="148"/>
      <c r="Q741" s="148"/>
      <c r="R741" s="148"/>
      <c r="S741" s="148"/>
      <c r="W741" s="4">
        <f>IF(ISNA(VLOOKUP($Y$3,Master!A$8:N$127,4,FALSE)),"",VLOOKUP($Y$3,Master!A$8:AH$127,4,FALSE))</f>
        <v>2</v>
      </c>
      <c r="X741" s="4" t="str">
        <f>IF(ISNA(VLOOKUP($Y$3,Master!A$8:N$127,6,FALSE)),"",VLOOKUP($Y$3,Master!A$8:AH$127,6,FALSE))</f>
        <v>GPF-2004</v>
      </c>
      <c r="Y741" s="4" t="s">
        <v>45</v>
      </c>
      <c r="Z741" s="4" t="s">
        <v>18</v>
      </c>
      <c r="AA741" s="4" t="str">
        <f>IF(ISNA(VLOOKUP(Y743,Master!A$8:N$127,7,FALSE)),"",VLOOKUP(Y743,Master!A$8:AH$127,7,FALSE))</f>
        <v/>
      </c>
    </row>
    <row r="742" spans="1:27" ht="18">
      <c r="A742" s="131" t="str">
        <f>IF(AND(Master!C683=""),"",CONCATENATE("Office Of  ",Master!C683))</f>
        <v/>
      </c>
      <c r="B742" s="131"/>
      <c r="C742" s="131"/>
      <c r="D742" s="131"/>
      <c r="E742" s="131"/>
      <c r="F742" s="131"/>
      <c r="G742" s="131"/>
      <c r="H742" s="131"/>
      <c r="I742" s="131"/>
      <c r="J742" s="131"/>
      <c r="K742" s="131"/>
      <c r="L742" s="131"/>
      <c r="M742" s="131"/>
      <c r="N742" s="131"/>
      <c r="O742" s="131"/>
      <c r="P742" s="131"/>
      <c r="Q742" s="131"/>
      <c r="R742" s="131"/>
      <c r="S742" s="131"/>
      <c r="X742" s="4">
        <f>IF(ISNA(VLOOKUP($Y$3,Master!A$8:N$127,8,FALSE)),"",VLOOKUP($Y$3,Master!A$8:AH$127,8,FALSE))</f>
        <v>45292</v>
      </c>
      <c r="Y742" s="4" t="s">
        <v>43</v>
      </c>
    </row>
    <row r="743" spans="1:27" ht="18.75">
      <c r="E743" s="133" t="s">
        <v>10</v>
      </c>
      <c r="F743" s="133"/>
      <c r="G743" s="133"/>
      <c r="H743" s="133"/>
      <c r="I743" s="133"/>
      <c r="J743" s="132" t="str">
        <f>IF(ISNA(VLOOKUP(Y743,Master!A$8:N$127,2,FALSE)),"",VLOOKUP(Y743,Master!A$8:AH$127,2,FALSE))</f>
        <v/>
      </c>
      <c r="K743" s="132"/>
      <c r="L743" s="132"/>
      <c r="M743" s="132"/>
      <c r="N743" s="132"/>
      <c r="O743" s="60" t="s">
        <v>31</v>
      </c>
      <c r="P743" s="132" t="str">
        <f>IF(ISNA(VLOOKUP(Y743,Master!A$8:N$127,3,FALSE)),"",VLOOKUP(Y743,Master!A$8:AH$127,3,FALSE))</f>
        <v/>
      </c>
      <c r="Q743" s="132"/>
      <c r="R743" s="132"/>
      <c r="S743" s="132"/>
      <c r="X743" s="61" t="s">
        <v>49</v>
      </c>
      <c r="Y743" s="64">
        <v>61</v>
      </c>
    </row>
    <row r="744" spans="1:27" ht="8.25" customHeight="1">
      <c r="E744" s="19"/>
      <c r="F744" s="52"/>
      <c r="G744" s="22"/>
      <c r="H744" s="22"/>
      <c r="I744" s="22"/>
      <c r="J744" s="5"/>
      <c r="K744" s="5"/>
      <c r="L744" s="5"/>
      <c r="M744" s="5"/>
      <c r="N744" s="5"/>
      <c r="O744" s="6"/>
      <c r="P744" s="6"/>
    </row>
    <row r="745" spans="1:27" ht="24.75" customHeight="1">
      <c r="A745" s="157" t="s">
        <v>0</v>
      </c>
      <c r="B745" s="158" t="s">
        <v>3</v>
      </c>
      <c r="C745" s="159" t="s">
        <v>5</v>
      </c>
      <c r="D745" s="159"/>
      <c r="E745" s="159"/>
      <c r="F745" s="159"/>
      <c r="G745" s="159" t="s">
        <v>6</v>
      </c>
      <c r="H745" s="159"/>
      <c r="I745" s="159"/>
      <c r="J745" s="159"/>
      <c r="K745" s="159" t="s">
        <v>7</v>
      </c>
      <c r="L745" s="159"/>
      <c r="M745" s="159"/>
      <c r="N745" s="159"/>
      <c r="O745" s="149" t="s">
        <v>8</v>
      </c>
      <c r="P745" s="150"/>
      <c r="Q745" s="151"/>
      <c r="R745" s="162" t="s">
        <v>54</v>
      </c>
      <c r="S745" s="162" t="s">
        <v>40</v>
      </c>
    </row>
    <row r="746" spans="1:27" ht="69" customHeight="1">
      <c r="A746" s="157"/>
      <c r="B746" s="158"/>
      <c r="C746" s="54" t="s">
        <v>29</v>
      </c>
      <c r="D746" s="55" t="s">
        <v>1</v>
      </c>
      <c r="E746" s="56" t="s">
        <v>2</v>
      </c>
      <c r="F746" s="54" t="s">
        <v>46</v>
      </c>
      <c r="G746" s="54" t="s">
        <v>29</v>
      </c>
      <c r="H746" s="55" t="s">
        <v>1</v>
      </c>
      <c r="I746" s="56" t="s">
        <v>2</v>
      </c>
      <c r="J746" s="54" t="s">
        <v>47</v>
      </c>
      <c r="K746" s="54" t="s">
        <v>4</v>
      </c>
      <c r="L746" s="55" t="s">
        <v>1</v>
      </c>
      <c r="M746" s="56" t="s">
        <v>2</v>
      </c>
      <c r="N746" s="57" t="s">
        <v>48</v>
      </c>
      <c r="O746" s="53" t="s">
        <v>69</v>
      </c>
      <c r="P746" s="65" t="s">
        <v>41</v>
      </c>
      <c r="Q746" s="57" t="s">
        <v>53</v>
      </c>
      <c r="R746" s="162"/>
      <c r="S746" s="162"/>
    </row>
    <row r="747" spans="1:27" ht="18" customHeight="1">
      <c r="A747" s="7">
        <v>1</v>
      </c>
      <c r="B747" s="7">
        <v>2</v>
      </c>
      <c r="C747" s="7">
        <v>3</v>
      </c>
      <c r="D747" s="7">
        <v>4</v>
      </c>
      <c r="E747" s="7">
        <v>5</v>
      </c>
      <c r="F747" s="7">
        <v>6</v>
      </c>
      <c r="G747" s="7">
        <v>7</v>
      </c>
      <c r="H747" s="7">
        <v>8</v>
      </c>
      <c r="I747" s="7">
        <v>9</v>
      </c>
      <c r="J747" s="7">
        <v>10</v>
      </c>
      <c r="K747" s="7">
        <v>11</v>
      </c>
      <c r="L747" s="7">
        <v>12</v>
      </c>
      <c r="M747" s="7">
        <v>13</v>
      </c>
      <c r="N747" s="7">
        <v>14</v>
      </c>
      <c r="O747" s="7">
        <v>15</v>
      </c>
      <c r="P747" s="7">
        <v>17</v>
      </c>
      <c r="Q747" s="7">
        <v>18</v>
      </c>
      <c r="R747" s="7">
        <v>19</v>
      </c>
      <c r="S747" s="7">
        <v>20</v>
      </c>
    </row>
    <row r="748" spans="1:27" ht="21" customHeight="1">
      <c r="A748" s="8">
        <v>1</v>
      </c>
      <c r="B748" s="23">
        <v>45108</v>
      </c>
      <c r="C748" s="9" t="str">
        <f>IF(ISNA(VLOOKUP(Y743,Master!A$8:N$127,5,FALSE)),"",VLOOKUP(Y743,Master!A$8:AH$127,5,FALSE))</f>
        <v/>
      </c>
      <c r="D748" s="9" t="str">
        <f>IF(AND(C748=""),"",IF(AND(Y743=""),"",ROUND(C748*Master!C$5%,0)))</f>
        <v/>
      </c>
      <c r="E748" s="9" t="str">
        <f>IF(AND(C748=""),"",IF(AND(Y743=""),"",ROUND(C748*Master!H$5%,0)))</f>
        <v/>
      </c>
      <c r="F748" s="9" t="str">
        <f t="shared" ref="F748" si="1037">IF(AND(C748=""),"",SUM(C748:E748))</f>
        <v/>
      </c>
      <c r="G748" s="9" t="str">
        <f>IF(ISNA(VLOOKUP(Y743,Master!A$8:N$127,5,FALSE)),"",VLOOKUP(Y743,Master!A$8:AH$127,5,FALSE))</f>
        <v/>
      </c>
      <c r="H748" s="9" t="str">
        <f>IF(AND(G748=""),"",IF(AND(Y743=""),"",ROUND(G748*Master!C$4%,0)))</f>
        <v/>
      </c>
      <c r="I748" s="9" t="str">
        <f>IF(AND(G748=""),"",IF(AND(Y743=""),"",ROUND(G748*Master!H$4%,0)))</f>
        <v/>
      </c>
      <c r="J748" s="9" t="str">
        <f t="shared" ref="J748:J749" si="1038">IF(AND(C748=""),"",SUM(G748:I748))</f>
        <v/>
      </c>
      <c r="K748" s="9" t="str">
        <f t="shared" ref="K748:K750" si="1039">IF(AND(C748=""),"",IF(AND(G748=""),"",C748-G748))</f>
        <v/>
      </c>
      <c r="L748" s="9" t="str">
        <f t="shared" ref="L748:L750" si="1040">IF(AND(D748=""),"",IF(AND(H748=""),"",D748-H748))</f>
        <v/>
      </c>
      <c r="M748" s="9" t="str">
        <f t="shared" ref="M748:M749" si="1041">IF(AND(E748=""),"",IF(AND(I748=""),"",E748-I748))</f>
        <v/>
      </c>
      <c r="N748" s="9" t="str">
        <f t="shared" ref="N748:N749" si="1042">IF(AND(F748=""),"",IF(AND(J748=""),"",F748-J748))</f>
        <v/>
      </c>
      <c r="O748" s="9" t="str">
        <f>IF(AND(C748=""),"",N748-P748)</f>
        <v/>
      </c>
      <c r="P748" s="9" t="str">
        <f>IF(AND(Y743=""),"",IF(AND(N748=""),"",ROUND(N748*AA$1%,0)))</f>
        <v/>
      </c>
      <c r="Q748" s="9" t="str">
        <f>IF(AND(Y743=""),"",IF(AND(C748=""),"",IF(AND(O748=""),"",SUM(O748,P748))))</f>
        <v/>
      </c>
      <c r="R748" s="9" t="str">
        <f>IF(AND(N748=""),"",IF(AND(Q748=""),"",N748-Q748))</f>
        <v/>
      </c>
      <c r="S748" s="20"/>
    </row>
    <row r="749" spans="1:27" ht="21" customHeight="1">
      <c r="A749" s="8">
        <v>2</v>
      </c>
      <c r="B749" s="23">
        <v>45139</v>
      </c>
      <c r="C749" s="9" t="str">
        <f>IF(AND(Y743=""),"",C748)</f>
        <v/>
      </c>
      <c r="D749" s="9" t="str">
        <f>IF(AND(C749=""),"",IF(AND(Y743=""),"",ROUND(C749*Master!C$5%,0)))</f>
        <v/>
      </c>
      <c r="E749" s="9" t="str">
        <f>IF(AND(C749=""),"",IF(AND(Y743=""),"",ROUND(C749*Master!H$5%,0)))</f>
        <v/>
      </c>
      <c r="F749" s="9" t="str">
        <f>IF(AND(C749=""),"",SUM(C749:E749))</f>
        <v/>
      </c>
      <c r="G749" s="9" t="str">
        <f>IF(AND(Y743=""),"",G748)</f>
        <v/>
      </c>
      <c r="H749" s="9" t="str">
        <f>IF(AND(G749=""),"",IF(AND(Y743=""),"",ROUND(G749*Master!C$4%,0)))</f>
        <v/>
      </c>
      <c r="I749" s="9" t="str">
        <f>IF(AND(G749=""),"",IF(AND(Y743=""),"",ROUND(G749*Master!H$4%,0)))</f>
        <v/>
      </c>
      <c r="J749" s="9" t="str">
        <f t="shared" si="1038"/>
        <v/>
      </c>
      <c r="K749" s="9" t="str">
        <f t="shared" si="1039"/>
        <v/>
      </c>
      <c r="L749" s="9" t="str">
        <f t="shared" si="1040"/>
        <v/>
      </c>
      <c r="M749" s="9" t="str">
        <f t="shared" si="1041"/>
        <v/>
      </c>
      <c r="N749" s="9" t="str">
        <f t="shared" si="1042"/>
        <v/>
      </c>
      <c r="O749" s="9" t="str">
        <f t="shared" ref="O749:O750" si="1043">IF(AND(C749=""),"",N749-P749)</f>
        <v/>
      </c>
      <c r="P749" s="9" t="str">
        <f>IF(AND(Y743=""),"",IF(AND(N749=""),"",ROUND(N749*AA$1%,0)))</f>
        <v/>
      </c>
      <c r="Q749" s="9" t="str">
        <f>IF(AND(Y743=""),"",IF(AND(C749=""),"",IF(AND(O749=""),"",SUM(O749,P749))))</f>
        <v/>
      </c>
      <c r="R749" s="9" t="str">
        <f t="shared" ref="R749:R750" si="1044">IF(AND(N749=""),"",IF(AND(Q749=""),"",N749-Q749))</f>
        <v/>
      </c>
      <c r="S749" s="20"/>
    </row>
    <row r="750" spans="1:27" ht="21" customHeight="1">
      <c r="A750" s="8">
        <v>3</v>
      </c>
      <c r="B750" s="23">
        <v>45170</v>
      </c>
      <c r="C750" s="9" t="str">
        <f>IF(AND(Y743=""),"",C749)</f>
        <v/>
      </c>
      <c r="D750" s="9" t="str">
        <f>IF(AND(C750=""),"",IF(AND(Y743=""),"",ROUND(C750*Master!C$5%,0)))</f>
        <v/>
      </c>
      <c r="E750" s="9" t="str">
        <f>IF(AND(C750=""),"",IF(AND(Y743=""),"",ROUND(C750*Master!H$5%,0)))</f>
        <v/>
      </c>
      <c r="F750" s="9" t="str">
        <f t="shared" ref="F750" si="1045">IF(AND(C750=""),"",SUM(C750:E750))</f>
        <v/>
      </c>
      <c r="G750" s="9" t="str">
        <f>IF(AND(Y743=""),"",G749)</f>
        <v/>
      </c>
      <c r="H750" s="9" t="str">
        <f>IF(AND(G750=""),"",IF(AND(Y743=""),"",ROUND(G750*Master!C$4%,0)))</f>
        <v/>
      </c>
      <c r="I750" s="9" t="str">
        <f>IF(AND(G750=""),"",IF(AND(Y743=""),"",ROUND(G750*Master!H$4%,0)))</f>
        <v/>
      </c>
      <c r="J750" s="9" t="str">
        <f>IF(AND(C750=""),"",SUM(G750:I750))</f>
        <v/>
      </c>
      <c r="K750" s="9" t="str">
        <f t="shared" si="1039"/>
        <v/>
      </c>
      <c r="L750" s="9" t="str">
        <f t="shared" si="1040"/>
        <v/>
      </c>
      <c r="M750" s="9" t="str">
        <f>IF(AND(E750=""),"",IF(AND(I750=""),"",E750-I750))</f>
        <v/>
      </c>
      <c r="N750" s="9" t="str">
        <f>IF(AND(F750=""),"",IF(AND(J750=""),"",F750-J750))</f>
        <v/>
      </c>
      <c r="O750" s="9" t="str">
        <f t="shared" si="1043"/>
        <v/>
      </c>
      <c r="P750" s="9" t="str">
        <f>IF(AND(Y743=""),"",IF(AND(N750=""),"",ROUND(N750*AA$1%,0)))</f>
        <v/>
      </c>
      <c r="Q750" s="9" t="str">
        <f>IF(AND(Y743=""),"",IF(AND(C750=""),"",IF(AND(O750=""),"",SUM(O750,P750))))</f>
        <v/>
      </c>
      <c r="R750" s="9" t="str">
        <f t="shared" si="1044"/>
        <v/>
      </c>
      <c r="S750" s="20"/>
    </row>
    <row r="751" spans="1:27" ht="21" customHeight="1">
      <c r="A751" s="8">
        <v>4</v>
      </c>
      <c r="B751" s="23">
        <v>45200</v>
      </c>
      <c r="C751" s="9" t="str">
        <f>IF(AND(Y744=""),"",C750)</f>
        <v/>
      </c>
      <c r="D751" s="9" t="str">
        <f>IF(AND(C751=""),"",IF(AND(Y744=""),"",ROUND(C751*Master!C$5%,0)))</f>
        <v/>
      </c>
      <c r="E751" s="9" t="str">
        <f>IF(AND(C751=""),"",IF(AND(Y744=""),"",ROUND(C751*Master!H$5%,0)))</f>
        <v/>
      </c>
      <c r="F751" s="9" t="str">
        <f t="shared" ref="F751" si="1046">IF(AND(C751=""),"",SUM(C751:E751))</f>
        <v/>
      </c>
      <c r="G751" s="9" t="str">
        <f>IF(AND(Y744=""),"",G750)</f>
        <v/>
      </c>
      <c r="H751" s="9" t="str">
        <f>IF(AND(G751=""),"",IF(AND(Y744=""),"",ROUND(G751*Master!C$4%,0)))</f>
        <v/>
      </c>
      <c r="I751" s="9" t="str">
        <f>IF(AND(G751=""),"",IF(AND(Y744=""),"",ROUND(G751*Master!H$4%,0)))</f>
        <v/>
      </c>
      <c r="J751" s="9" t="str">
        <f>IF(AND(C751=""),"",SUM(G751:I751))</f>
        <v/>
      </c>
      <c r="K751" s="9" t="str">
        <f t="shared" ref="K751" si="1047">IF(AND(C751=""),"",IF(AND(G751=""),"",C751-G751))</f>
        <v/>
      </c>
      <c r="L751" s="9" t="str">
        <f t="shared" ref="L751" si="1048">IF(AND(D751=""),"",IF(AND(H751=""),"",D751-H751))</f>
        <v/>
      </c>
      <c r="M751" s="9" t="str">
        <f>IF(AND(E751=""),"",IF(AND(I751=""),"",E751-I751))</f>
        <v/>
      </c>
      <c r="N751" s="9" t="str">
        <f>IF(AND(F751=""),"",IF(AND(J751=""),"",F751-J751))</f>
        <v/>
      </c>
      <c r="O751" s="9" t="str">
        <f t="shared" ref="O751" si="1049">IF(AND(C751=""),"",N751-P751)</f>
        <v/>
      </c>
      <c r="P751" s="9" t="str">
        <f>IF(AND(Y744=""),"",IF(AND(N751=""),"",ROUND(N751*AA$1%,0)))</f>
        <v/>
      </c>
      <c r="Q751" s="9" t="str">
        <f>IF(AND(Y744=""),"",IF(AND(C751=""),"",IF(AND(O751=""),"",SUM(O751,P751))))</f>
        <v/>
      </c>
      <c r="R751" s="9" t="str">
        <f t="shared" ref="R751" si="1050">IF(AND(N751=""),"",IF(AND(Q751=""),"",N751-Q751))</f>
        <v/>
      </c>
      <c r="S751" s="20"/>
    </row>
    <row r="752" spans="1:27" ht="23.25" customHeight="1">
      <c r="A752" s="153" t="s">
        <v>9</v>
      </c>
      <c r="B752" s="154"/>
      <c r="C752" s="63">
        <f>IF(AND($Y$743=""),"",SUM(C748:C751))</f>
        <v>0</v>
      </c>
      <c r="D752" s="63">
        <f t="shared" ref="D752:R752" si="1051">IF(AND($Y$743=""),"",SUM(D748:D751))</f>
        <v>0</v>
      </c>
      <c r="E752" s="63">
        <f t="shared" si="1051"/>
        <v>0</v>
      </c>
      <c r="F752" s="63">
        <f t="shared" si="1051"/>
        <v>0</v>
      </c>
      <c r="G752" s="63">
        <f t="shared" si="1051"/>
        <v>0</v>
      </c>
      <c r="H752" s="63">
        <f t="shared" si="1051"/>
        <v>0</v>
      </c>
      <c r="I752" s="63">
        <f t="shared" si="1051"/>
        <v>0</v>
      </c>
      <c r="J752" s="63">
        <f t="shared" si="1051"/>
        <v>0</v>
      </c>
      <c r="K752" s="63">
        <f t="shared" si="1051"/>
        <v>0</v>
      </c>
      <c r="L752" s="63">
        <f t="shared" si="1051"/>
        <v>0</v>
      </c>
      <c r="M752" s="63">
        <f t="shared" si="1051"/>
        <v>0</v>
      </c>
      <c r="N752" s="63">
        <f t="shared" si="1051"/>
        <v>0</v>
      </c>
      <c r="O752" s="63">
        <f t="shared" si="1051"/>
        <v>0</v>
      </c>
      <c r="P752" s="63">
        <f t="shared" si="1051"/>
        <v>0</v>
      </c>
      <c r="Q752" s="63">
        <f t="shared" si="1051"/>
        <v>0</v>
      </c>
      <c r="R752" s="63">
        <f t="shared" si="1051"/>
        <v>0</v>
      </c>
      <c r="S752" s="49"/>
    </row>
    <row r="753" spans="1:25" ht="10.5" customHeight="1">
      <c r="A753" s="73"/>
      <c r="B753" s="73"/>
      <c r="C753" s="74"/>
      <c r="D753" s="74"/>
      <c r="E753" s="74"/>
      <c r="F753" s="74"/>
      <c r="G753" s="74"/>
      <c r="H753" s="74"/>
      <c r="I753" s="74"/>
      <c r="J753" s="74"/>
      <c r="K753" s="74"/>
      <c r="L753" s="74"/>
      <c r="M753" s="74"/>
      <c r="N753" s="74"/>
      <c r="O753" s="74"/>
      <c r="P753" s="74"/>
      <c r="Q753" s="74"/>
      <c r="R753" s="74"/>
      <c r="S753" s="75"/>
    </row>
    <row r="754" spans="1:25" ht="23.25" customHeight="1">
      <c r="E754" s="133" t="s">
        <v>10</v>
      </c>
      <c r="F754" s="133"/>
      <c r="G754" s="133"/>
      <c r="H754" s="133"/>
      <c r="I754" s="133"/>
      <c r="J754" s="132" t="str">
        <f>IF(ISNA(VLOOKUP(Y756,Master!A$8:N$127,2,FALSE)),"",VLOOKUP(Y756,Master!A$8:AH$127,2,FALSE))</f>
        <v/>
      </c>
      <c r="K754" s="132"/>
      <c r="L754" s="132"/>
      <c r="M754" s="132"/>
      <c r="N754" s="132"/>
      <c r="O754" s="60" t="s">
        <v>31</v>
      </c>
      <c r="P754" s="132" t="str">
        <f>IF(ISNA(VLOOKUP(Y756,Master!A$8:N$127,3,FALSE)),"",VLOOKUP(Y756,Master!A$8:AH$127,3,FALSE))</f>
        <v/>
      </c>
      <c r="Q754" s="132"/>
      <c r="R754" s="132"/>
      <c r="S754" s="132"/>
    </row>
    <row r="755" spans="1:25" ht="9" customHeight="1">
      <c r="E755" s="19"/>
      <c r="F755" s="52"/>
      <c r="G755" s="22"/>
      <c r="H755" s="22"/>
      <c r="I755" s="22"/>
      <c r="J755" s="5"/>
      <c r="K755" s="5"/>
      <c r="L755" s="5"/>
      <c r="M755" s="5"/>
      <c r="N755" s="5"/>
      <c r="O755" s="6"/>
      <c r="P755" s="6"/>
    </row>
    <row r="756" spans="1:25" ht="21" customHeight="1">
      <c r="A756" s="8">
        <v>1</v>
      </c>
      <c r="B756" s="23">
        <v>45108</v>
      </c>
      <c r="C756" s="9" t="str">
        <f>IF(ISNA(VLOOKUP(Y756,Master!A$8:N$127,5,FALSE)),"",VLOOKUP(Y756,Master!A$8:AH$127,5,FALSE))</f>
        <v/>
      </c>
      <c r="D756" s="9" t="str">
        <f>IF(AND(C756=""),"",IF(AND(Y756=""),"",ROUND(C756*Master!C$5%,0)))</f>
        <v/>
      </c>
      <c r="E756" s="9" t="str">
        <f>IF(AND(C756=""),"",IF(AND(Y756=""),"",ROUND(C756*Master!H$5%,0)))</f>
        <v/>
      </c>
      <c r="F756" s="9" t="str">
        <f t="shared" ref="F756:F758" si="1052">IF(AND(C756=""),"",SUM(C756:E756))</f>
        <v/>
      </c>
      <c r="G756" s="9" t="str">
        <f>IF(ISNA(VLOOKUP(Y756,Master!A$8:N$127,5,FALSE)),"",VLOOKUP(Y756,Master!A$8:AH$127,5,FALSE))</f>
        <v/>
      </c>
      <c r="H756" s="9" t="str">
        <f>IF(AND(G756=""),"",IF(AND(Y756=""),"",ROUND(G756*Master!C$4%,0)))</f>
        <v/>
      </c>
      <c r="I756" s="9" t="str">
        <f>IF(AND(G756=""),"",IF(AND(Y756=""),"",ROUND(G756*Master!H$4%,0)))</f>
        <v/>
      </c>
      <c r="J756" s="9" t="str">
        <f t="shared" ref="J756:J758" si="1053">IF(AND(C756=""),"",SUM(G756:I756))</f>
        <v/>
      </c>
      <c r="K756" s="9" t="str">
        <f t="shared" ref="K756" si="1054">IF(AND(C756=""),"",IF(AND(G756=""),"",C756-G756))</f>
        <v/>
      </c>
      <c r="L756" s="9" t="str">
        <f>IF(AND(D756=""),"",IF(AND(H756=""),"",D756-H756))</f>
        <v/>
      </c>
      <c r="M756" s="9" t="str">
        <f t="shared" ref="M756:M758" si="1055">IF(AND(E756=""),"",IF(AND(I756=""),"",E756-I756))</f>
        <v/>
      </c>
      <c r="N756" s="9" t="str">
        <f t="shared" ref="N756:N758" si="1056">IF(AND(F756=""),"",IF(AND(J756=""),"",F756-J756))</f>
        <v/>
      </c>
      <c r="O756" s="9" t="str">
        <f>IF(AND(C756=""),"",N756-P756)</f>
        <v/>
      </c>
      <c r="P756" s="9" t="str">
        <f>IF(AND(Y756=""),"",IF(AND(N756=""),"",ROUND(N756*X$17%,0)))</f>
        <v/>
      </c>
      <c r="Q756" s="9" t="str">
        <f>IF(AND(Y756=""),"",IF(AND(C756=""),"",IF(AND(O756=""),"",SUM(O756,P756))))</f>
        <v/>
      </c>
      <c r="R756" s="9" t="str">
        <f>IF(AND(N756=""),"",IF(AND(Q756=""),"",N756-Q756))</f>
        <v/>
      </c>
      <c r="S756" s="20"/>
      <c r="X756" s="61" t="s">
        <v>49</v>
      </c>
      <c r="Y756" s="64">
        <v>62</v>
      </c>
    </row>
    <row r="757" spans="1:25" ht="21" customHeight="1">
      <c r="A757" s="8">
        <v>2</v>
      </c>
      <c r="B757" s="23">
        <v>45139</v>
      </c>
      <c r="C757" s="9" t="str">
        <f>IF(AND(Y756=""),"",C756)</f>
        <v/>
      </c>
      <c r="D757" s="9" t="str">
        <f>IF(AND(C757=""),"",IF(AND(Y756=""),"",ROUND(C757*Master!C$5%,0)))</f>
        <v/>
      </c>
      <c r="E757" s="9" t="str">
        <f>IF(AND(C757=""),"",IF(AND(Y756=""),"",ROUND(C757*Master!H$5%,0)))</f>
        <v/>
      </c>
      <c r="F757" s="9" t="str">
        <f t="shared" si="1052"/>
        <v/>
      </c>
      <c r="G757" s="9" t="str">
        <f>IF(AND(Y756=""),"",G756)</f>
        <v/>
      </c>
      <c r="H757" s="9" t="str">
        <f>IF(AND(G757=""),"",IF(AND(Y756=""),"",ROUND(G757*Master!C$4%,0)))</f>
        <v/>
      </c>
      <c r="I757" s="9" t="str">
        <f>IF(AND(G757=""),"",IF(AND(Y756=""),"",ROUND(G757*Master!H$4%,0)))</f>
        <v/>
      </c>
      <c r="J757" s="9" t="str">
        <f t="shared" si="1053"/>
        <v/>
      </c>
      <c r="K757" s="9" t="str">
        <f>IF(AND(C757=""),"",IF(AND(G757=""),"",C757-G757))</f>
        <v/>
      </c>
      <c r="L757" s="9" t="str">
        <f t="shared" ref="L757:L758" si="1057">IF(AND(D757=""),"",IF(AND(H757=""),"",D757-H757))</f>
        <v/>
      </c>
      <c r="M757" s="9" t="str">
        <f t="shared" si="1055"/>
        <v/>
      </c>
      <c r="N757" s="9" t="str">
        <f t="shared" si="1056"/>
        <v/>
      </c>
      <c r="O757" s="9" t="str">
        <f t="shared" ref="O757:O758" si="1058">IF(AND(C757=""),"",N757-P757)</f>
        <v/>
      </c>
      <c r="P757" s="9" t="str">
        <f>IF(AND(Y756=""),"",IF(AND(N757=""),"",ROUND(N757*X$17%,0)))</f>
        <v/>
      </c>
      <c r="Q757" s="9" t="str">
        <f>IF(AND(Y756=""),"",IF(AND(C757=""),"",IF(AND(O757=""),"",SUM(O757,P757))))</f>
        <v/>
      </c>
      <c r="R757" s="9" t="str">
        <f t="shared" ref="R757:R758" si="1059">IF(AND(N757=""),"",IF(AND(Q757=""),"",N757-Q757))</f>
        <v/>
      </c>
      <c r="S757" s="20"/>
      <c r="X757" s="4" t="str">
        <f>IF(ISNA(VLOOKUP(Y756,Master!A$8:N$127,7,FALSE)),"",VLOOKUP(Y756,Master!A$8:AH$127,7,FALSE))</f>
        <v/>
      </c>
    </row>
    <row r="758" spans="1:25" ht="21" customHeight="1">
      <c r="A758" s="8">
        <v>3</v>
      </c>
      <c r="B758" s="23">
        <v>45170</v>
      </c>
      <c r="C758" s="9" t="str">
        <f>IF(AND(Y756=""),"",C757)</f>
        <v/>
      </c>
      <c r="D758" s="9" t="str">
        <f>IF(AND(C758=""),"",IF(AND(Y756=""),"",ROUND(C758*Master!C$5%,0)))</f>
        <v/>
      </c>
      <c r="E758" s="9" t="str">
        <f>IF(AND(C758=""),"",IF(AND(Y756=""),"",ROUND(C758*Master!H$5%,0)))</f>
        <v/>
      </c>
      <c r="F758" s="9" t="str">
        <f t="shared" si="1052"/>
        <v/>
      </c>
      <c r="G758" s="9" t="str">
        <f>IF(AND(Y756=""),"",G757)</f>
        <v/>
      </c>
      <c r="H758" s="9" t="str">
        <f>IF(AND(G758=""),"",IF(AND(Y756=""),"",ROUND(G758*Master!C$4%,0)))</f>
        <v/>
      </c>
      <c r="I758" s="9" t="str">
        <f>IF(AND(G758=""),"",IF(AND(Y756=""),"",ROUND(G758*Master!H$4%,0)))</f>
        <v/>
      </c>
      <c r="J758" s="9" t="str">
        <f t="shared" si="1053"/>
        <v/>
      </c>
      <c r="K758" s="9" t="str">
        <f t="shared" ref="K758" si="1060">IF(AND(C758=""),"",IF(AND(G758=""),"",C758-G758))</f>
        <v/>
      </c>
      <c r="L758" s="9" t="str">
        <f t="shared" si="1057"/>
        <v/>
      </c>
      <c r="M758" s="9" t="str">
        <f t="shared" si="1055"/>
        <v/>
      </c>
      <c r="N758" s="9" t="str">
        <f t="shared" si="1056"/>
        <v/>
      </c>
      <c r="O758" s="9" t="str">
        <f t="shared" si="1058"/>
        <v/>
      </c>
      <c r="P758" s="9" t="str">
        <f>IF(AND(Y756=""),"",IF(AND(N758=""),"",ROUND(N758*X$17%,0)))</f>
        <v/>
      </c>
      <c r="Q758" s="9" t="str">
        <f>IF(AND(Y756=""),"",IF(AND(C758=""),"",IF(AND(O758=""),"",SUM(O758,P758))))</f>
        <v/>
      </c>
      <c r="R758" s="9" t="str">
        <f t="shared" si="1059"/>
        <v/>
      </c>
      <c r="S758" s="20"/>
    </row>
    <row r="759" spans="1:25" ht="21" customHeight="1">
      <c r="A759" s="8">
        <v>4</v>
      </c>
      <c r="B759" s="23">
        <v>45200</v>
      </c>
      <c r="C759" s="9" t="str">
        <f>IF(AND(Y757=""),"",C758)</f>
        <v/>
      </c>
      <c r="D759" s="9" t="str">
        <f>IF(AND(C759=""),"",IF(AND(Y757=""),"",ROUND(C759*Master!C$5%,0)))</f>
        <v/>
      </c>
      <c r="E759" s="9" t="str">
        <f>IF(AND(C759=""),"",IF(AND(Y757=""),"",ROUND(C759*Master!H$5%,0)))</f>
        <v/>
      </c>
      <c r="F759" s="9" t="str">
        <f t="shared" ref="F759" si="1061">IF(AND(C759=""),"",SUM(C759:E759))</f>
        <v/>
      </c>
      <c r="G759" s="9" t="str">
        <f>IF(AND(Y757=""),"",G758)</f>
        <v/>
      </c>
      <c r="H759" s="9" t="str">
        <f>IF(AND(G759=""),"",IF(AND(Y757=""),"",ROUND(G759*Master!C$4%,0)))</f>
        <v/>
      </c>
      <c r="I759" s="9" t="str">
        <f>IF(AND(G759=""),"",IF(AND(Y757=""),"",ROUND(G759*Master!H$4%,0)))</f>
        <v/>
      </c>
      <c r="J759" s="9" t="str">
        <f t="shared" ref="J759" si="1062">IF(AND(C759=""),"",SUM(G759:I759))</f>
        <v/>
      </c>
      <c r="K759" s="9" t="str">
        <f t="shared" ref="K759" si="1063">IF(AND(C759=""),"",IF(AND(G759=""),"",C759-G759))</f>
        <v/>
      </c>
      <c r="L759" s="9" t="str">
        <f t="shared" ref="L759" si="1064">IF(AND(D759=""),"",IF(AND(H759=""),"",D759-H759))</f>
        <v/>
      </c>
      <c r="M759" s="9" t="str">
        <f t="shared" ref="M759" si="1065">IF(AND(E759=""),"",IF(AND(I759=""),"",E759-I759))</f>
        <v/>
      </c>
      <c r="N759" s="9" t="str">
        <f t="shared" ref="N759" si="1066">IF(AND(F759=""),"",IF(AND(J759=""),"",F759-J759))</f>
        <v/>
      </c>
      <c r="O759" s="9" t="str">
        <f t="shared" ref="O759" si="1067">IF(AND(C759=""),"",N759-P759)</f>
        <v/>
      </c>
      <c r="P759" s="9" t="str">
        <f>IF(AND(Y757=""),"",IF(AND(N759=""),"",ROUND(N759*X$17%,0)))</f>
        <v/>
      </c>
      <c r="Q759" s="9" t="str">
        <f>IF(AND(Y757=""),"",IF(AND(C759=""),"",IF(AND(O759=""),"",SUM(O759,P759))))</f>
        <v/>
      </c>
      <c r="R759" s="9" t="str">
        <f t="shared" ref="R759" si="1068">IF(AND(N759=""),"",IF(AND(Q759=""),"",N759-Q759))</f>
        <v/>
      </c>
      <c r="S759" s="20"/>
    </row>
    <row r="760" spans="1:25" ht="30.75" customHeight="1">
      <c r="A760" s="153" t="s">
        <v>9</v>
      </c>
      <c r="B760" s="154"/>
      <c r="C760" s="63">
        <f>IF(AND($Y$756=""),"",SUM(C756:C759))</f>
        <v>0</v>
      </c>
      <c r="D760" s="63">
        <f t="shared" ref="D760:R760" si="1069">IF(AND($Y$756=""),"",SUM(D756:D759))</f>
        <v>0</v>
      </c>
      <c r="E760" s="63">
        <f t="shared" si="1069"/>
        <v>0</v>
      </c>
      <c r="F760" s="63">
        <f t="shared" si="1069"/>
        <v>0</v>
      </c>
      <c r="G760" s="63">
        <f t="shared" si="1069"/>
        <v>0</v>
      </c>
      <c r="H760" s="63">
        <f t="shared" si="1069"/>
        <v>0</v>
      </c>
      <c r="I760" s="63">
        <f t="shared" si="1069"/>
        <v>0</v>
      </c>
      <c r="J760" s="63">
        <f t="shared" si="1069"/>
        <v>0</v>
      </c>
      <c r="K760" s="63">
        <f t="shared" si="1069"/>
        <v>0</v>
      </c>
      <c r="L760" s="63">
        <f t="shared" si="1069"/>
        <v>0</v>
      </c>
      <c r="M760" s="63">
        <f t="shared" si="1069"/>
        <v>0</v>
      </c>
      <c r="N760" s="63">
        <f t="shared" si="1069"/>
        <v>0</v>
      </c>
      <c r="O760" s="63">
        <f t="shared" si="1069"/>
        <v>0</v>
      </c>
      <c r="P760" s="63">
        <f t="shared" si="1069"/>
        <v>0</v>
      </c>
      <c r="Q760" s="63">
        <f t="shared" si="1069"/>
        <v>0</v>
      </c>
      <c r="R760" s="63">
        <f t="shared" si="1069"/>
        <v>0</v>
      </c>
      <c r="S760" s="49"/>
    </row>
    <row r="761" spans="1:25" ht="11.25" customHeight="1">
      <c r="A761" s="73"/>
      <c r="B761" s="73"/>
      <c r="C761" s="74"/>
      <c r="D761" s="74"/>
      <c r="E761" s="74"/>
      <c r="F761" s="74"/>
      <c r="G761" s="74"/>
      <c r="H761" s="74"/>
      <c r="I761" s="74"/>
      <c r="J761" s="74"/>
      <c r="K761" s="74"/>
      <c r="L761" s="74"/>
      <c r="M761" s="74"/>
      <c r="N761" s="74"/>
      <c r="O761" s="74"/>
      <c r="P761" s="74"/>
      <c r="Q761" s="74"/>
      <c r="R761" s="74"/>
      <c r="S761" s="75"/>
    </row>
    <row r="762" spans="1:25" ht="23.25" customHeight="1">
      <c r="E762" s="133" t="s">
        <v>10</v>
      </c>
      <c r="F762" s="133"/>
      <c r="G762" s="133"/>
      <c r="H762" s="133"/>
      <c r="I762" s="133"/>
      <c r="J762" s="132" t="str">
        <f>IF(ISNA(VLOOKUP(Y764,Master!A$8:N$127,2,FALSE)),"",VLOOKUP(Y764,Master!A$8:AH$127,2,FALSE))</f>
        <v/>
      </c>
      <c r="K762" s="132"/>
      <c r="L762" s="132"/>
      <c r="M762" s="132"/>
      <c r="N762" s="132"/>
      <c r="O762" s="60" t="s">
        <v>31</v>
      </c>
      <c r="P762" s="132" t="str">
        <f>IF(ISNA(VLOOKUP($Y$431,Master!A$8:N$127,3,FALSE)),"",VLOOKUP($Y$431,Master!A$8:AH$127,3,FALSE))</f>
        <v/>
      </c>
      <c r="Q762" s="132"/>
      <c r="R762" s="132"/>
      <c r="S762" s="132"/>
    </row>
    <row r="763" spans="1:25" ht="9" customHeight="1">
      <c r="E763" s="19"/>
      <c r="F763" s="52"/>
      <c r="G763" s="22"/>
      <c r="H763" s="22"/>
      <c r="I763" s="22"/>
      <c r="J763" s="5"/>
      <c r="K763" s="5"/>
      <c r="L763" s="5"/>
      <c r="M763" s="5"/>
      <c r="N763" s="5"/>
      <c r="O763" s="6"/>
      <c r="P763" s="6"/>
    </row>
    <row r="764" spans="1:25" ht="21" customHeight="1">
      <c r="A764" s="8">
        <v>1</v>
      </c>
      <c r="B764" s="23">
        <v>45108</v>
      </c>
      <c r="C764" s="9" t="str">
        <f>IF(ISNA(VLOOKUP(Y764,Master!A$8:N$127,5,FALSE)),"",VLOOKUP(Y764,Master!A$8:AH$127,5,FALSE))</f>
        <v/>
      </c>
      <c r="D764" s="9" t="str">
        <f>IF(AND(C764=""),"",IF(AND(Y764=""),"",ROUND(C764*Master!C$5%,0)))</f>
        <v/>
      </c>
      <c r="E764" s="9" t="str">
        <f>IF(AND(C764=""),"",IF(AND(Y764=""),"",ROUND(C764*Master!H$5%,0)))</f>
        <v/>
      </c>
      <c r="F764" s="9" t="str">
        <f t="shared" ref="F764:F766" si="1070">IF(AND(C764=""),"",SUM(C764:E764))</f>
        <v/>
      </c>
      <c r="G764" s="9" t="str">
        <f>IF(ISNA(VLOOKUP(Y764,Master!A$8:N$127,5,FALSE)),"",VLOOKUP(Y764,Master!A$8:AH$127,5,FALSE))</f>
        <v/>
      </c>
      <c r="H764" s="9" t="str">
        <f>IF(AND(G764=""),"",IF(AND(Y764=""),"",ROUND(G764*Master!C$4%,0)))</f>
        <v/>
      </c>
      <c r="I764" s="9" t="str">
        <f>IF(AND(G764=""),"",IF(AND(Y764=""),"",ROUND(G764*Master!H$4%,0)))</f>
        <v/>
      </c>
      <c r="J764" s="9" t="str">
        <f t="shared" ref="J764:J766" si="1071">IF(AND(C764=""),"",SUM(G764:I764))</f>
        <v/>
      </c>
      <c r="K764" s="9" t="str">
        <f t="shared" ref="K764:K766" si="1072">IF(AND(C764=""),"",IF(AND(G764=""),"",C764-G764))</f>
        <v/>
      </c>
      <c r="L764" s="9" t="str">
        <f t="shared" ref="L764:L766" si="1073">IF(AND(D764=""),"",IF(AND(H764=""),"",D764-H764))</f>
        <v/>
      </c>
      <c r="M764" s="9" t="str">
        <f t="shared" ref="M764:M766" si="1074">IF(AND(E764=""),"",IF(AND(I764=""),"",E764-I764))</f>
        <v/>
      </c>
      <c r="N764" s="9" t="str">
        <f t="shared" ref="N764:N766" si="1075">IF(AND(F764=""),"",IF(AND(J764=""),"",F764-J764))</f>
        <v/>
      </c>
      <c r="O764" s="9" t="str">
        <f>IF(AND(C764=""),"",N764-P764)</f>
        <v/>
      </c>
      <c r="P764" s="9" t="str">
        <f>IF(AND(Y764=""),"",IF(AND(N764=""),"",ROUND(N764*AA$1%,0)))</f>
        <v/>
      </c>
      <c r="Q764" s="9" t="str">
        <f>IF(AND(Y764=""),"",IF(AND(C764=""),"",IF(AND(O764=""),"",SUM(O764,P764))))</f>
        <v/>
      </c>
      <c r="R764" s="9" t="str">
        <f>IF(AND(N764=""),"",IF(AND(Q764=""),"",N764-Q764))</f>
        <v/>
      </c>
      <c r="S764" s="20"/>
      <c r="X764" s="61" t="s">
        <v>49</v>
      </c>
      <c r="Y764" s="64">
        <v>63</v>
      </c>
    </row>
    <row r="765" spans="1:25" ht="21" customHeight="1">
      <c r="A765" s="8">
        <v>2</v>
      </c>
      <c r="B765" s="23">
        <v>45139</v>
      </c>
      <c r="C765" s="9" t="str">
        <f>IF(AND(Y764=""),"",C764)</f>
        <v/>
      </c>
      <c r="D765" s="9" t="str">
        <f>IF(AND(C765=""),"",IF(AND(Y764=""),"",ROUND(C765*Master!C$5%,0)))</f>
        <v/>
      </c>
      <c r="E765" s="9" t="str">
        <f>IF(AND(C765=""),"",IF(AND(Y764=""),"",ROUND(C765*Master!H$5%,0)))</f>
        <v/>
      </c>
      <c r="F765" s="9" t="str">
        <f t="shared" si="1070"/>
        <v/>
      </c>
      <c r="G765" s="9" t="str">
        <f>IF(AND(Y764=""),"",G764)</f>
        <v/>
      </c>
      <c r="H765" s="9" t="str">
        <f>IF(AND(G765=""),"",IF(AND(Y764=""),"",ROUND(G765*Master!C$4%,0)))</f>
        <v/>
      </c>
      <c r="I765" s="9" t="str">
        <f>IF(AND(G765=""),"",IF(AND(Y764=""),"",ROUND(G765*Master!H$4%,0)))</f>
        <v/>
      </c>
      <c r="J765" s="9" t="str">
        <f t="shared" si="1071"/>
        <v/>
      </c>
      <c r="K765" s="9" t="str">
        <f t="shared" si="1072"/>
        <v/>
      </c>
      <c r="L765" s="9" t="str">
        <f t="shared" si="1073"/>
        <v/>
      </c>
      <c r="M765" s="9" t="str">
        <f t="shared" si="1074"/>
        <v/>
      </c>
      <c r="N765" s="9" t="str">
        <f t="shared" si="1075"/>
        <v/>
      </c>
      <c r="O765" s="9" t="str">
        <f t="shared" ref="O765:O766" si="1076">IF(AND(C765=""),"",N765-P765)</f>
        <v/>
      </c>
      <c r="P765" s="9" t="str">
        <f>IF(AND(Y764=""),"",IF(AND(N765=""),"",ROUND(N765*AA$1%,0)))</f>
        <v/>
      </c>
      <c r="Q765" s="9" t="str">
        <f>IF(AND(Y764=""),"",IF(AND(C765=""),"",IF(AND(O765=""),"",SUM(O765,P765))))</f>
        <v/>
      </c>
      <c r="R765" s="9" t="str">
        <f t="shared" ref="R765:R766" si="1077">IF(AND(N765=""),"",IF(AND(Q765=""),"",N765-Q765))</f>
        <v/>
      </c>
      <c r="S765" s="20"/>
      <c r="X765" s="4" t="str">
        <f>IF(ISNA(VLOOKUP(Y764,Master!A$8:N$127,7,FALSE)),"",VLOOKUP(Y764,Master!A$8:AH$127,7,FALSE))</f>
        <v/>
      </c>
    </row>
    <row r="766" spans="1:25" ht="21" customHeight="1">
      <c r="A766" s="8">
        <v>3</v>
      </c>
      <c r="B766" s="23">
        <v>45170</v>
      </c>
      <c r="C766" s="9" t="str">
        <f>IF(AND(Y764=""),"",C765)</f>
        <v/>
      </c>
      <c r="D766" s="9" t="str">
        <f>IF(AND(C766=""),"",IF(AND(Y764=""),"",ROUND(C766*Master!C$5%,0)))</f>
        <v/>
      </c>
      <c r="E766" s="9" t="str">
        <f>IF(AND(C766=""),"",IF(AND(Y764=""),"",ROUND(C766*Master!H$5%,0)))</f>
        <v/>
      </c>
      <c r="F766" s="9" t="str">
        <f t="shared" si="1070"/>
        <v/>
      </c>
      <c r="G766" s="9" t="str">
        <f>IF(AND(Y764=""),"",G765)</f>
        <v/>
      </c>
      <c r="H766" s="9" t="str">
        <f>IF(AND(G766=""),"",IF(AND(Y764=""),"",ROUND(G766*Master!C$4%,0)))</f>
        <v/>
      </c>
      <c r="I766" s="9" t="str">
        <f>IF(AND(G766=""),"",IF(AND(Y764=""),"",ROUND(G766*Master!H$4%,0)))</f>
        <v/>
      </c>
      <c r="J766" s="9" t="str">
        <f t="shared" si="1071"/>
        <v/>
      </c>
      <c r="K766" s="9" t="str">
        <f t="shared" si="1072"/>
        <v/>
      </c>
      <c r="L766" s="9" t="str">
        <f t="shared" si="1073"/>
        <v/>
      </c>
      <c r="M766" s="9" t="str">
        <f t="shared" si="1074"/>
        <v/>
      </c>
      <c r="N766" s="9" t="str">
        <f t="shared" si="1075"/>
        <v/>
      </c>
      <c r="O766" s="9" t="str">
        <f t="shared" si="1076"/>
        <v/>
      </c>
      <c r="P766" s="9" t="str">
        <f>IF(AND(Y764=""),"",IF(AND(N766=""),"",ROUND(N766*AA$1%,0)))</f>
        <v/>
      </c>
      <c r="Q766" s="9" t="str">
        <f>IF(AND(Y764=""),"",IF(AND(C766=""),"",IF(AND(O766=""),"",SUM(O766,P766))))</f>
        <v/>
      </c>
      <c r="R766" s="9" t="str">
        <f t="shared" si="1077"/>
        <v/>
      </c>
      <c r="S766" s="20"/>
    </row>
    <row r="767" spans="1:25" ht="21" customHeight="1">
      <c r="A767" s="8">
        <v>4</v>
      </c>
      <c r="B767" s="23">
        <v>45200</v>
      </c>
      <c r="C767" s="9" t="str">
        <f>IF(AND(Y765=""),"",C766)</f>
        <v/>
      </c>
      <c r="D767" s="9" t="str">
        <f>IF(AND(C767=""),"",IF(AND(Y765=""),"",ROUND(C767*Master!C$5%,0)))</f>
        <v/>
      </c>
      <c r="E767" s="9" t="str">
        <f>IF(AND(C767=""),"",IF(AND(Y765=""),"",ROUND(C767*Master!H$5%,0)))</f>
        <v/>
      </c>
      <c r="F767" s="9" t="str">
        <f t="shared" ref="F767" si="1078">IF(AND(C767=""),"",SUM(C767:E767))</f>
        <v/>
      </c>
      <c r="G767" s="9" t="str">
        <f>IF(AND(Y765=""),"",G766)</f>
        <v/>
      </c>
      <c r="H767" s="9" t="str">
        <f>IF(AND(G767=""),"",IF(AND(Y765=""),"",ROUND(G767*Master!C$4%,0)))</f>
        <v/>
      </c>
      <c r="I767" s="9" t="str">
        <f>IF(AND(G767=""),"",IF(AND(Y765=""),"",ROUND(G767*Master!H$4%,0)))</f>
        <v/>
      </c>
      <c r="J767" s="9" t="str">
        <f t="shared" ref="J767" si="1079">IF(AND(C767=""),"",SUM(G767:I767))</f>
        <v/>
      </c>
      <c r="K767" s="9" t="str">
        <f t="shared" ref="K767" si="1080">IF(AND(C767=""),"",IF(AND(G767=""),"",C767-G767))</f>
        <v/>
      </c>
      <c r="L767" s="9" t="str">
        <f t="shared" ref="L767" si="1081">IF(AND(D767=""),"",IF(AND(H767=""),"",D767-H767))</f>
        <v/>
      </c>
      <c r="M767" s="9" t="str">
        <f t="shared" ref="M767" si="1082">IF(AND(E767=""),"",IF(AND(I767=""),"",E767-I767))</f>
        <v/>
      </c>
      <c r="N767" s="9" t="str">
        <f t="shared" ref="N767" si="1083">IF(AND(F767=""),"",IF(AND(J767=""),"",F767-J767))</f>
        <v/>
      </c>
      <c r="O767" s="9" t="str">
        <f t="shared" ref="O767" si="1084">IF(AND(C767=""),"",N767-P767)</f>
        <v/>
      </c>
      <c r="P767" s="9" t="str">
        <f>IF(AND(Y765=""),"",IF(AND(N767=""),"",ROUND(N767*AA$1%,0)))</f>
        <v/>
      </c>
      <c r="Q767" s="9" t="str">
        <f>IF(AND(Y765=""),"",IF(AND(C767=""),"",IF(AND(O767=""),"",SUM(O767,P767))))</f>
        <v/>
      </c>
      <c r="R767" s="9" t="str">
        <f t="shared" ref="R767" si="1085">IF(AND(N767=""),"",IF(AND(Q767=""),"",N767-Q767))</f>
        <v/>
      </c>
      <c r="S767" s="20"/>
    </row>
    <row r="768" spans="1:25" ht="30.75" customHeight="1">
      <c r="A768" s="153" t="s">
        <v>9</v>
      </c>
      <c r="B768" s="154"/>
      <c r="C768" s="63">
        <f>IF(AND($Y$764=""),"",SUM(C764:C767))</f>
        <v>0</v>
      </c>
      <c r="D768" s="63">
        <f t="shared" ref="D768:R768" si="1086">IF(AND($Y$764=""),"",SUM(D764:D767))</f>
        <v>0</v>
      </c>
      <c r="E768" s="63">
        <f t="shared" si="1086"/>
        <v>0</v>
      </c>
      <c r="F768" s="63">
        <f t="shared" si="1086"/>
        <v>0</v>
      </c>
      <c r="G768" s="63">
        <f t="shared" si="1086"/>
        <v>0</v>
      </c>
      <c r="H768" s="63">
        <f t="shared" si="1086"/>
        <v>0</v>
      </c>
      <c r="I768" s="63">
        <f t="shared" si="1086"/>
        <v>0</v>
      </c>
      <c r="J768" s="63">
        <f t="shared" si="1086"/>
        <v>0</v>
      </c>
      <c r="K768" s="63">
        <f t="shared" si="1086"/>
        <v>0</v>
      </c>
      <c r="L768" s="63">
        <f t="shared" si="1086"/>
        <v>0</v>
      </c>
      <c r="M768" s="63">
        <f t="shared" si="1086"/>
        <v>0</v>
      </c>
      <c r="N768" s="63">
        <f t="shared" si="1086"/>
        <v>0</v>
      </c>
      <c r="O768" s="63">
        <f t="shared" si="1086"/>
        <v>0</v>
      </c>
      <c r="P768" s="63">
        <f t="shared" si="1086"/>
        <v>0</v>
      </c>
      <c r="Q768" s="63">
        <f t="shared" si="1086"/>
        <v>0</v>
      </c>
      <c r="R768" s="63">
        <f t="shared" si="1086"/>
        <v>0</v>
      </c>
      <c r="S768" s="49"/>
    </row>
    <row r="769" spans="1:27" ht="30.75" customHeight="1">
      <c r="A769" s="73"/>
      <c r="B769" s="73"/>
      <c r="C769" s="74"/>
      <c r="D769" s="74"/>
      <c r="E769" s="74"/>
      <c r="F769" s="74"/>
      <c r="G769" s="74"/>
      <c r="H769" s="74"/>
      <c r="I769" s="74"/>
      <c r="J769" s="74"/>
      <c r="K769" s="74"/>
      <c r="L769" s="74"/>
      <c r="M769" s="74"/>
      <c r="N769" s="74"/>
      <c r="O769" s="74"/>
      <c r="P769" s="74"/>
      <c r="Q769" s="74"/>
      <c r="R769" s="74"/>
      <c r="S769" s="75"/>
    </row>
    <row r="770" spans="1:27" ht="18.75">
      <c r="A770" s="21"/>
      <c r="B770" s="58"/>
      <c r="C770" s="58"/>
      <c r="D770" s="58"/>
      <c r="E770" s="58"/>
      <c r="F770" s="58"/>
      <c r="G770" s="58"/>
      <c r="H770" s="59"/>
      <c r="I770" s="59"/>
      <c r="J770" s="59"/>
      <c r="K770" s="66"/>
      <c r="L770" s="66"/>
      <c r="M770" s="66"/>
      <c r="N770" s="66"/>
      <c r="O770" s="138" t="s">
        <v>42</v>
      </c>
      <c r="P770" s="138"/>
      <c r="Q770" s="138"/>
      <c r="R770" s="138"/>
      <c r="S770" s="138"/>
    </row>
    <row r="771" spans="1:27" ht="18.75">
      <c r="A771" s="1"/>
      <c r="B771" s="24" t="s">
        <v>19</v>
      </c>
      <c r="C771" s="139"/>
      <c r="D771" s="139"/>
      <c r="E771" s="139"/>
      <c r="F771" s="139"/>
      <c r="G771" s="139"/>
      <c r="H771" s="25"/>
      <c r="I771" s="143" t="s">
        <v>20</v>
      </c>
      <c r="J771" s="143"/>
      <c r="K771" s="141"/>
      <c r="L771" s="141"/>
      <c r="M771" s="141"/>
      <c r="O771" s="138"/>
      <c r="P771" s="138"/>
      <c r="Q771" s="138"/>
      <c r="R771" s="138"/>
      <c r="S771" s="138"/>
    </row>
    <row r="772" spans="1:27" ht="18.75">
      <c r="A772" s="1"/>
      <c r="B772" s="140" t="s">
        <v>21</v>
      </c>
      <c r="C772" s="140"/>
      <c r="D772" s="140"/>
      <c r="E772" s="140"/>
      <c r="F772" s="140"/>
      <c r="G772" s="140"/>
      <c r="H772" s="140"/>
      <c r="I772" s="27"/>
      <c r="J772" s="26"/>
      <c r="K772" s="26"/>
      <c r="L772" s="26"/>
      <c r="M772" s="26"/>
    </row>
    <row r="773" spans="1:27" ht="18.75">
      <c r="A773" s="22">
        <v>1</v>
      </c>
      <c r="B773" s="142" t="s">
        <v>22</v>
      </c>
      <c r="C773" s="142"/>
      <c r="D773" s="142"/>
      <c r="E773" s="142"/>
      <c r="F773" s="142"/>
      <c r="G773" s="142"/>
      <c r="H773" s="142"/>
      <c r="I773" s="28"/>
      <c r="J773" s="26"/>
      <c r="K773" s="26"/>
      <c r="L773" s="26"/>
      <c r="M773" s="26"/>
    </row>
    <row r="774" spans="1:27" ht="18.75">
      <c r="A774" s="2">
        <v>2</v>
      </c>
      <c r="B774" s="142" t="s">
        <v>23</v>
      </c>
      <c r="C774" s="142"/>
      <c r="D774" s="142"/>
      <c r="E774" s="142"/>
      <c r="F774" s="142"/>
      <c r="G774" s="132"/>
      <c r="H774" s="132"/>
      <c r="I774" s="132"/>
      <c r="J774" s="132"/>
      <c r="K774" s="132"/>
      <c r="L774" s="132"/>
      <c r="M774" s="132"/>
    </row>
    <row r="775" spans="1:27" ht="18.75">
      <c r="A775" s="3">
        <v>3</v>
      </c>
      <c r="B775" s="142" t="s">
        <v>24</v>
      </c>
      <c r="C775" s="142"/>
      <c r="D775" s="142"/>
      <c r="E775" s="29"/>
      <c r="F775" s="28"/>
      <c r="G775" s="28"/>
      <c r="H775" s="30"/>
      <c r="I775" s="31"/>
      <c r="J775" s="26"/>
      <c r="K775" s="26"/>
      <c r="L775" s="26"/>
      <c r="M775" s="26"/>
    </row>
    <row r="776" spans="1:27" ht="15.75">
      <c r="O776" s="138" t="s">
        <v>42</v>
      </c>
      <c r="P776" s="138"/>
      <c r="Q776" s="138"/>
      <c r="R776" s="138"/>
      <c r="S776" s="138"/>
    </row>
    <row r="778" spans="1:27" ht="18" customHeight="1">
      <c r="A778" s="148" t="str">
        <f>A741</f>
        <v xml:space="preserve">DA (46% to 50%) Drawn Statement  </v>
      </c>
      <c r="B778" s="148"/>
      <c r="C778" s="148"/>
      <c r="D778" s="148"/>
      <c r="E778" s="148"/>
      <c r="F778" s="148"/>
      <c r="G778" s="148"/>
      <c r="H778" s="148"/>
      <c r="I778" s="148"/>
      <c r="J778" s="148"/>
      <c r="K778" s="148"/>
      <c r="L778" s="148"/>
      <c r="M778" s="148"/>
      <c r="N778" s="148"/>
      <c r="O778" s="148"/>
      <c r="P778" s="148"/>
      <c r="Q778" s="148"/>
      <c r="R778" s="148"/>
      <c r="S778" s="148"/>
      <c r="W778" s="4">
        <f>IF(ISNA(VLOOKUP($Y$3,Master!A$8:N$127,4,FALSE)),"",VLOOKUP($Y$3,Master!A$8:AH$127,4,FALSE))</f>
        <v>2</v>
      </c>
      <c r="X778" s="4" t="str">
        <f>IF(ISNA(VLOOKUP($Y$3,Master!A$8:N$127,6,FALSE)),"",VLOOKUP($Y$3,Master!A$8:AH$127,6,FALSE))</f>
        <v>GPF-2004</v>
      </c>
      <c r="Y778" s="4" t="s">
        <v>45</v>
      </c>
      <c r="Z778" s="4" t="s">
        <v>18</v>
      </c>
      <c r="AA778" s="4" t="str">
        <f>IF(ISNA(VLOOKUP(Y780,Master!A$8:N$127,7,FALSE)),"",VLOOKUP(Y780,Master!A$8:AH$127,7,FALSE))</f>
        <v/>
      </c>
    </row>
    <row r="779" spans="1:27" ht="18">
      <c r="A779" s="131" t="str">
        <f>IF(AND(Master!C717=""),"",CONCATENATE("Office Of  ",Master!C717))</f>
        <v/>
      </c>
      <c r="B779" s="131"/>
      <c r="C779" s="131"/>
      <c r="D779" s="131"/>
      <c r="E779" s="131"/>
      <c r="F779" s="131"/>
      <c r="G779" s="131"/>
      <c r="H779" s="131"/>
      <c r="I779" s="131"/>
      <c r="J779" s="131"/>
      <c r="K779" s="131"/>
      <c r="L779" s="131"/>
      <c r="M779" s="131"/>
      <c r="N779" s="131"/>
      <c r="O779" s="131"/>
      <c r="P779" s="131"/>
      <c r="Q779" s="131"/>
      <c r="R779" s="131"/>
      <c r="S779" s="131"/>
      <c r="X779" s="4">
        <f>IF(ISNA(VLOOKUP($Y$3,Master!A$8:N$127,8,FALSE)),"",VLOOKUP($Y$3,Master!A$8:AH$127,8,FALSE))</f>
        <v>45292</v>
      </c>
      <c r="Y779" s="4" t="s">
        <v>43</v>
      </c>
    </row>
    <row r="780" spans="1:27" ht="18.75">
      <c r="E780" s="133" t="s">
        <v>10</v>
      </c>
      <c r="F780" s="133"/>
      <c r="G780" s="133"/>
      <c r="H780" s="133"/>
      <c r="I780" s="133"/>
      <c r="J780" s="132" t="str">
        <f>IF(ISNA(VLOOKUP(Y780,Master!A$8:N$127,2,FALSE)),"",VLOOKUP(Y780,Master!A$8:AH$127,2,FALSE))</f>
        <v/>
      </c>
      <c r="K780" s="132"/>
      <c r="L780" s="132"/>
      <c r="M780" s="132"/>
      <c r="N780" s="132"/>
      <c r="O780" s="60" t="s">
        <v>31</v>
      </c>
      <c r="P780" s="132" t="str">
        <f>IF(ISNA(VLOOKUP(Y780,Master!A$8:N$127,3,FALSE)),"",VLOOKUP(Y780,Master!A$8:AH$127,3,FALSE))</f>
        <v/>
      </c>
      <c r="Q780" s="132"/>
      <c r="R780" s="132"/>
      <c r="S780" s="132"/>
      <c r="X780" s="61" t="s">
        <v>49</v>
      </c>
      <c r="Y780" s="64">
        <v>64</v>
      </c>
    </row>
    <row r="781" spans="1:27" ht="8.25" customHeight="1">
      <c r="E781" s="19"/>
      <c r="F781" s="52"/>
      <c r="G781" s="22"/>
      <c r="H781" s="22"/>
      <c r="I781" s="22"/>
      <c r="J781" s="5"/>
      <c r="K781" s="5"/>
      <c r="L781" s="5"/>
      <c r="M781" s="5"/>
      <c r="N781" s="5"/>
      <c r="O781" s="6"/>
      <c r="P781" s="6"/>
    </row>
    <row r="782" spans="1:27" ht="24.75" customHeight="1">
      <c r="A782" s="157" t="s">
        <v>0</v>
      </c>
      <c r="B782" s="158" t="s">
        <v>3</v>
      </c>
      <c r="C782" s="159" t="s">
        <v>5</v>
      </c>
      <c r="D782" s="159"/>
      <c r="E782" s="159"/>
      <c r="F782" s="159"/>
      <c r="G782" s="159" t="s">
        <v>6</v>
      </c>
      <c r="H782" s="159"/>
      <c r="I782" s="159"/>
      <c r="J782" s="159"/>
      <c r="K782" s="159" t="s">
        <v>7</v>
      </c>
      <c r="L782" s="159"/>
      <c r="M782" s="159"/>
      <c r="N782" s="159"/>
      <c r="O782" s="149" t="s">
        <v>8</v>
      </c>
      <c r="P782" s="150"/>
      <c r="Q782" s="151"/>
      <c r="R782" s="162" t="s">
        <v>54</v>
      </c>
      <c r="S782" s="162" t="s">
        <v>40</v>
      </c>
    </row>
    <row r="783" spans="1:27" ht="69" customHeight="1">
      <c r="A783" s="157"/>
      <c r="B783" s="158"/>
      <c r="C783" s="54" t="s">
        <v>29</v>
      </c>
      <c r="D783" s="55" t="s">
        <v>1</v>
      </c>
      <c r="E783" s="56" t="s">
        <v>2</v>
      </c>
      <c r="F783" s="54" t="s">
        <v>46</v>
      </c>
      <c r="G783" s="54" t="s">
        <v>29</v>
      </c>
      <c r="H783" s="55" t="s">
        <v>1</v>
      </c>
      <c r="I783" s="56" t="s">
        <v>2</v>
      </c>
      <c r="J783" s="54" t="s">
        <v>47</v>
      </c>
      <c r="K783" s="54" t="s">
        <v>4</v>
      </c>
      <c r="L783" s="55" t="s">
        <v>1</v>
      </c>
      <c r="M783" s="56" t="s">
        <v>2</v>
      </c>
      <c r="N783" s="57" t="s">
        <v>48</v>
      </c>
      <c r="O783" s="53" t="s">
        <v>69</v>
      </c>
      <c r="P783" s="65" t="s">
        <v>41</v>
      </c>
      <c r="Q783" s="57" t="s">
        <v>53</v>
      </c>
      <c r="R783" s="162"/>
      <c r="S783" s="162"/>
    </row>
    <row r="784" spans="1:27" ht="18" customHeight="1">
      <c r="A784" s="7">
        <v>1</v>
      </c>
      <c r="B784" s="7">
        <v>2</v>
      </c>
      <c r="C784" s="7">
        <v>3</v>
      </c>
      <c r="D784" s="7">
        <v>4</v>
      </c>
      <c r="E784" s="7">
        <v>5</v>
      </c>
      <c r="F784" s="7">
        <v>6</v>
      </c>
      <c r="G784" s="7">
        <v>7</v>
      </c>
      <c r="H784" s="7">
        <v>8</v>
      </c>
      <c r="I784" s="7">
        <v>9</v>
      </c>
      <c r="J784" s="7">
        <v>10</v>
      </c>
      <c r="K784" s="7">
        <v>11</v>
      </c>
      <c r="L784" s="7">
        <v>12</v>
      </c>
      <c r="M784" s="7">
        <v>13</v>
      </c>
      <c r="N784" s="7">
        <v>14</v>
      </c>
      <c r="O784" s="7">
        <v>15</v>
      </c>
      <c r="P784" s="7">
        <v>17</v>
      </c>
      <c r="Q784" s="7">
        <v>18</v>
      </c>
      <c r="R784" s="7">
        <v>19</v>
      </c>
      <c r="S784" s="7">
        <v>20</v>
      </c>
    </row>
    <row r="785" spans="1:25" ht="21" customHeight="1">
      <c r="A785" s="8">
        <v>1</v>
      </c>
      <c r="B785" s="23">
        <v>45108</v>
      </c>
      <c r="C785" s="9" t="str">
        <f>IF(ISNA(VLOOKUP(Y780,Master!A$8:N$127,5,FALSE)),"",VLOOKUP(Y780,Master!A$8:AH$127,5,FALSE))</f>
        <v/>
      </c>
      <c r="D785" s="9" t="str">
        <f>IF(AND(C785=""),"",IF(AND(Y780=""),"",ROUND(C785*Master!C$5%,0)))</f>
        <v/>
      </c>
      <c r="E785" s="9" t="str">
        <f>IF(AND(C785=""),"",IF(AND(Y780=""),"",ROUND(C785*Master!H$5%,0)))</f>
        <v/>
      </c>
      <c r="F785" s="9" t="str">
        <f t="shared" ref="F785" si="1087">IF(AND(C785=""),"",SUM(C785:E785))</f>
        <v/>
      </c>
      <c r="G785" s="9" t="str">
        <f>IF(ISNA(VLOOKUP(Y780,Master!A$8:N$127,5,FALSE)),"",VLOOKUP(Y780,Master!A$8:AH$127,5,FALSE))</f>
        <v/>
      </c>
      <c r="H785" s="9" t="str">
        <f>IF(AND(G785=""),"",IF(AND(Y780=""),"",ROUND(G785*Master!C$4%,0)))</f>
        <v/>
      </c>
      <c r="I785" s="9" t="str">
        <f>IF(AND(G785=""),"",IF(AND(Y780=""),"",ROUND(G785*Master!H$4%,0)))</f>
        <v/>
      </c>
      <c r="J785" s="9" t="str">
        <f t="shared" ref="J785:J786" si="1088">IF(AND(C785=""),"",SUM(G785:I785))</f>
        <v/>
      </c>
      <c r="K785" s="9" t="str">
        <f t="shared" ref="K785:K787" si="1089">IF(AND(C785=""),"",IF(AND(G785=""),"",C785-G785))</f>
        <v/>
      </c>
      <c r="L785" s="9" t="str">
        <f t="shared" ref="L785:L787" si="1090">IF(AND(D785=""),"",IF(AND(H785=""),"",D785-H785))</f>
        <v/>
      </c>
      <c r="M785" s="9" t="str">
        <f t="shared" ref="M785:M786" si="1091">IF(AND(E785=""),"",IF(AND(I785=""),"",E785-I785))</f>
        <v/>
      </c>
      <c r="N785" s="9" t="str">
        <f t="shared" ref="N785:N786" si="1092">IF(AND(F785=""),"",IF(AND(J785=""),"",F785-J785))</f>
        <v/>
      </c>
      <c r="O785" s="9" t="str">
        <f>IF(AND(C785=""),"",N785-P785)</f>
        <v/>
      </c>
      <c r="P785" s="9" t="str">
        <f>IF(AND(Y780=""),"",IF(AND(N785=""),"",ROUND(N785*AA$1%,0)))</f>
        <v/>
      </c>
      <c r="Q785" s="9" t="str">
        <f>IF(AND(Y780=""),"",IF(AND(C785=""),"",IF(AND(O785=""),"",SUM(O785,P785))))</f>
        <v/>
      </c>
      <c r="R785" s="9" t="str">
        <f>IF(AND(N785=""),"",IF(AND(Q785=""),"",N785-Q785))</f>
        <v/>
      </c>
      <c r="S785" s="20"/>
    </row>
    <row r="786" spans="1:25" ht="21" customHeight="1">
      <c r="A786" s="8">
        <v>2</v>
      </c>
      <c r="B786" s="23">
        <v>45139</v>
      </c>
      <c r="C786" s="9" t="str">
        <f>IF(AND(Y780=""),"",C785)</f>
        <v/>
      </c>
      <c r="D786" s="9" t="str">
        <f>IF(AND(C786=""),"",IF(AND(Y780=""),"",ROUND(C786*Master!C$5%,0)))</f>
        <v/>
      </c>
      <c r="E786" s="9" t="str">
        <f>IF(AND(C786=""),"",IF(AND(Y780=""),"",ROUND(C786*Master!H$5%,0)))</f>
        <v/>
      </c>
      <c r="F786" s="9" t="str">
        <f>IF(AND(C786=""),"",SUM(C786:E786))</f>
        <v/>
      </c>
      <c r="G786" s="9" t="str">
        <f>IF(AND(Y780=""),"",G785)</f>
        <v/>
      </c>
      <c r="H786" s="9" t="str">
        <f>IF(AND(G786=""),"",IF(AND(Y780=""),"",ROUND(G786*Master!C$4%,0)))</f>
        <v/>
      </c>
      <c r="I786" s="9" t="str">
        <f>IF(AND(G786=""),"",IF(AND(Y780=""),"",ROUND(G786*Master!H$4%,0)))</f>
        <v/>
      </c>
      <c r="J786" s="9" t="str">
        <f t="shared" si="1088"/>
        <v/>
      </c>
      <c r="K786" s="9" t="str">
        <f t="shared" si="1089"/>
        <v/>
      </c>
      <c r="L786" s="9" t="str">
        <f t="shared" si="1090"/>
        <v/>
      </c>
      <c r="M786" s="9" t="str">
        <f t="shared" si="1091"/>
        <v/>
      </c>
      <c r="N786" s="9" t="str">
        <f t="shared" si="1092"/>
        <v/>
      </c>
      <c r="O786" s="9" t="str">
        <f t="shared" ref="O786:O787" si="1093">IF(AND(C786=""),"",N786-P786)</f>
        <v/>
      </c>
      <c r="P786" s="9" t="str">
        <f>IF(AND(Y780=""),"",IF(AND(N786=""),"",ROUND(N786*AA$1%,0)))</f>
        <v/>
      </c>
      <c r="Q786" s="9" t="str">
        <f>IF(AND(Y780=""),"",IF(AND(C786=""),"",IF(AND(O786=""),"",SUM(O786,P786))))</f>
        <v/>
      </c>
      <c r="R786" s="9" t="str">
        <f t="shared" ref="R786:R787" si="1094">IF(AND(N786=""),"",IF(AND(Q786=""),"",N786-Q786))</f>
        <v/>
      </c>
      <c r="S786" s="20"/>
    </row>
    <row r="787" spans="1:25" ht="21" customHeight="1">
      <c r="A787" s="8">
        <v>3</v>
      </c>
      <c r="B787" s="23">
        <v>45170</v>
      </c>
      <c r="C787" s="9" t="str">
        <f>IF(AND(Y780=""),"",C786)</f>
        <v/>
      </c>
      <c r="D787" s="9" t="str">
        <f>IF(AND(C787=""),"",IF(AND(Y780=""),"",ROUND(C787*Master!C$5%,0)))</f>
        <v/>
      </c>
      <c r="E787" s="9" t="str">
        <f>IF(AND(C787=""),"",IF(AND(Y780=""),"",ROUND(C787*Master!H$5%,0)))</f>
        <v/>
      </c>
      <c r="F787" s="9" t="str">
        <f t="shared" ref="F787" si="1095">IF(AND(C787=""),"",SUM(C787:E787))</f>
        <v/>
      </c>
      <c r="G787" s="9" t="str">
        <f>IF(AND(Y780=""),"",G786)</f>
        <v/>
      </c>
      <c r="H787" s="9" t="str">
        <f>IF(AND(G787=""),"",IF(AND(Y780=""),"",ROUND(G787*Master!C$4%,0)))</f>
        <v/>
      </c>
      <c r="I787" s="9" t="str">
        <f>IF(AND(G787=""),"",IF(AND(Y780=""),"",ROUND(G787*Master!H$4%,0)))</f>
        <v/>
      </c>
      <c r="J787" s="9" t="str">
        <f>IF(AND(C787=""),"",SUM(G787:I787))</f>
        <v/>
      </c>
      <c r="K787" s="9" t="str">
        <f t="shared" si="1089"/>
        <v/>
      </c>
      <c r="L787" s="9" t="str">
        <f t="shared" si="1090"/>
        <v/>
      </c>
      <c r="M787" s="9" t="str">
        <f>IF(AND(E787=""),"",IF(AND(I787=""),"",E787-I787))</f>
        <v/>
      </c>
      <c r="N787" s="9" t="str">
        <f>IF(AND(F787=""),"",IF(AND(J787=""),"",F787-J787))</f>
        <v/>
      </c>
      <c r="O787" s="9" t="str">
        <f t="shared" si="1093"/>
        <v/>
      </c>
      <c r="P787" s="9" t="str">
        <f>IF(AND(Y780=""),"",IF(AND(N787=""),"",ROUND(N787*AA$1%,0)))</f>
        <v/>
      </c>
      <c r="Q787" s="9" t="str">
        <f>IF(AND(Y780=""),"",IF(AND(C787=""),"",IF(AND(O787=""),"",SUM(O787,P787))))</f>
        <v/>
      </c>
      <c r="R787" s="9" t="str">
        <f t="shared" si="1094"/>
        <v/>
      </c>
      <c r="S787" s="20"/>
    </row>
    <row r="788" spans="1:25" ht="21" customHeight="1">
      <c r="A788" s="8">
        <v>4</v>
      </c>
      <c r="B788" s="23">
        <v>45200</v>
      </c>
      <c r="C788" s="9" t="str">
        <f>IF(AND(Y781=""),"",C787)</f>
        <v/>
      </c>
      <c r="D788" s="9" t="str">
        <f>IF(AND(C788=""),"",IF(AND(Y781=""),"",ROUND(C788*Master!C$5%,0)))</f>
        <v/>
      </c>
      <c r="E788" s="9" t="str">
        <f>IF(AND(C788=""),"",IF(AND(Y781=""),"",ROUND(C788*Master!H$5%,0)))</f>
        <v/>
      </c>
      <c r="F788" s="9" t="str">
        <f t="shared" ref="F788" si="1096">IF(AND(C788=""),"",SUM(C788:E788))</f>
        <v/>
      </c>
      <c r="G788" s="9" t="str">
        <f>IF(AND(Y781=""),"",G787)</f>
        <v/>
      </c>
      <c r="H788" s="9" t="str">
        <f>IF(AND(G788=""),"",IF(AND(Y781=""),"",ROUND(G788*Master!C$4%,0)))</f>
        <v/>
      </c>
      <c r="I788" s="9" t="str">
        <f>IF(AND(G788=""),"",IF(AND(Y781=""),"",ROUND(G788*Master!H$4%,0)))</f>
        <v/>
      </c>
      <c r="J788" s="9" t="str">
        <f>IF(AND(C788=""),"",SUM(G788:I788))</f>
        <v/>
      </c>
      <c r="K788" s="9" t="str">
        <f t="shared" ref="K788" si="1097">IF(AND(C788=""),"",IF(AND(G788=""),"",C788-G788))</f>
        <v/>
      </c>
      <c r="L788" s="9" t="str">
        <f t="shared" ref="L788" si="1098">IF(AND(D788=""),"",IF(AND(H788=""),"",D788-H788))</f>
        <v/>
      </c>
      <c r="M788" s="9" t="str">
        <f>IF(AND(E788=""),"",IF(AND(I788=""),"",E788-I788))</f>
        <v/>
      </c>
      <c r="N788" s="9" t="str">
        <f>IF(AND(F788=""),"",IF(AND(J788=""),"",F788-J788))</f>
        <v/>
      </c>
      <c r="O788" s="9" t="str">
        <f t="shared" ref="O788" si="1099">IF(AND(C788=""),"",N788-P788)</f>
        <v/>
      </c>
      <c r="P788" s="9" t="str">
        <f>IF(AND(Y781=""),"",IF(AND(N788=""),"",ROUND(N788*AA$1%,0)))</f>
        <v/>
      </c>
      <c r="Q788" s="9" t="str">
        <f>IF(AND(Y781=""),"",IF(AND(C788=""),"",IF(AND(O788=""),"",SUM(O788,P788))))</f>
        <v/>
      </c>
      <c r="R788" s="9" t="str">
        <f t="shared" ref="R788" si="1100">IF(AND(N788=""),"",IF(AND(Q788=""),"",N788-Q788))</f>
        <v/>
      </c>
      <c r="S788" s="20"/>
    </row>
    <row r="789" spans="1:25" ht="23.25" customHeight="1">
      <c r="A789" s="153" t="s">
        <v>9</v>
      </c>
      <c r="B789" s="154"/>
      <c r="C789" s="63">
        <f>IF(AND($Y$780=""),"",SUM(C785:C788))</f>
        <v>0</v>
      </c>
      <c r="D789" s="63">
        <f t="shared" ref="D789:R789" si="1101">IF(AND($Y$780=""),"",SUM(D785:D788))</f>
        <v>0</v>
      </c>
      <c r="E789" s="63">
        <f t="shared" si="1101"/>
        <v>0</v>
      </c>
      <c r="F789" s="63">
        <f t="shared" si="1101"/>
        <v>0</v>
      </c>
      <c r="G789" s="63">
        <f t="shared" si="1101"/>
        <v>0</v>
      </c>
      <c r="H789" s="63">
        <f t="shared" si="1101"/>
        <v>0</v>
      </c>
      <c r="I789" s="63">
        <f t="shared" si="1101"/>
        <v>0</v>
      </c>
      <c r="J789" s="63">
        <f t="shared" si="1101"/>
        <v>0</v>
      </c>
      <c r="K789" s="63">
        <f t="shared" si="1101"/>
        <v>0</v>
      </c>
      <c r="L789" s="63">
        <f t="shared" si="1101"/>
        <v>0</v>
      </c>
      <c r="M789" s="63">
        <f t="shared" si="1101"/>
        <v>0</v>
      </c>
      <c r="N789" s="63">
        <f t="shared" si="1101"/>
        <v>0</v>
      </c>
      <c r="O789" s="63">
        <f t="shared" si="1101"/>
        <v>0</v>
      </c>
      <c r="P789" s="63">
        <f t="shared" si="1101"/>
        <v>0</v>
      </c>
      <c r="Q789" s="63">
        <f t="shared" si="1101"/>
        <v>0</v>
      </c>
      <c r="R789" s="63">
        <f t="shared" si="1101"/>
        <v>0</v>
      </c>
      <c r="S789" s="49"/>
    </row>
    <row r="790" spans="1:25" ht="10.5" customHeight="1">
      <c r="A790" s="73"/>
      <c r="B790" s="73"/>
      <c r="C790" s="74"/>
      <c r="D790" s="74"/>
      <c r="E790" s="74"/>
      <c r="F790" s="74"/>
      <c r="G790" s="74"/>
      <c r="H790" s="74"/>
      <c r="I790" s="74"/>
      <c r="J790" s="74"/>
      <c r="K790" s="74"/>
      <c r="L790" s="74"/>
      <c r="M790" s="74"/>
      <c r="N790" s="74"/>
      <c r="O790" s="74"/>
      <c r="P790" s="74"/>
      <c r="Q790" s="74"/>
      <c r="R790" s="74"/>
      <c r="S790" s="75"/>
    </row>
    <row r="791" spans="1:25" ht="23.25" customHeight="1">
      <c r="E791" s="133" t="s">
        <v>10</v>
      </c>
      <c r="F791" s="133"/>
      <c r="G791" s="133"/>
      <c r="H791" s="133"/>
      <c r="I791" s="133"/>
      <c r="J791" s="132" t="str">
        <f>IF(ISNA(VLOOKUP(Y793,Master!A$8:N$127,2,FALSE)),"",VLOOKUP(Y793,Master!A$8:AH$127,2,FALSE))</f>
        <v/>
      </c>
      <c r="K791" s="132"/>
      <c r="L791" s="132"/>
      <c r="M791" s="132"/>
      <c r="N791" s="132"/>
      <c r="O791" s="60" t="s">
        <v>31</v>
      </c>
      <c r="P791" s="132" t="str">
        <f>IF(ISNA(VLOOKUP(Y793,Master!A$8:N$127,3,FALSE)),"",VLOOKUP(Y793,Master!A$8:AH$127,3,FALSE))</f>
        <v/>
      </c>
      <c r="Q791" s="132"/>
      <c r="R791" s="132"/>
      <c r="S791" s="132"/>
    </row>
    <row r="792" spans="1:25" ht="9" customHeight="1">
      <c r="E792" s="19"/>
      <c r="F792" s="52"/>
      <c r="G792" s="22"/>
      <c r="H792" s="22"/>
      <c r="I792" s="22"/>
      <c r="J792" s="5"/>
      <c r="K792" s="5"/>
      <c r="L792" s="5"/>
      <c r="M792" s="5"/>
      <c r="N792" s="5"/>
      <c r="O792" s="6"/>
      <c r="P792" s="6"/>
    </row>
    <row r="793" spans="1:25" ht="21" customHeight="1">
      <c r="A793" s="8">
        <v>1</v>
      </c>
      <c r="B793" s="23">
        <v>45108</v>
      </c>
      <c r="C793" s="9" t="str">
        <f>IF(ISNA(VLOOKUP(Y793,Master!A$8:N$127,5,FALSE)),"",VLOOKUP(Y793,Master!A$8:AH$127,5,FALSE))</f>
        <v/>
      </c>
      <c r="D793" s="9" t="str">
        <f>IF(AND(C793=""),"",IF(AND(Y793=""),"",ROUND(C793*Master!C$5%,0)))</f>
        <v/>
      </c>
      <c r="E793" s="9" t="str">
        <f>IF(AND(C793=""),"",IF(AND(Y793=""),"",ROUND(C793*Master!H$5%,0)))</f>
        <v/>
      </c>
      <c r="F793" s="9" t="str">
        <f t="shared" ref="F793:F795" si="1102">IF(AND(C793=""),"",SUM(C793:E793))</f>
        <v/>
      </c>
      <c r="G793" s="9" t="str">
        <f>IF(ISNA(VLOOKUP(Y793,Master!A$8:N$127,5,FALSE)),"",VLOOKUP(Y793,Master!A$8:AH$127,5,FALSE))</f>
        <v/>
      </c>
      <c r="H793" s="9" t="str">
        <f>IF(AND(G793=""),"",IF(AND(Y793=""),"",ROUND(G793*Master!C$4%,0)))</f>
        <v/>
      </c>
      <c r="I793" s="9" t="str">
        <f>IF(AND(G793=""),"",IF(AND(Y793=""),"",ROUND(G793*Master!H$4%,0)))</f>
        <v/>
      </c>
      <c r="J793" s="9" t="str">
        <f t="shared" ref="J793:J795" si="1103">IF(AND(C793=""),"",SUM(G793:I793))</f>
        <v/>
      </c>
      <c r="K793" s="9" t="str">
        <f t="shared" ref="K793" si="1104">IF(AND(C793=""),"",IF(AND(G793=""),"",C793-G793))</f>
        <v/>
      </c>
      <c r="L793" s="9" t="str">
        <f>IF(AND(D793=""),"",IF(AND(H793=""),"",D793-H793))</f>
        <v/>
      </c>
      <c r="M793" s="9" t="str">
        <f t="shared" ref="M793:M795" si="1105">IF(AND(E793=""),"",IF(AND(I793=""),"",E793-I793))</f>
        <v/>
      </c>
      <c r="N793" s="9" t="str">
        <f t="shared" ref="N793:N795" si="1106">IF(AND(F793=""),"",IF(AND(J793=""),"",F793-J793))</f>
        <v/>
      </c>
      <c r="O793" s="9" t="str">
        <f>IF(AND(C793=""),"",N793-P793)</f>
        <v/>
      </c>
      <c r="P793" s="9" t="str">
        <f>IF(AND(Y793=""),"",IF(AND(N793=""),"",ROUND(N793*X$17%,0)))</f>
        <v/>
      </c>
      <c r="Q793" s="9" t="str">
        <f>IF(AND(Y793=""),"",IF(AND(C793=""),"",IF(AND(O793=""),"",SUM(O793,P793))))</f>
        <v/>
      </c>
      <c r="R793" s="9" t="str">
        <f>IF(AND(N793=""),"",IF(AND(Q793=""),"",N793-Q793))</f>
        <v/>
      </c>
      <c r="S793" s="20"/>
      <c r="X793" s="61" t="s">
        <v>49</v>
      </c>
      <c r="Y793" s="64">
        <v>65</v>
      </c>
    </row>
    <row r="794" spans="1:25" ht="21" customHeight="1">
      <c r="A794" s="8">
        <v>2</v>
      </c>
      <c r="B794" s="23">
        <v>45139</v>
      </c>
      <c r="C794" s="9" t="str">
        <f>IF(AND(Y793=""),"",C793)</f>
        <v/>
      </c>
      <c r="D794" s="9" t="str">
        <f>IF(AND(C794=""),"",IF(AND(Y793=""),"",ROUND(C794*Master!C$5%,0)))</f>
        <v/>
      </c>
      <c r="E794" s="9" t="str">
        <f>IF(AND(C794=""),"",IF(AND(Y793=""),"",ROUND(C794*Master!H$5%,0)))</f>
        <v/>
      </c>
      <c r="F794" s="9" t="str">
        <f t="shared" si="1102"/>
        <v/>
      </c>
      <c r="G794" s="9" t="str">
        <f>IF(AND(Y793=""),"",G793)</f>
        <v/>
      </c>
      <c r="H794" s="9" t="str">
        <f>IF(AND(G794=""),"",IF(AND(Y793=""),"",ROUND(G794*Master!C$4%,0)))</f>
        <v/>
      </c>
      <c r="I794" s="9" t="str">
        <f>IF(AND(G794=""),"",IF(AND(Y793=""),"",ROUND(G794*Master!H$4%,0)))</f>
        <v/>
      </c>
      <c r="J794" s="9" t="str">
        <f t="shared" si="1103"/>
        <v/>
      </c>
      <c r="K794" s="9" t="str">
        <f>IF(AND(C794=""),"",IF(AND(G794=""),"",C794-G794))</f>
        <v/>
      </c>
      <c r="L794" s="9" t="str">
        <f t="shared" ref="L794:L795" si="1107">IF(AND(D794=""),"",IF(AND(H794=""),"",D794-H794))</f>
        <v/>
      </c>
      <c r="M794" s="9" t="str">
        <f t="shared" si="1105"/>
        <v/>
      </c>
      <c r="N794" s="9" t="str">
        <f t="shared" si="1106"/>
        <v/>
      </c>
      <c r="O794" s="9" t="str">
        <f t="shared" ref="O794:O795" si="1108">IF(AND(C794=""),"",N794-P794)</f>
        <v/>
      </c>
      <c r="P794" s="9" t="str">
        <f>IF(AND(Y793=""),"",IF(AND(N794=""),"",ROUND(N794*X$17%,0)))</f>
        <v/>
      </c>
      <c r="Q794" s="9" t="str">
        <f>IF(AND(Y793=""),"",IF(AND(C794=""),"",IF(AND(O794=""),"",SUM(O794,P794))))</f>
        <v/>
      </c>
      <c r="R794" s="9" t="str">
        <f t="shared" ref="R794:R795" si="1109">IF(AND(N794=""),"",IF(AND(Q794=""),"",N794-Q794))</f>
        <v/>
      </c>
      <c r="S794" s="20"/>
      <c r="X794" s="4" t="str">
        <f>IF(ISNA(VLOOKUP(Y793,Master!A$8:N$127,7,FALSE)),"",VLOOKUP(Y793,Master!A$8:AH$127,7,FALSE))</f>
        <v/>
      </c>
    </row>
    <row r="795" spans="1:25" ht="21" customHeight="1">
      <c r="A795" s="8">
        <v>3</v>
      </c>
      <c r="B795" s="23">
        <v>45170</v>
      </c>
      <c r="C795" s="9" t="str">
        <f>IF(AND(Y793=""),"",C794)</f>
        <v/>
      </c>
      <c r="D795" s="9" t="str">
        <f>IF(AND(C795=""),"",IF(AND(Y793=""),"",ROUND(C795*Master!C$5%,0)))</f>
        <v/>
      </c>
      <c r="E795" s="9" t="str">
        <f>IF(AND(C795=""),"",IF(AND(Y793=""),"",ROUND(C795*Master!H$5%,0)))</f>
        <v/>
      </c>
      <c r="F795" s="9" t="str">
        <f t="shared" si="1102"/>
        <v/>
      </c>
      <c r="G795" s="9" t="str">
        <f>IF(AND(Y793=""),"",G794)</f>
        <v/>
      </c>
      <c r="H795" s="9" t="str">
        <f>IF(AND(G795=""),"",IF(AND(Y793=""),"",ROUND(G795*Master!C$4%,0)))</f>
        <v/>
      </c>
      <c r="I795" s="9" t="str">
        <f>IF(AND(G795=""),"",IF(AND(Y793=""),"",ROUND(G795*Master!H$4%,0)))</f>
        <v/>
      </c>
      <c r="J795" s="9" t="str">
        <f t="shared" si="1103"/>
        <v/>
      </c>
      <c r="K795" s="9" t="str">
        <f t="shared" ref="K795" si="1110">IF(AND(C795=""),"",IF(AND(G795=""),"",C795-G795))</f>
        <v/>
      </c>
      <c r="L795" s="9" t="str">
        <f t="shared" si="1107"/>
        <v/>
      </c>
      <c r="M795" s="9" t="str">
        <f t="shared" si="1105"/>
        <v/>
      </c>
      <c r="N795" s="9" t="str">
        <f t="shared" si="1106"/>
        <v/>
      </c>
      <c r="O795" s="9" t="str">
        <f t="shared" si="1108"/>
        <v/>
      </c>
      <c r="P795" s="9" t="str">
        <f>IF(AND(Y793=""),"",IF(AND(N795=""),"",ROUND(N795*X$17%,0)))</f>
        <v/>
      </c>
      <c r="Q795" s="9" t="str">
        <f>IF(AND(Y793=""),"",IF(AND(C795=""),"",IF(AND(O795=""),"",SUM(O795,P795))))</f>
        <v/>
      </c>
      <c r="R795" s="9" t="str">
        <f t="shared" si="1109"/>
        <v/>
      </c>
      <c r="S795" s="20"/>
    </row>
    <row r="796" spans="1:25" ht="21" customHeight="1">
      <c r="A796" s="8">
        <v>4</v>
      </c>
      <c r="B796" s="23">
        <v>45200</v>
      </c>
      <c r="C796" s="9" t="str">
        <f>IF(AND(Y794=""),"",C795)</f>
        <v/>
      </c>
      <c r="D796" s="9" t="str">
        <f>IF(AND(C796=""),"",IF(AND(Y794=""),"",ROUND(C796*Master!C$5%,0)))</f>
        <v/>
      </c>
      <c r="E796" s="9" t="str">
        <f>IF(AND(C796=""),"",IF(AND(Y794=""),"",ROUND(C796*Master!H$5%,0)))</f>
        <v/>
      </c>
      <c r="F796" s="9" t="str">
        <f t="shared" ref="F796" si="1111">IF(AND(C796=""),"",SUM(C796:E796))</f>
        <v/>
      </c>
      <c r="G796" s="9" t="str">
        <f>IF(AND(Y794=""),"",G795)</f>
        <v/>
      </c>
      <c r="H796" s="9" t="str">
        <f>IF(AND(G796=""),"",IF(AND(Y794=""),"",ROUND(G796*Master!C$4%,0)))</f>
        <v/>
      </c>
      <c r="I796" s="9" t="str">
        <f>IF(AND(G796=""),"",IF(AND(Y794=""),"",ROUND(G796*Master!H$4%,0)))</f>
        <v/>
      </c>
      <c r="J796" s="9" t="str">
        <f t="shared" ref="J796" si="1112">IF(AND(C796=""),"",SUM(G796:I796))</f>
        <v/>
      </c>
      <c r="K796" s="9" t="str">
        <f t="shared" ref="K796" si="1113">IF(AND(C796=""),"",IF(AND(G796=""),"",C796-G796))</f>
        <v/>
      </c>
      <c r="L796" s="9" t="str">
        <f t="shared" ref="L796" si="1114">IF(AND(D796=""),"",IF(AND(H796=""),"",D796-H796))</f>
        <v/>
      </c>
      <c r="M796" s="9" t="str">
        <f t="shared" ref="M796" si="1115">IF(AND(E796=""),"",IF(AND(I796=""),"",E796-I796))</f>
        <v/>
      </c>
      <c r="N796" s="9" t="str">
        <f t="shared" ref="N796" si="1116">IF(AND(F796=""),"",IF(AND(J796=""),"",F796-J796))</f>
        <v/>
      </c>
      <c r="O796" s="9" t="str">
        <f t="shared" ref="O796" si="1117">IF(AND(C796=""),"",N796-P796)</f>
        <v/>
      </c>
      <c r="P796" s="9" t="str">
        <f>IF(AND(Y794=""),"",IF(AND(N796=""),"",ROUND(N796*X$17%,0)))</f>
        <v/>
      </c>
      <c r="Q796" s="9" t="str">
        <f>IF(AND(Y794=""),"",IF(AND(C796=""),"",IF(AND(O796=""),"",SUM(O796,P796))))</f>
        <v/>
      </c>
      <c r="R796" s="9" t="str">
        <f t="shared" ref="R796" si="1118">IF(AND(N796=""),"",IF(AND(Q796=""),"",N796-Q796))</f>
        <v/>
      </c>
      <c r="S796" s="20"/>
    </row>
    <row r="797" spans="1:25" ht="30.75" customHeight="1">
      <c r="A797" s="153" t="s">
        <v>9</v>
      </c>
      <c r="B797" s="154"/>
      <c r="C797" s="63">
        <f>IF(AND($Y$793=""),"",SUM(C793:C796))</f>
        <v>0</v>
      </c>
      <c r="D797" s="63">
        <f t="shared" ref="D797:R797" si="1119">IF(AND($Y$793=""),"",SUM(D793:D796))</f>
        <v>0</v>
      </c>
      <c r="E797" s="63">
        <f t="shared" si="1119"/>
        <v>0</v>
      </c>
      <c r="F797" s="63">
        <f t="shared" si="1119"/>
        <v>0</v>
      </c>
      <c r="G797" s="63">
        <f t="shared" si="1119"/>
        <v>0</v>
      </c>
      <c r="H797" s="63">
        <f t="shared" si="1119"/>
        <v>0</v>
      </c>
      <c r="I797" s="63">
        <f t="shared" si="1119"/>
        <v>0</v>
      </c>
      <c r="J797" s="63">
        <f t="shared" si="1119"/>
        <v>0</v>
      </c>
      <c r="K797" s="63">
        <f t="shared" si="1119"/>
        <v>0</v>
      </c>
      <c r="L797" s="63">
        <f t="shared" si="1119"/>
        <v>0</v>
      </c>
      <c r="M797" s="63">
        <f t="shared" si="1119"/>
        <v>0</v>
      </c>
      <c r="N797" s="63">
        <f t="shared" si="1119"/>
        <v>0</v>
      </c>
      <c r="O797" s="63">
        <f t="shared" si="1119"/>
        <v>0</v>
      </c>
      <c r="P797" s="63">
        <f t="shared" si="1119"/>
        <v>0</v>
      </c>
      <c r="Q797" s="63">
        <f t="shared" si="1119"/>
        <v>0</v>
      </c>
      <c r="R797" s="63">
        <f t="shared" si="1119"/>
        <v>0</v>
      </c>
      <c r="S797" s="49"/>
    </row>
    <row r="798" spans="1:25" ht="11.25" customHeight="1">
      <c r="A798" s="73"/>
      <c r="B798" s="73"/>
      <c r="C798" s="74"/>
      <c r="D798" s="74"/>
      <c r="E798" s="74"/>
      <c r="F798" s="74"/>
      <c r="G798" s="74"/>
      <c r="H798" s="74"/>
      <c r="I798" s="74"/>
      <c r="J798" s="74"/>
      <c r="K798" s="74"/>
      <c r="L798" s="74"/>
      <c r="M798" s="74"/>
      <c r="N798" s="74"/>
      <c r="O798" s="74"/>
      <c r="P798" s="74"/>
      <c r="Q798" s="74"/>
      <c r="R798" s="74"/>
      <c r="S798" s="75"/>
    </row>
    <row r="799" spans="1:25" ht="23.25" customHeight="1">
      <c r="E799" s="133" t="s">
        <v>10</v>
      </c>
      <c r="F799" s="133"/>
      <c r="G799" s="133"/>
      <c r="H799" s="133"/>
      <c r="I799" s="133"/>
      <c r="J799" s="132" t="str">
        <f>IF(ISNA(VLOOKUP(Y801,Master!A$8:N$127,2,FALSE)),"",VLOOKUP(Y801,Master!A$8:AH$127,2,FALSE))</f>
        <v/>
      </c>
      <c r="K799" s="132"/>
      <c r="L799" s="132"/>
      <c r="M799" s="132"/>
      <c r="N799" s="132"/>
      <c r="O799" s="60" t="s">
        <v>31</v>
      </c>
      <c r="P799" s="132" t="str">
        <f>IF(ISNA(VLOOKUP($Y$431,Master!A$8:N$127,3,FALSE)),"",VLOOKUP($Y$431,Master!A$8:AH$127,3,FALSE))</f>
        <v/>
      </c>
      <c r="Q799" s="132"/>
      <c r="R799" s="132"/>
      <c r="S799" s="132"/>
    </row>
    <row r="800" spans="1:25" ht="9" customHeight="1">
      <c r="E800" s="19"/>
      <c r="F800" s="52"/>
      <c r="G800" s="22"/>
      <c r="H800" s="22"/>
      <c r="I800" s="22"/>
      <c r="J800" s="5"/>
      <c r="K800" s="5"/>
      <c r="L800" s="5"/>
      <c r="M800" s="5"/>
      <c r="N800" s="5"/>
      <c r="O800" s="6"/>
      <c r="P800" s="6"/>
    </row>
    <row r="801" spans="1:27" ht="21" customHeight="1">
      <c r="A801" s="8">
        <v>1</v>
      </c>
      <c r="B801" s="23">
        <v>45108</v>
      </c>
      <c r="C801" s="9" t="str">
        <f>IF(ISNA(VLOOKUP(Y801,Master!A$8:N$127,5,FALSE)),"",VLOOKUP(Y801,Master!A$8:AH$127,5,FALSE))</f>
        <v/>
      </c>
      <c r="D801" s="9" t="str">
        <f>IF(AND(C801=""),"",IF(AND(Y801=""),"",ROUND(C801*Master!C$5%,0)))</f>
        <v/>
      </c>
      <c r="E801" s="9" t="str">
        <f>IF(AND(C801=""),"",IF(AND(Y801=""),"",ROUND(C801*Master!H$5%,0)))</f>
        <v/>
      </c>
      <c r="F801" s="9" t="str">
        <f t="shared" ref="F801:F803" si="1120">IF(AND(C801=""),"",SUM(C801:E801))</f>
        <v/>
      </c>
      <c r="G801" s="9" t="str">
        <f>IF(ISNA(VLOOKUP(Y801,Master!A$8:N$127,5,FALSE)),"",VLOOKUP(Y801,Master!A$8:AH$127,5,FALSE))</f>
        <v/>
      </c>
      <c r="H801" s="9" t="str">
        <f>IF(AND(G801=""),"",IF(AND(Y801=""),"",ROUND(G801*Master!C$4%,0)))</f>
        <v/>
      </c>
      <c r="I801" s="9" t="str">
        <f>IF(AND(G801=""),"",IF(AND(Y801=""),"",ROUND(G801*Master!H$4%,0)))</f>
        <v/>
      </c>
      <c r="J801" s="9" t="str">
        <f t="shared" ref="J801:J803" si="1121">IF(AND(C801=""),"",SUM(G801:I801))</f>
        <v/>
      </c>
      <c r="K801" s="9" t="str">
        <f t="shared" ref="K801:K803" si="1122">IF(AND(C801=""),"",IF(AND(G801=""),"",C801-G801))</f>
        <v/>
      </c>
      <c r="L801" s="9" t="str">
        <f t="shared" ref="L801:L803" si="1123">IF(AND(D801=""),"",IF(AND(H801=""),"",D801-H801))</f>
        <v/>
      </c>
      <c r="M801" s="9" t="str">
        <f t="shared" ref="M801:M803" si="1124">IF(AND(E801=""),"",IF(AND(I801=""),"",E801-I801))</f>
        <v/>
      </c>
      <c r="N801" s="9" t="str">
        <f t="shared" ref="N801:N803" si="1125">IF(AND(F801=""),"",IF(AND(J801=""),"",F801-J801))</f>
        <v/>
      </c>
      <c r="O801" s="9" t="str">
        <f>IF(AND(C801=""),"",N801-P801)</f>
        <v/>
      </c>
      <c r="P801" s="9" t="str">
        <f>IF(AND(Y801=""),"",IF(AND(N801=""),"",ROUND(N801*AA$1%,0)))</f>
        <v/>
      </c>
      <c r="Q801" s="9" t="str">
        <f>IF(AND(Y801=""),"",IF(AND(C801=""),"",IF(AND(O801=""),"",SUM(O801,P801))))</f>
        <v/>
      </c>
      <c r="R801" s="9" t="str">
        <f>IF(AND(N801=""),"",IF(AND(Q801=""),"",N801-Q801))</f>
        <v/>
      </c>
      <c r="S801" s="20"/>
      <c r="X801" s="61" t="s">
        <v>49</v>
      </c>
      <c r="Y801" s="64">
        <v>66</v>
      </c>
    </row>
    <row r="802" spans="1:27" ht="21" customHeight="1">
      <c r="A802" s="8">
        <v>2</v>
      </c>
      <c r="B802" s="23">
        <v>45139</v>
      </c>
      <c r="C802" s="9" t="str">
        <f>IF(AND(Y801=""),"",C801)</f>
        <v/>
      </c>
      <c r="D802" s="9" t="str">
        <f>IF(AND(C802=""),"",IF(AND(Y801=""),"",ROUND(C802*Master!C$5%,0)))</f>
        <v/>
      </c>
      <c r="E802" s="9" t="str">
        <f>IF(AND(C802=""),"",IF(AND(Y801=""),"",ROUND(C802*Master!H$5%,0)))</f>
        <v/>
      </c>
      <c r="F802" s="9" t="str">
        <f t="shared" si="1120"/>
        <v/>
      </c>
      <c r="G802" s="9" t="str">
        <f>IF(AND(Y801=""),"",G801)</f>
        <v/>
      </c>
      <c r="H802" s="9" t="str">
        <f>IF(AND(G802=""),"",IF(AND(Y801=""),"",ROUND(G802*Master!C$4%,0)))</f>
        <v/>
      </c>
      <c r="I802" s="9" t="str">
        <f>IF(AND(G802=""),"",IF(AND(Y801=""),"",ROUND(G802*Master!H$4%,0)))</f>
        <v/>
      </c>
      <c r="J802" s="9" t="str">
        <f t="shared" si="1121"/>
        <v/>
      </c>
      <c r="K802" s="9" t="str">
        <f t="shared" si="1122"/>
        <v/>
      </c>
      <c r="L802" s="9" t="str">
        <f t="shared" si="1123"/>
        <v/>
      </c>
      <c r="M802" s="9" t="str">
        <f t="shared" si="1124"/>
        <v/>
      </c>
      <c r="N802" s="9" t="str">
        <f t="shared" si="1125"/>
        <v/>
      </c>
      <c r="O802" s="9" t="str">
        <f t="shared" ref="O802:O803" si="1126">IF(AND(C802=""),"",N802-P802)</f>
        <v/>
      </c>
      <c r="P802" s="9" t="str">
        <f>IF(AND(Y801=""),"",IF(AND(N802=""),"",ROUND(N802*AA$1%,0)))</f>
        <v/>
      </c>
      <c r="Q802" s="9" t="str">
        <f>IF(AND(Y801=""),"",IF(AND(C802=""),"",IF(AND(O802=""),"",SUM(O802,P802))))</f>
        <v/>
      </c>
      <c r="R802" s="9" t="str">
        <f t="shared" ref="R802:R803" si="1127">IF(AND(N802=""),"",IF(AND(Q802=""),"",N802-Q802))</f>
        <v/>
      </c>
      <c r="S802" s="20"/>
      <c r="X802" s="4" t="str">
        <f>IF(ISNA(VLOOKUP(Y801,Master!A$8:N$127,7,FALSE)),"",VLOOKUP(Y801,Master!A$8:AH$127,7,FALSE))</f>
        <v/>
      </c>
    </row>
    <row r="803" spans="1:27" ht="21" customHeight="1">
      <c r="A803" s="8">
        <v>3</v>
      </c>
      <c r="B803" s="23">
        <v>45170</v>
      </c>
      <c r="C803" s="9" t="str">
        <f>IF(AND(Y801=""),"",C802)</f>
        <v/>
      </c>
      <c r="D803" s="9" t="str">
        <f>IF(AND(C803=""),"",IF(AND(Y801=""),"",ROUND(C803*Master!C$5%,0)))</f>
        <v/>
      </c>
      <c r="E803" s="9" t="str">
        <f>IF(AND(C803=""),"",IF(AND(Y801=""),"",ROUND(C803*Master!H$5%,0)))</f>
        <v/>
      </c>
      <c r="F803" s="9" t="str">
        <f t="shared" si="1120"/>
        <v/>
      </c>
      <c r="G803" s="9" t="str">
        <f>IF(AND(Y801=""),"",G802)</f>
        <v/>
      </c>
      <c r="H803" s="9" t="str">
        <f>IF(AND(G803=""),"",IF(AND(Y801=""),"",ROUND(G803*Master!C$4%,0)))</f>
        <v/>
      </c>
      <c r="I803" s="9" t="str">
        <f>IF(AND(G803=""),"",IF(AND(Y801=""),"",ROUND(G803*Master!H$4%,0)))</f>
        <v/>
      </c>
      <c r="J803" s="9" t="str">
        <f t="shared" si="1121"/>
        <v/>
      </c>
      <c r="K803" s="9" t="str">
        <f t="shared" si="1122"/>
        <v/>
      </c>
      <c r="L803" s="9" t="str">
        <f t="shared" si="1123"/>
        <v/>
      </c>
      <c r="M803" s="9" t="str">
        <f t="shared" si="1124"/>
        <v/>
      </c>
      <c r="N803" s="9" t="str">
        <f t="shared" si="1125"/>
        <v/>
      </c>
      <c r="O803" s="9" t="str">
        <f t="shared" si="1126"/>
        <v/>
      </c>
      <c r="P803" s="9" t="str">
        <f>IF(AND(Y801=""),"",IF(AND(N803=""),"",ROUND(N803*AA$1%,0)))</f>
        <v/>
      </c>
      <c r="Q803" s="9" t="str">
        <f>IF(AND(Y801=""),"",IF(AND(C803=""),"",IF(AND(O803=""),"",SUM(O803,P803))))</f>
        <v/>
      </c>
      <c r="R803" s="9" t="str">
        <f t="shared" si="1127"/>
        <v/>
      </c>
      <c r="S803" s="20"/>
    </row>
    <row r="804" spans="1:27" ht="21" customHeight="1">
      <c r="A804" s="8">
        <v>4</v>
      </c>
      <c r="B804" s="23">
        <v>45200</v>
      </c>
      <c r="C804" s="9" t="str">
        <f>IF(AND(Y802=""),"",C803)</f>
        <v/>
      </c>
      <c r="D804" s="9" t="str">
        <f>IF(AND(C804=""),"",IF(AND(Y802=""),"",ROUND(C804*Master!C$5%,0)))</f>
        <v/>
      </c>
      <c r="E804" s="9" t="str">
        <f>IF(AND(C804=""),"",IF(AND(Y802=""),"",ROUND(C804*Master!H$5%,0)))</f>
        <v/>
      </c>
      <c r="F804" s="9" t="str">
        <f t="shared" ref="F804" si="1128">IF(AND(C804=""),"",SUM(C804:E804))</f>
        <v/>
      </c>
      <c r="G804" s="9" t="str">
        <f>IF(AND(Y802=""),"",G803)</f>
        <v/>
      </c>
      <c r="H804" s="9" t="str">
        <f>IF(AND(G804=""),"",IF(AND(Y802=""),"",ROUND(G804*Master!C$4%,0)))</f>
        <v/>
      </c>
      <c r="I804" s="9" t="str">
        <f>IF(AND(G804=""),"",IF(AND(Y802=""),"",ROUND(G804*Master!H$4%,0)))</f>
        <v/>
      </c>
      <c r="J804" s="9" t="str">
        <f t="shared" ref="J804" si="1129">IF(AND(C804=""),"",SUM(G804:I804))</f>
        <v/>
      </c>
      <c r="K804" s="9" t="str">
        <f t="shared" ref="K804" si="1130">IF(AND(C804=""),"",IF(AND(G804=""),"",C804-G804))</f>
        <v/>
      </c>
      <c r="L804" s="9" t="str">
        <f t="shared" ref="L804" si="1131">IF(AND(D804=""),"",IF(AND(H804=""),"",D804-H804))</f>
        <v/>
      </c>
      <c r="M804" s="9" t="str">
        <f t="shared" ref="M804" si="1132">IF(AND(E804=""),"",IF(AND(I804=""),"",E804-I804))</f>
        <v/>
      </c>
      <c r="N804" s="9" t="str">
        <f t="shared" ref="N804" si="1133">IF(AND(F804=""),"",IF(AND(J804=""),"",F804-J804))</f>
        <v/>
      </c>
      <c r="O804" s="9" t="str">
        <f t="shared" ref="O804" si="1134">IF(AND(C804=""),"",N804-P804)</f>
        <v/>
      </c>
      <c r="P804" s="9" t="str">
        <f>IF(AND(Y802=""),"",IF(AND(N804=""),"",ROUND(N804*AA$1%,0)))</f>
        <v/>
      </c>
      <c r="Q804" s="9" t="str">
        <f>IF(AND(Y802=""),"",IF(AND(C804=""),"",IF(AND(O804=""),"",SUM(O804,P804))))</f>
        <v/>
      </c>
      <c r="R804" s="9" t="str">
        <f t="shared" ref="R804" si="1135">IF(AND(N804=""),"",IF(AND(Q804=""),"",N804-Q804))</f>
        <v/>
      </c>
      <c r="S804" s="20"/>
    </row>
    <row r="805" spans="1:27" ht="30.75" customHeight="1">
      <c r="A805" s="153" t="s">
        <v>9</v>
      </c>
      <c r="B805" s="154"/>
      <c r="C805" s="63">
        <f>IF(AND($Y$801=""),"",SUM(C801:C804))</f>
        <v>0</v>
      </c>
      <c r="D805" s="63">
        <f t="shared" ref="D805:R805" si="1136">IF(AND($Y$801=""),"",SUM(D801:D804))</f>
        <v>0</v>
      </c>
      <c r="E805" s="63">
        <f t="shared" si="1136"/>
        <v>0</v>
      </c>
      <c r="F805" s="63">
        <f t="shared" si="1136"/>
        <v>0</v>
      </c>
      <c r="G805" s="63">
        <f t="shared" si="1136"/>
        <v>0</v>
      </c>
      <c r="H805" s="63">
        <f t="shared" si="1136"/>
        <v>0</v>
      </c>
      <c r="I805" s="63">
        <f t="shared" si="1136"/>
        <v>0</v>
      </c>
      <c r="J805" s="63">
        <f t="shared" si="1136"/>
        <v>0</v>
      </c>
      <c r="K805" s="63">
        <f t="shared" si="1136"/>
        <v>0</v>
      </c>
      <c r="L805" s="63">
        <f t="shared" si="1136"/>
        <v>0</v>
      </c>
      <c r="M805" s="63">
        <f t="shared" si="1136"/>
        <v>0</v>
      </c>
      <c r="N805" s="63">
        <f t="shared" si="1136"/>
        <v>0</v>
      </c>
      <c r="O805" s="63">
        <f t="shared" si="1136"/>
        <v>0</v>
      </c>
      <c r="P805" s="63">
        <f t="shared" si="1136"/>
        <v>0</v>
      </c>
      <c r="Q805" s="63">
        <f t="shared" si="1136"/>
        <v>0</v>
      </c>
      <c r="R805" s="63">
        <f t="shared" si="1136"/>
        <v>0</v>
      </c>
      <c r="S805" s="49"/>
    </row>
    <row r="806" spans="1:27" ht="30.75" customHeight="1">
      <c r="A806" s="73"/>
      <c r="B806" s="73"/>
      <c r="C806" s="74"/>
      <c r="D806" s="74"/>
      <c r="E806" s="74"/>
      <c r="F806" s="74"/>
      <c r="G806" s="74"/>
      <c r="H806" s="74"/>
      <c r="I806" s="74"/>
      <c r="J806" s="74"/>
      <c r="K806" s="74"/>
      <c r="L806" s="74"/>
      <c r="M806" s="74"/>
      <c r="N806" s="74"/>
      <c r="O806" s="74"/>
      <c r="P806" s="74"/>
      <c r="Q806" s="74"/>
      <c r="R806" s="74"/>
      <c r="S806" s="75"/>
    </row>
    <row r="807" spans="1:27" ht="18.75">
      <c r="A807" s="21"/>
      <c r="B807" s="58"/>
      <c r="C807" s="58"/>
      <c r="D807" s="58"/>
      <c r="E807" s="58"/>
      <c r="F807" s="58"/>
      <c r="G807" s="58"/>
      <c r="H807" s="59"/>
      <c r="I807" s="59"/>
      <c r="J807" s="59"/>
      <c r="K807" s="66"/>
      <c r="L807" s="66"/>
      <c r="M807" s="66"/>
      <c r="N807" s="66"/>
      <c r="O807" s="138" t="s">
        <v>42</v>
      </c>
      <c r="P807" s="138"/>
      <c r="Q807" s="138"/>
      <c r="R807" s="138"/>
      <c r="S807" s="138"/>
    </row>
    <row r="808" spans="1:27" ht="18.75">
      <c r="A808" s="1"/>
      <c r="B808" s="24" t="s">
        <v>19</v>
      </c>
      <c r="C808" s="139"/>
      <c r="D808" s="139"/>
      <c r="E808" s="139"/>
      <c r="F808" s="139"/>
      <c r="G808" s="139"/>
      <c r="H808" s="25"/>
      <c r="I808" s="143" t="s">
        <v>20</v>
      </c>
      <c r="J808" s="143"/>
      <c r="K808" s="141"/>
      <c r="L808" s="141"/>
      <c r="M808" s="141"/>
      <c r="O808" s="138"/>
      <c r="P808" s="138"/>
      <c r="Q808" s="138"/>
      <c r="R808" s="138"/>
      <c r="S808" s="138"/>
    </row>
    <row r="809" spans="1:27" ht="18.75">
      <c r="A809" s="1"/>
      <c r="B809" s="140" t="s">
        <v>21</v>
      </c>
      <c r="C809" s="140"/>
      <c r="D809" s="140"/>
      <c r="E809" s="140"/>
      <c r="F809" s="140"/>
      <c r="G809" s="140"/>
      <c r="H809" s="140"/>
      <c r="I809" s="27"/>
      <c r="J809" s="26"/>
      <c r="K809" s="26"/>
      <c r="L809" s="26"/>
      <c r="M809" s="26"/>
    </row>
    <row r="810" spans="1:27" ht="18.75">
      <c r="A810" s="22">
        <v>1</v>
      </c>
      <c r="B810" s="142" t="s">
        <v>22</v>
      </c>
      <c r="C810" s="142"/>
      <c r="D810" s="142"/>
      <c r="E810" s="142"/>
      <c r="F810" s="142"/>
      <c r="G810" s="142"/>
      <c r="H810" s="142"/>
      <c r="I810" s="28"/>
      <c r="J810" s="26"/>
      <c r="K810" s="26"/>
      <c r="L810" s="26"/>
      <c r="M810" s="26"/>
    </row>
    <row r="811" spans="1:27" ht="18.75">
      <c r="A811" s="2">
        <v>2</v>
      </c>
      <c r="B811" s="142" t="s">
        <v>23</v>
      </c>
      <c r="C811" s="142"/>
      <c r="D811" s="142"/>
      <c r="E811" s="142"/>
      <c r="F811" s="142"/>
      <c r="G811" s="132"/>
      <c r="H811" s="132"/>
      <c r="I811" s="132"/>
      <c r="J811" s="132"/>
      <c r="K811" s="132"/>
      <c r="L811" s="132"/>
      <c r="M811" s="132"/>
    </row>
    <row r="812" spans="1:27" ht="18.75">
      <c r="A812" s="3">
        <v>3</v>
      </c>
      <c r="B812" s="142" t="s">
        <v>24</v>
      </c>
      <c r="C812" s="142"/>
      <c r="D812" s="142"/>
      <c r="E812" s="29"/>
      <c r="F812" s="28"/>
      <c r="G812" s="28"/>
      <c r="H812" s="30"/>
      <c r="I812" s="31"/>
      <c r="J812" s="26"/>
      <c r="K812" s="26"/>
      <c r="L812" s="26"/>
      <c r="M812" s="26"/>
    </row>
    <row r="813" spans="1:27" ht="15.75">
      <c r="O813" s="138" t="s">
        <v>42</v>
      </c>
      <c r="P813" s="138"/>
      <c r="Q813" s="138"/>
      <c r="R813" s="138"/>
      <c r="S813" s="138"/>
    </row>
    <row r="815" spans="1:27" ht="18" customHeight="1">
      <c r="A815" s="148" t="str">
        <f>A778</f>
        <v xml:space="preserve">DA (46% to 50%) Drawn Statement  </v>
      </c>
      <c r="B815" s="148"/>
      <c r="C815" s="148"/>
      <c r="D815" s="148"/>
      <c r="E815" s="148"/>
      <c r="F815" s="148"/>
      <c r="G815" s="148"/>
      <c r="H815" s="148"/>
      <c r="I815" s="148"/>
      <c r="J815" s="148"/>
      <c r="K815" s="148"/>
      <c r="L815" s="148"/>
      <c r="M815" s="148"/>
      <c r="N815" s="148"/>
      <c r="O815" s="148"/>
      <c r="P815" s="148"/>
      <c r="Q815" s="148"/>
      <c r="R815" s="148"/>
      <c r="S815" s="148"/>
      <c r="W815" s="4">
        <f>IF(ISNA(VLOOKUP($Y$3,Master!A$8:N$127,4,FALSE)),"",VLOOKUP($Y$3,Master!A$8:AH$127,4,FALSE))</f>
        <v>2</v>
      </c>
      <c r="X815" s="4" t="str">
        <f>IF(ISNA(VLOOKUP($Y$3,Master!A$8:N$127,6,FALSE)),"",VLOOKUP($Y$3,Master!A$8:AH$127,6,FALSE))</f>
        <v>GPF-2004</v>
      </c>
      <c r="Y815" s="4" t="s">
        <v>45</v>
      </c>
      <c r="Z815" s="4" t="s">
        <v>18</v>
      </c>
      <c r="AA815" s="4" t="str">
        <f>IF(ISNA(VLOOKUP(Y817,Master!A$8:N$127,7,FALSE)),"",VLOOKUP(Y817,Master!A$8:AH$127,7,FALSE))</f>
        <v/>
      </c>
    </row>
    <row r="816" spans="1:27" ht="18">
      <c r="A816" s="131" t="str">
        <f>IF(AND(Master!C751=""),"",CONCATENATE("Office Of  ",Master!C751))</f>
        <v/>
      </c>
      <c r="B816" s="131"/>
      <c r="C816" s="131"/>
      <c r="D816" s="131"/>
      <c r="E816" s="131"/>
      <c r="F816" s="131"/>
      <c r="G816" s="131"/>
      <c r="H816" s="131"/>
      <c r="I816" s="131"/>
      <c r="J816" s="131"/>
      <c r="K816" s="131"/>
      <c r="L816" s="131"/>
      <c r="M816" s="131"/>
      <c r="N816" s="131"/>
      <c r="O816" s="131"/>
      <c r="P816" s="131"/>
      <c r="Q816" s="131"/>
      <c r="R816" s="131"/>
      <c r="S816" s="131"/>
      <c r="X816" s="4">
        <f>IF(ISNA(VLOOKUP($Y$3,Master!A$8:N$127,8,FALSE)),"",VLOOKUP($Y$3,Master!A$8:AH$127,8,FALSE))</f>
        <v>45292</v>
      </c>
      <c r="Y816" s="4" t="s">
        <v>43</v>
      </c>
    </row>
    <row r="817" spans="1:25" ht="18.75">
      <c r="E817" s="133" t="s">
        <v>10</v>
      </c>
      <c r="F817" s="133"/>
      <c r="G817" s="133"/>
      <c r="H817" s="133"/>
      <c r="I817" s="133"/>
      <c r="J817" s="132" t="str">
        <f>IF(ISNA(VLOOKUP(Y817,Master!A$8:N$127,2,FALSE)),"",VLOOKUP(Y817,Master!A$8:AH$127,2,FALSE))</f>
        <v/>
      </c>
      <c r="K817" s="132"/>
      <c r="L817" s="132"/>
      <c r="M817" s="132"/>
      <c r="N817" s="132"/>
      <c r="O817" s="60" t="s">
        <v>31</v>
      </c>
      <c r="P817" s="132" t="str">
        <f>IF(ISNA(VLOOKUP(Y817,Master!A$8:N$127,3,FALSE)),"",VLOOKUP(Y817,Master!A$8:AH$127,3,FALSE))</f>
        <v/>
      </c>
      <c r="Q817" s="132"/>
      <c r="R817" s="132"/>
      <c r="S817" s="132"/>
      <c r="X817" s="61" t="s">
        <v>49</v>
      </c>
      <c r="Y817" s="64">
        <v>67</v>
      </c>
    </row>
    <row r="818" spans="1:25" ht="8.25" customHeight="1">
      <c r="E818" s="19"/>
      <c r="F818" s="52"/>
      <c r="G818" s="22"/>
      <c r="H818" s="22"/>
      <c r="I818" s="22"/>
      <c r="J818" s="5"/>
      <c r="K818" s="5"/>
      <c r="L818" s="5"/>
      <c r="M818" s="5"/>
      <c r="N818" s="5"/>
      <c r="O818" s="6"/>
      <c r="P818" s="6"/>
    </row>
    <row r="819" spans="1:25" ht="24.75" customHeight="1">
      <c r="A819" s="157" t="s">
        <v>0</v>
      </c>
      <c r="B819" s="158" t="s">
        <v>3</v>
      </c>
      <c r="C819" s="159" t="s">
        <v>5</v>
      </c>
      <c r="D819" s="159"/>
      <c r="E819" s="159"/>
      <c r="F819" s="159"/>
      <c r="G819" s="159" t="s">
        <v>6</v>
      </c>
      <c r="H819" s="159"/>
      <c r="I819" s="159"/>
      <c r="J819" s="159"/>
      <c r="K819" s="159" t="s">
        <v>7</v>
      </c>
      <c r="L819" s="159"/>
      <c r="M819" s="159"/>
      <c r="N819" s="159"/>
      <c r="O819" s="149" t="s">
        <v>8</v>
      </c>
      <c r="P819" s="150"/>
      <c r="Q819" s="151"/>
      <c r="R819" s="162" t="s">
        <v>54</v>
      </c>
      <c r="S819" s="162" t="s">
        <v>40</v>
      </c>
    </row>
    <row r="820" spans="1:25" ht="69" customHeight="1">
      <c r="A820" s="157"/>
      <c r="B820" s="158"/>
      <c r="C820" s="54" t="s">
        <v>29</v>
      </c>
      <c r="D820" s="55" t="s">
        <v>1</v>
      </c>
      <c r="E820" s="56" t="s">
        <v>2</v>
      </c>
      <c r="F820" s="54" t="s">
        <v>46</v>
      </c>
      <c r="G820" s="54" t="s">
        <v>29</v>
      </c>
      <c r="H820" s="55" t="s">
        <v>1</v>
      </c>
      <c r="I820" s="56" t="s">
        <v>2</v>
      </c>
      <c r="J820" s="54" t="s">
        <v>47</v>
      </c>
      <c r="K820" s="54" t="s">
        <v>4</v>
      </c>
      <c r="L820" s="55" t="s">
        <v>1</v>
      </c>
      <c r="M820" s="56" t="s">
        <v>2</v>
      </c>
      <c r="N820" s="57" t="s">
        <v>48</v>
      </c>
      <c r="O820" s="53" t="s">
        <v>69</v>
      </c>
      <c r="P820" s="65" t="s">
        <v>41</v>
      </c>
      <c r="Q820" s="57" t="s">
        <v>53</v>
      </c>
      <c r="R820" s="162"/>
      <c r="S820" s="162"/>
    </row>
    <row r="821" spans="1:25" ht="18" customHeight="1">
      <c r="A821" s="7">
        <v>1</v>
      </c>
      <c r="B821" s="7">
        <v>2</v>
      </c>
      <c r="C821" s="7">
        <v>3</v>
      </c>
      <c r="D821" s="7">
        <v>4</v>
      </c>
      <c r="E821" s="7">
        <v>5</v>
      </c>
      <c r="F821" s="7">
        <v>6</v>
      </c>
      <c r="G821" s="7">
        <v>7</v>
      </c>
      <c r="H821" s="7">
        <v>8</v>
      </c>
      <c r="I821" s="7">
        <v>9</v>
      </c>
      <c r="J821" s="7">
        <v>10</v>
      </c>
      <c r="K821" s="7">
        <v>11</v>
      </c>
      <c r="L821" s="7">
        <v>12</v>
      </c>
      <c r="M821" s="7">
        <v>13</v>
      </c>
      <c r="N821" s="7">
        <v>14</v>
      </c>
      <c r="O821" s="7">
        <v>15</v>
      </c>
      <c r="P821" s="7">
        <v>17</v>
      </c>
      <c r="Q821" s="7">
        <v>18</v>
      </c>
      <c r="R821" s="7">
        <v>19</v>
      </c>
      <c r="S821" s="7">
        <v>20</v>
      </c>
    </row>
    <row r="822" spans="1:25" ht="21" customHeight="1">
      <c r="A822" s="8">
        <v>1</v>
      </c>
      <c r="B822" s="23">
        <v>45108</v>
      </c>
      <c r="C822" s="9" t="str">
        <f>IF(ISNA(VLOOKUP(Y817,Master!A$8:N$127,5,FALSE)),"",VLOOKUP(Y817,Master!A$8:AH$127,5,FALSE))</f>
        <v/>
      </c>
      <c r="D822" s="9" t="str">
        <f>IF(AND(C822=""),"",IF(AND(Y817=""),"",ROUND(C822*Master!C$5%,0)))</f>
        <v/>
      </c>
      <c r="E822" s="9" t="str">
        <f>IF(AND(C822=""),"",IF(AND(Y817=""),"",ROUND(C822*Master!H$5%,0)))</f>
        <v/>
      </c>
      <c r="F822" s="9" t="str">
        <f t="shared" ref="F822" si="1137">IF(AND(C822=""),"",SUM(C822:E822))</f>
        <v/>
      </c>
      <c r="G822" s="9" t="str">
        <f>IF(ISNA(VLOOKUP(Y817,Master!A$8:N$127,5,FALSE)),"",VLOOKUP(Y817,Master!A$8:AH$127,5,FALSE))</f>
        <v/>
      </c>
      <c r="H822" s="9" t="str">
        <f>IF(AND(G822=""),"",IF(AND(Y817=""),"",ROUND(G822*Master!C$4%,0)))</f>
        <v/>
      </c>
      <c r="I822" s="9" t="str">
        <f>IF(AND(G822=""),"",IF(AND(Y817=""),"",ROUND(G822*Master!H$4%,0)))</f>
        <v/>
      </c>
      <c r="J822" s="9" t="str">
        <f t="shared" ref="J822:J823" si="1138">IF(AND(C822=""),"",SUM(G822:I822))</f>
        <v/>
      </c>
      <c r="K822" s="9" t="str">
        <f t="shared" ref="K822:K824" si="1139">IF(AND(C822=""),"",IF(AND(G822=""),"",C822-G822))</f>
        <v/>
      </c>
      <c r="L822" s="9" t="str">
        <f t="shared" ref="L822:L824" si="1140">IF(AND(D822=""),"",IF(AND(H822=""),"",D822-H822))</f>
        <v/>
      </c>
      <c r="M822" s="9" t="str">
        <f t="shared" ref="M822:M823" si="1141">IF(AND(E822=""),"",IF(AND(I822=""),"",E822-I822))</f>
        <v/>
      </c>
      <c r="N822" s="9" t="str">
        <f t="shared" ref="N822:N823" si="1142">IF(AND(F822=""),"",IF(AND(J822=""),"",F822-J822))</f>
        <v/>
      </c>
      <c r="O822" s="9" t="str">
        <f>IF(AND(C822=""),"",N822-P822)</f>
        <v/>
      </c>
      <c r="P822" s="9" t="str">
        <f>IF(AND(Y817=""),"",IF(AND(N822=""),"",ROUND(N822*AA$1%,0)))</f>
        <v/>
      </c>
      <c r="Q822" s="9" t="str">
        <f>IF(AND(Y817=""),"",IF(AND(C822=""),"",IF(AND(O822=""),"",SUM(O822,P822))))</f>
        <v/>
      </c>
      <c r="R822" s="9" t="str">
        <f>IF(AND(N822=""),"",IF(AND(Q822=""),"",N822-Q822))</f>
        <v/>
      </c>
      <c r="S822" s="20"/>
    </row>
    <row r="823" spans="1:25" ht="21" customHeight="1">
      <c r="A823" s="8">
        <v>2</v>
      </c>
      <c r="B823" s="23">
        <v>45139</v>
      </c>
      <c r="C823" s="9" t="str">
        <f>IF(AND(Y817=""),"",C822)</f>
        <v/>
      </c>
      <c r="D823" s="9" t="str">
        <f>IF(AND(C823=""),"",IF(AND(Y817=""),"",ROUND(C823*Master!C$5%,0)))</f>
        <v/>
      </c>
      <c r="E823" s="9" t="str">
        <f>IF(AND(C823=""),"",IF(AND(Y817=""),"",ROUND(C823*Master!H$5%,0)))</f>
        <v/>
      </c>
      <c r="F823" s="9" t="str">
        <f>IF(AND(C823=""),"",SUM(C823:E823))</f>
        <v/>
      </c>
      <c r="G823" s="9" t="str">
        <f>IF(AND(Y817=""),"",G822)</f>
        <v/>
      </c>
      <c r="H823" s="9" t="str">
        <f>IF(AND(G823=""),"",IF(AND(Y817=""),"",ROUND(G823*Master!C$4%,0)))</f>
        <v/>
      </c>
      <c r="I823" s="9" t="str">
        <f>IF(AND(G823=""),"",IF(AND(Y817=""),"",ROUND(G823*Master!H$4%,0)))</f>
        <v/>
      </c>
      <c r="J823" s="9" t="str">
        <f t="shared" si="1138"/>
        <v/>
      </c>
      <c r="K823" s="9" t="str">
        <f t="shared" si="1139"/>
        <v/>
      </c>
      <c r="L823" s="9" t="str">
        <f t="shared" si="1140"/>
        <v/>
      </c>
      <c r="M823" s="9" t="str">
        <f t="shared" si="1141"/>
        <v/>
      </c>
      <c r="N823" s="9" t="str">
        <f t="shared" si="1142"/>
        <v/>
      </c>
      <c r="O823" s="9" t="str">
        <f t="shared" ref="O823:O824" si="1143">IF(AND(C823=""),"",N823-P823)</f>
        <v/>
      </c>
      <c r="P823" s="9" t="str">
        <f>IF(AND(Y817=""),"",IF(AND(N823=""),"",ROUND(N823*AA$1%,0)))</f>
        <v/>
      </c>
      <c r="Q823" s="9" t="str">
        <f>IF(AND(Y817=""),"",IF(AND(C823=""),"",IF(AND(O823=""),"",SUM(O823,P823))))</f>
        <v/>
      </c>
      <c r="R823" s="9" t="str">
        <f t="shared" ref="R823:R824" si="1144">IF(AND(N823=""),"",IF(AND(Q823=""),"",N823-Q823))</f>
        <v/>
      </c>
      <c r="S823" s="20"/>
    </row>
    <row r="824" spans="1:25" ht="21" customHeight="1">
      <c r="A824" s="8">
        <v>3</v>
      </c>
      <c r="B824" s="23">
        <v>45170</v>
      </c>
      <c r="C824" s="9" t="str">
        <f>IF(AND(Y817=""),"",C823)</f>
        <v/>
      </c>
      <c r="D824" s="9" t="str">
        <f>IF(AND(C824=""),"",IF(AND(Y817=""),"",ROUND(C824*Master!C$5%,0)))</f>
        <v/>
      </c>
      <c r="E824" s="9" t="str">
        <f>IF(AND(C824=""),"",IF(AND(Y817=""),"",ROUND(C824*Master!H$5%,0)))</f>
        <v/>
      </c>
      <c r="F824" s="9" t="str">
        <f t="shared" ref="F824" si="1145">IF(AND(C824=""),"",SUM(C824:E824))</f>
        <v/>
      </c>
      <c r="G824" s="9" t="str">
        <f>IF(AND(Y817=""),"",G823)</f>
        <v/>
      </c>
      <c r="H824" s="9" t="str">
        <f>IF(AND(G824=""),"",IF(AND(Y817=""),"",ROUND(G824*Master!C$4%,0)))</f>
        <v/>
      </c>
      <c r="I824" s="9" t="str">
        <f>IF(AND(G824=""),"",IF(AND(Y817=""),"",ROUND(G824*Master!H$4%,0)))</f>
        <v/>
      </c>
      <c r="J824" s="9" t="str">
        <f>IF(AND(C824=""),"",SUM(G824:I824))</f>
        <v/>
      </c>
      <c r="K824" s="9" t="str">
        <f t="shared" si="1139"/>
        <v/>
      </c>
      <c r="L824" s="9" t="str">
        <f t="shared" si="1140"/>
        <v/>
      </c>
      <c r="M824" s="9" t="str">
        <f>IF(AND(E824=""),"",IF(AND(I824=""),"",E824-I824))</f>
        <v/>
      </c>
      <c r="N824" s="9" t="str">
        <f>IF(AND(F824=""),"",IF(AND(J824=""),"",F824-J824))</f>
        <v/>
      </c>
      <c r="O824" s="9" t="str">
        <f t="shared" si="1143"/>
        <v/>
      </c>
      <c r="P824" s="9" t="str">
        <f>IF(AND(Y817=""),"",IF(AND(N824=""),"",ROUND(N824*AA$1%,0)))</f>
        <v/>
      </c>
      <c r="Q824" s="9" t="str">
        <f>IF(AND(Y817=""),"",IF(AND(C824=""),"",IF(AND(O824=""),"",SUM(O824,P824))))</f>
        <v/>
      </c>
      <c r="R824" s="9" t="str">
        <f t="shared" si="1144"/>
        <v/>
      </c>
      <c r="S824" s="20"/>
    </row>
    <row r="825" spans="1:25" ht="21" customHeight="1">
      <c r="A825" s="8">
        <v>4</v>
      </c>
      <c r="B825" s="23">
        <v>45200</v>
      </c>
      <c r="C825" s="9" t="str">
        <f>IF(AND(Y818=""),"",C824)</f>
        <v/>
      </c>
      <c r="D825" s="9" t="str">
        <f>IF(AND(C825=""),"",IF(AND(Y818=""),"",ROUND(C825*Master!C$5%,0)))</f>
        <v/>
      </c>
      <c r="E825" s="9" t="str">
        <f>IF(AND(C825=""),"",IF(AND(Y818=""),"",ROUND(C825*Master!H$5%,0)))</f>
        <v/>
      </c>
      <c r="F825" s="9" t="str">
        <f t="shared" ref="F825" si="1146">IF(AND(C825=""),"",SUM(C825:E825))</f>
        <v/>
      </c>
      <c r="G825" s="9" t="str">
        <f>IF(AND(Y818=""),"",G824)</f>
        <v/>
      </c>
      <c r="H825" s="9" t="str">
        <f>IF(AND(G825=""),"",IF(AND(Y818=""),"",ROUND(G825*Master!C$4%,0)))</f>
        <v/>
      </c>
      <c r="I825" s="9" t="str">
        <f>IF(AND(G825=""),"",IF(AND(Y818=""),"",ROUND(G825*Master!H$4%,0)))</f>
        <v/>
      </c>
      <c r="J825" s="9" t="str">
        <f>IF(AND(C825=""),"",SUM(G825:I825))</f>
        <v/>
      </c>
      <c r="K825" s="9" t="str">
        <f t="shared" ref="K825" si="1147">IF(AND(C825=""),"",IF(AND(G825=""),"",C825-G825))</f>
        <v/>
      </c>
      <c r="L825" s="9" t="str">
        <f t="shared" ref="L825" si="1148">IF(AND(D825=""),"",IF(AND(H825=""),"",D825-H825))</f>
        <v/>
      </c>
      <c r="M825" s="9" t="str">
        <f>IF(AND(E825=""),"",IF(AND(I825=""),"",E825-I825))</f>
        <v/>
      </c>
      <c r="N825" s="9" t="str">
        <f>IF(AND(F825=""),"",IF(AND(J825=""),"",F825-J825))</f>
        <v/>
      </c>
      <c r="O825" s="9" t="str">
        <f t="shared" ref="O825" si="1149">IF(AND(C825=""),"",N825-P825)</f>
        <v/>
      </c>
      <c r="P825" s="9" t="str">
        <f>IF(AND(Y818=""),"",IF(AND(N825=""),"",ROUND(N825*AA$1%,0)))</f>
        <v/>
      </c>
      <c r="Q825" s="9" t="str">
        <f>IF(AND(Y818=""),"",IF(AND(C825=""),"",IF(AND(O825=""),"",SUM(O825,P825))))</f>
        <v/>
      </c>
      <c r="R825" s="9" t="str">
        <f t="shared" ref="R825" si="1150">IF(AND(N825=""),"",IF(AND(Q825=""),"",N825-Q825))</f>
        <v/>
      </c>
      <c r="S825" s="20"/>
    </row>
    <row r="826" spans="1:25" ht="23.25" customHeight="1">
      <c r="A826" s="153" t="s">
        <v>9</v>
      </c>
      <c r="B826" s="154"/>
      <c r="C826" s="63">
        <f>IF(AND($Y$817=""),"",SUM(C822:C825))</f>
        <v>0</v>
      </c>
      <c r="D826" s="63">
        <f t="shared" ref="D826:R826" si="1151">IF(AND($Y$817=""),"",SUM(D822:D825))</f>
        <v>0</v>
      </c>
      <c r="E826" s="63">
        <f t="shared" si="1151"/>
        <v>0</v>
      </c>
      <c r="F826" s="63">
        <f t="shared" si="1151"/>
        <v>0</v>
      </c>
      <c r="G826" s="63">
        <f t="shared" si="1151"/>
        <v>0</v>
      </c>
      <c r="H826" s="63">
        <f t="shared" si="1151"/>
        <v>0</v>
      </c>
      <c r="I826" s="63">
        <f t="shared" si="1151"/>
        <v>0</v>
      </c>
      <c r="J826" s="63">
        <f t="shared" si="1151"/>
        <v>0</v>
      </c>
      <c r="K826" s="63">
        <f t="shared" si="1151"/>
        <v>0</v>
      </c>
      <c r="L826" s="63">
        <f t="shared" si="1151"/>
        <v>0</v>
      </c>
      <c r="M826" s="63">
        <f t="shared" si="1151"/>
        <v>0</v>
      </c>
      <c r="N826" s="63">
        <f t="shared" si="1151"/>
        <v>0</v>
      </c>
      <c r="O826" s="63">
        <f t="shared" si="1151"/>
        <v>0</v>
      </c>
      <c r="P826" s="63">
        <f t="shared" si="1151"/>
        <v>0</v>
      </c>
      <c r="Q826" s="63">
        <f t="shared" si="1151"/>
        <v>0</v>
      </c>
      <c r="R826" s="63">
        <f t="shared" si="1151"/>
        <v>0</v>
      </c>
      <c r="S826" s="49"/>
    </row>
    <row r="827" spans="1:25" ht="10.5" customHeight="1">
      <c r="A827" s="73"/>
      <c r="B827" s="73"/>
      <c r="C827" s="74"/>
      <c r="D827" s="74"/>
      <c r="E827" s="74"/>
      <c r="F827" s="74"/>
      <c r="G827" s="74"/>
      <c r="H827" s="74"/>
      <c r="I827" s="74"/>
      <c r="J827" s="74"/>
      <c r="K827" s="74"/>
      <c r="L827" s="74"/>
      <c r="M827" s="74"/>
      <c r="N827" s="74"/>
      <c r="O827" s="74"/>
      <c r="P827" s="74"/>
      <c r="Q827" s="74"/>
      <c r="R827" s="74"/>
      <c r="S827" s="75"/>
    </row>
    <row r="828" spans="1:25" ht="23.25" customHeight="1">
      <c r="E828" s="133" t="s">
        <v>10</v>
      </c>
      <c r="F828" s="133"/>
      <c r="G828" s="133"/>
      <c r="H828" s="133"/>
      <c r="I828" s="133"/>
      <c r="J828" s="132" t="str">
        <f>IF(ISNA(VLOOKUP(Y830,Master!A$8:N$127,2,FALSE)),"",VLOOKUP(Y830,Master!A$8:AH$127,2,FALSE))</f>
        <v/>
      </c>
      <c r="K828" s="132"/>
      <c r="L828" s="132"/>
      <c r="M828" s="132"/>
      <c r="N828" s="132"/>
      <c r="O828" s="60" t="s">
        <v>31</v>
      </c>
      <c r="P828" s="132" t="str">
        <f>IF(ISNA(VLOOKUP(Y830,Master!A$8:N$127,3,FALSE)),"",VLOOKUP(Y830,Master!A$8:AH$127,3,FALSE))</f>
        <v/>
      </c>
      <c r="Q828" s="132"/>
      <c r="R828" s="132"/>
      <c r="S828" s="132"/>
    </row>
    <row r="829" spans="1:25" ht="9" customHeight="1">
      <c r="E829" s="19"/>
      <c r="F829" s="52"/>
      <c r="G829" s="22"/>
      <c r="H829" s="22"/>
      <c r="I829" s="22"/>
      <c r="J829" s="5"/>
      <c r="K829" s="5"/>
      <c r="L829" s="5"/>
      <c r="M829" s="5"/>
      <c r="N829" s="5"/>
      <c r="O829" s="6"/>
      <c r="P829" s="6"/>
    </row>
    <row r="830" spans="1:25" ht="21" customHeight="1">
      <c r="A830" s="8">
        <v>1</v>
      </c>
      <c r="B830" s="23">
        <v>45108</v>
      </c>
      <c r="C830" s="9" t="str">
        <f>IF(ISNA(VLOOKUP(Y830,Master!A$8:N$127,5,FALSE)),"",VLOOKUP(Y830,Master!A$8:AH$127,5,FALSE))</f>
        <v/>
      </c>
      <c r="D830" s="9" t="str">
        <f>IF(AND(C830=""),"",IF(AND(Y830=""),"",ROUND(C830*Master!C$5%,0)))</f>
        <v/>
      </c>
      <c r="E830" s="9" t="str">
        <f>IF(AND(C830=""),"",IF(AND(Y830=""),"",ROUND(C830*Master!H$5%,0)))</f>
        <v/>
      </c>
      <c r="F830" s="9" t="str">
        <f t="shared" ref="F830:F832" si="1152">IF(AND(C830=""),"",SUM(C830:E830))</f>
        <v/>
      </c>
      <c r="G830" s="9" t="str">
        <f>IF(ISNA(VLOOKUP(Y830,Master!A$8:N$127,5,FALSE)),"",VLOOKUP(Y830,Master!A$8:AH$127,5,FALSE))</f>
        <v/>
      </c>
      <c r="H830" s="9" t="str">
        <f>IF(AND(G830=""),"",IF(AND(Y830=""),"",ROUND(G830*Master!C$4%,0)))</f>
        <v/>
      </c>
      <c r="I830" s="9" t="str">
        <f>IF(AND(G830=""),"",IF(AND(Y830=""),"",ROUND(G830*Master!H$4%,0)))</f>
        <v/>
      </c>
      <c r="J830" s="9" t="str">
        <f t="shared" ref="J830:J832" si="1153">IF(AND(C830=""),"",SUM(G830:I830))</f>
        <v/>
      </c>
      <c r="K830" s="9" t="str">
        <f t="shared" ref="K830" si="1154">IF(AND(C830=""),"",IF(AND(G830=""),"",C830-G830))</f>
        <v/>
      </c>
      <c r="L830" s="9" t="str">
        <f>IF(AND(D830=""),"",IF(AND(H830=""),"",D830-H830))</f>
        <v/>
      </c>
      <c r="M830" s="9" t="str">
        <f t="shared" ref="M830:M832" si="1155">IF(AND(E830=""),"",IF(AND(I830=""),"",E830-I830))</f>
        <v/>
      </c>
      <c r="N830" s="9" t="str">
        <f t="shared" ref="N830:N832" si="1156">IF(AND(F830=""),"",IF(AND(J830=""),"",F830-J830))</f>
        <v/>
      </c>
      <c r="O830" s="9" t="str">
        <f>IF(AND(C830=""),"",N830-P830)</f>
        <v/>
      </c>
      <c r="P830" s="9" t="str">
        <f>IF(AND(Y830=""),"",IF(AND(N830=""),"",ROUND(N830*X$17%,0)))</f>
        <v/>
      </c>
      <c r="Q830" s="9" t="str">
        <f>IF(AND(Y830=""),"",IF(AND(C830=""),"",IF(AND(O830=""),"",SUM(O830,P830))))</f>
        <v/>
      </c>
      <c r="R830" s="9" t="str">
        <f>IF(AND(N830=""),"",IF(AND(Q830=""),"",N830-Q830))</f>
        <v/>
      </c>
      <c r="S830" s="20"/>
      <c r="X830" s="61" t="s">
        <v>49</v>
      </c>
      <c r="Y830" s="64">
        <v>68</v>
      </c>
    </row>
    <row r="831" spans="1:25" ht="21" customHeight="1">
      <c r="A831" s="8">
        <v>2</v>
      </c>
      <c r="B831" s="23">
        <v>45139</v>
      </c>
      <c r="C831" s="9" t="str">
        <f>IF(AND(Y830=""),"",C830)</f>
        <v/>
      </c>
      <c r="D831" s="9" t="str">
        <f>IF(AND(C831=""),"",IF(AND(Y830=""),"",ROUND(C831*Master!C$5%,0)))</f>
        <v/>
      </c>
      <c r="E831" s="9" t="str">
        <f>IF(AND(C831=""),"",IF(AND(Y830=""),"",ROUND(C831*Master!H$5%,0)))</f>
        <v/>
      </c>
      <c r="F831" s="9" t="str">
        <f t="shared" si="1152"/>
        <v/>
      </c>
      <c r="G831" s="9" t="str">
        <f>IF(AND(Y830=""),"",G830)</f>
        <v/>
      </c>
      <c r="H831" s="9" t="str">
        <f>IF(AND(G831=""),"",IF(AND(Y830=""),"",ROUND(G831*Master!C$4%,0)))</f>
        <v/>
      </c>
      <c r="I831" s="9" t="str">
        <f>IF(AND(G831=""),"",IF(AND(Y830=""),"",ROUND(G831*Master!H$4%,0)))</f>
        <v/>
      </c>
      <c r="J831" s="9" t="str">
        <f t="shared" si="1153"/>
        <v/>
      </c>
      <c r="K831" s="9" t="str">
        <f>IF(AND(C831=""),"",IF(AND(G831=""),"",C831-G831))</f>
        <v/>
      </c>
      <c r="L831" s="9" t="str">
        <f t="shared" ref="L831:L832" si="1157">IF(AND(D831=""),"",IF(AND(H831=""),"",D831-H831))</f>
        <v/>
      </c>
      <c r="M831" s="9" t="str">
        <f t="shared" si="1155"/>
        <v/>
      </c>
      <c r="N831" s="9" t="str">
        <f t="shared" si="1156"/>
        <v/>
      </c>
      <c r="O831" s="9" t="str">
        <f t="shared" ref="O831:O832" si="1158">IF(AND(C831=""),"",N831-P831)</f>
        <v/>
      </c>
      <c r="P831" s="9" t="str">
        <f>IF(AND(Y830=""),"",IF(AND(N831=""),"",ROUND(N831*X$17%,0)))</f>
        <v/>
      </c>
      <c r="Q831" s="9" t="str">
        <f>IF(AND(Y830=""),"",IF(AND(C831=""),"",IF(AND(O831=""),"",SUM(O831,P831))))</f>
        <v/>
      </c>
      <c r="R831" s="9" t="str">
        <f t="shared" ref="R831:R832" si="1159">IF(AND(N831=""),"",IF(AND(Q831=""),"",N831-Q831))</f>
        <v/>
      </c>
      <c r="S831" s="20"/>
      <c r="X831" s="4" t="str">
        <f>IF(ISNA(VLOOKUP(Y830,Master!A$8:N$127,7,FALSE)),"",VLOOKUP(Y830,Master!A$8:AH$127,7,FALSE))</f>
        <v/>
      </c>
    </row>
    <row r="832" spans="1:25" ht="21" customHeight="1">
      <c r="A832" s="8">
        <v>3</v>
      </c>
      <c r="B832" s="23">
        <v>45170</v>
      </c>
      <c r="C832" s="9" t="str">
        <f>IF(AND(Y830=""),"",C831)</f>
        <v/>
      </c>
      <c r="D832" s="9" t="str">
        <f>IF(AND(C832=""),"",IF(AND(Y830=""),"",ROUND(C832*Master!C$5%,0)))</f>
        <v/>
      </c>
      <c r="E832" s="9" t="str">
        <f>IF(AND(C832=""),"",IF(AND(Y830=""),"",ROUND(C832*Master!H$5%,0)))</f>
        <v/>
      </c>
      <c r="F832" s="9" t="str">
        <f t="shared" si="1152"/>
        <v/>
      </c>
      <c r="G832" s="9" t="str">
        <f>IF(AND(Y830=""),"",G831)</f>
        <v/>
      </c>
      <c r="H832" s="9" t="str">
        <f>IF(AND(G832=""),"",IF(AND(Y830=""),"",ROUND(G832*Master!C$4%,0)))</f>
        <v/>
      </c>
      <c r="I832" s="9" t="str">
        <f>IF(AND(G832=""),"",IF(AND(Y830=""),"",ROUND(G832*Master!H$4%,0)))</f>
        <v/>
      </c>
      <c r="J832" s="9" t="str">
        <f t="shared" si="1153"/>
        <v/>
      </c>
      <c r="K832" s="9" t="str">
        <f t="shared" ref="K832" si="1160">IF(AND(C832=""),"",IF(AND(G832=""),"",C832-G832))</f>
        <v/>
      </c>
      <c r="L832" s="9" t="str">
        <f t="shared" si="1157"/>
        <v/>
      </c>
      <c r="M832" s="9" t="str">
        <f t="shared" si="1155"/>
        <v/>
      </c>
      <c r="N832" s="9" t="str">
        <f t="shared" si="1156"/>
        <v/>
      </c>
      <c r="O832" s="9" t="str">
        <f t="shared" si="1158"/>
        <v/>
      </c>
      <c r="P832" s="9" t="str">
        <f>IF(AND(Y830=""),"",IF(AND(N832=""),"",ROUND(N832*X$17%,0)))</f>
        <v/>
      </c>
      <c r="Q832" s="9" t="str">
        <f>IF(AND(Y830=""),"",IF(AND(C832=""),"",IF(AND(O832=""),"",SUM(O832,P832))))</f>
        <v/>
      </c>
      <c r="R832" s="9" t="str">
        <f t="shared" si="1159"/>
        <v/>
      </c>
      <c r="S832" s="20"/>
    </row>
    <row r="833" spans="1:25" ht="21" customHeight="1">
      <c r="A833" s="8">
        <v>4</v>
      </c>
      <c r="B833" s="23">
        <v>45200</v>
      </c>
      <c r="C833" s="9" t="str">
        <f>IF(AND(Y831=""),"",C832)</f>
        <v/>
      </c>
      <c r="D833" s="9" t="str">
        <f>IF(AND(C833=""),"",IF(AND(Y831=""),"",ROUND(C833*Master!C$5%,0)))</f>
        <v/>
      </c>
      <c r="E833" s="9" t="str">
        <f>IF(AND(C833=""),"",IF(AND(Y831=""),"",ROUND(C833*Master!H$5%,0)))</f>
        <v/>
      </c>
      <c r="F833" s="9" t="str">
        <f t="shared" ref="F833" si="1161">IF(AND(C833=""),"",SUM(C833:E833))</f>
        <v/>
      </c>
      <c r="G833" s="9" t="str">
        <f>IF(AND(Y831=""),"",G832)</f>
        <v/>
      </c>
      <c r="H833" s="9" t="str">
        <f>IF(AND(G833=""),"",IF(AND(Y831=""),"",ROUND(G833*Master!C$4%,0)))</f>
        <v/>
      </c>
      <c r="I833" s="9" t="str">
        <f>IF(AND(G833=""),"",IF(AND(Y831=""),"",ROUND(G833*Master!H$4%,0)))</f>
        <v/>
      </c>
      <c r="J833" s="9" t="str">
        <f t="shared" ref="J833" si="1162">IF(AND(C833=""),"",SUM(G833:I833))</f>
        <v/>
      </c>
      <c r="K833" s="9" t="str">
        <f t="shared" ref="K833" si="1163">IF(AND(C833=""),"",IF(AND(G833=""),"",C833-G833))</f>
        <v/>
      </c>
      <c r="L833" s="9" t="str">
        <f t="shared" ref="L833" si="1164">IF(AND(D833=""),"",IF(AND(H833=""),"",D833-H833))</f>
        <v/>
      </c>
      <c r="M833" s="9" t="str">
        <f t="shared" ref="M833" si="1165">IF(AND(E833=""),"",IF(AND(I833=""),"",E833-I833))</f>
        <v/>
      </c>
      <c r="N833" s="9" t="str">
        <f t="shared" ref="N833" si="1166">IF(AND(F833=""),"",IF(AND(J833=""),"",F833-J833))</f>
        <v/>
      </c>
      <c r="O833" s="9" t="str">
        <f t="shared" ref="O833" si="1167">IF(AND(C833=""),"",N833-P833)</f>
        <v/>
      </c>
      <c r="P833" s="9" t="str">
        <f>IF(AND(Y831=""),"",IF(AND(N833=""),"",ROUND(N833*X$17%,0)))</f>
        <v/>
      </c>
      <c r="Q833" s="9" t="str">
        <f>IF(AND(Y831=""),"",IF(AND(C833=""),"",IF(AND(O833=""),"",SUM(O833,P833))))</f>
        <v/>
      </c>
      <c r="R833" s="9" t="str">
        <f t="shared" ref="R833" si="1168">IF(AND(N833=""),"",IF(AND(Q833=""),"",N833-Q833))</f>
        <v/>
      </c>
      <c r="S833" s="20"/>
    </row>
    <row r="834" spans="1:25" ht="30.75" customHeight="1">
      <c r="A834" s="153" t="s">
        <v>9</v>
      </c>
      <c r="B834" s="154"/>
      <c r="C834" s="63">
        <f ca="1">IF(AND($Y$830=""),"",SUM(C830:C834))</f>
        <v>0</v>
      </c>
      <c r="D834" s="63">
        <f t="shared" ref="D834:R834" ca="1" si="1169">IF(AND($Y$830=""),"",SUM(D830:D834))</f>
        <v>0</v>
      </c>
      <c r="E834" s="63">
        <f t="shared" ca="1" si="1169"/>
        <v>0</v>
      </c>
      <c r="F834" s="63">
        <f t="shared" ca="1" si="1169"/>
        <v>0</v>
      </c>
      <c r="G834" s="63">
        <f t="shared" ca="1" si="1169"/>
        <v>0</v>
      </c>
      <c r="H834" s="63">
        <f t="shared" ca="1" si="1169"/>
        <v>0</v>
      </c>
      <c r="I834" s="63">
        <f t="shared" ca="1" si="1169"/>
        <v>0</v>
      </c>
      <c r="J834" s="63">
        <f t="shared" ca="1" si="1169"/>
        <v>0</v>
      </c>
      <c r="K834" s="63">
        <f t="shared" ca="1" si="1169"/>
        <v>0</v>
      </c>
      <c r="L834" s="63">
        <f t="shared" ca="1" si="1169"/>
        <v>0</v>
      </c>
      <c r="M834" s="63">
        <f t="shared" ca="1" si="1169"/>
        <v>0</v>
      </c>
      <c r="N834" s="63">
        <f t="shared" ca="1" si="1169"/>
        <v>0</v>
      </c>
      <c r="O834" s="63">
        <f t="shared" ca="1" si="1169"/>
        <v>0</v>
      </c>
      <c r="P834" s="63">
        <f t="shared" ca="1" si="1169"/>
        <v>0</v>
      </c>
      <c r="Q834" s="63">
        <f t="shared" ca="1" si="1169"/>
        <v>0</v>
      </c>
      <c r="R834" s="63">
        <f t="shared" ca="1" si="1169"/>
        <v>0</v>
      </c>
      <c r="S834" s="49"/>
    </row>
    <row r="835" spans="1:25" ht="11.25" customHeight="1">
      <c r="A835" s="73"/>
      <c r="B835" s="73"/>
      <c r="C835" s="74"/>
      <c r="D835" s="74"/>
      <c r="E835" s="74"/>
      <c r="F835" s="74"/>
      <c r="G835" s="74"/>
      <c r="H835" s="74"/>
      <c r="I835" s="74"/>
      <c r="J835" s="74"/>
      <c r="K835" s="74"/>
      <c r="L835" s="74"/>
      <c r="M835" s="74"/>
      <c r="N835" s="74"/>
      <c r="O835" s="74"/>
      <c r="P835" s="74"/>
      <c r="Q835" s="74"/>
      <c r="R835" s="74"/>
      <c r="S835" s="75"/>
    </row>
    <row r="836" spans="1:25" ht="23.25" customHeight="1">
      <c r="E836" s="133" t="s">
        <v>10</v>
      </c>
      <c r="F836" s="133"/>
      <c r="G836" s="133"/>
      <c r="H836" s="133"/>
      <c r="I836" s="133"/>
      <c r="J836" s="132" t="str">
        <f>IF(ISNA(VLOOKUP(Y838,Master!A$8:N$127,2,FALSE)),"",VLOOKUP(Y838,Master!A$8:AH$127,2,FALSE))</f>
        <v/>
      </c>
      <c r="K836" s="132"/>
      <c r="L836" s="132"/>
      <c r="M836" s="132"/>
      <c r="N836" s="132"/>
      <c r="O836" s="60" t="s">
        <v>31</v>
      </c>
      <c r="P836" s="132" t="str">
        <f>IF(ISNA(VLOOKUP($Y$431,Master!A$8:N$127,3,FALSE)),"",VLOOKUP($Y$431,Master!A$8:AH$127,3,FALSE))</f>
        <v/>
      </c>
      <c r="Q836" s="132"/>
      <c r="R836" s="132"/>
      <c r="S836" s="132"/>
    </row>
    <row r="837" spans="1:25" ht="9" customHeight="1">
      <c r="E837" s="19"/>
      <c r="F837" s="52"/>
      <c r="G837" s="22"/>
      <c r="H837" s="22"/>
      <c r="I837" s="22"/>
      <c r="J837" s="5"/>
      <c r="K837" s="5"/>
      <c r="L837" s="5"/>
      <c r="M837" s="5"/>
      <c r="N837" s="5"/>
      <c r="O837" s="6"/>
      <c r="P837" s="6"/>
    </row>
    <row r="838" spans="1:25" ht="21" customHeight="1">
      <c r="A838" s="8">
        <v>1</v>
      </c>
      <c r="B838" s="23">
        <v>45108</v>
      </c>
      <c r="C838" s="9" t="str">
        <f>IF(ISNA(VLOOKUP(Y838,Master!A$8:N$127,5,FALSE)),"",VLOOKUP(Y838,Master!A$8:AH$127,5,FALSE))</f>
        <v/>
      </c>
      <c r="D838" s="9" t="str">
        <f>IF(AND(C838=""),"",IF(AND(Y838=""),"",ROUND(C838*Master!C$5%,0)))</f>
        <v/>
      </c>
      <c r="E838" s="9" t="str">
        <f>IF(AND(C838=""),"",IF(AND(Y838=""),"",ROUND(C838*Master!H$5%,0)))</f>
        <v/>
      </c>
      <c r="F838" s="9" t="str">
        <f t="shared" ref="F838:F840" si="1170">IF(AND(C838=""),"",SUM(C838:E838))</f>
        <v/>
      </c>
      <c r="G838" s="9" t="str">
        <f>IF(ISNA(VLOOKUP(Y838,Master!A$8:N$127,5,FALSE)),"",VLOOKUP(Y838,Master!A$8:AH$127,5,FALSE))</f>
        <v/>
      </c>
      <c r="H838" s="9" t="str">
        <f>IF(AND(G838=""),"",IF(AND(Y838=""),"",ROUND(G838*Master!C$4%,0)))</f>
        <v/>
      </c>
      <c r="I838" s="9" t="str">
        <f>IF(AND(G838=""),"",IF(AND(Y838=""),"",ROUND(G838*Master!H$4%,0)))</f>
        <v/>
      </c>
      <c r="J838" s="9" t="str">
        <f t="shared" ref="J838:J840" si="1171">IF(AND(C838=""),"",SUM(G838:I838))</f>
        <v/>
      </c>
      <c r="K838" s="9" t="str">
        <f t="shared" ref="K838:K840" si="1172">IF(AND(C838=""),"",IF(AND(G838=""),"",C838-G838))</f>
        <v/>
      </c>
      <c r="L838" s="9" t="str">
        <f t="shared" ref="L838:L840" si="1173">IF(AND(D838=""),"",IF(AND(H838=""),"",D838-H838))</f>
        <v/>
      </c>
      <c r="M838" s="9" t="str">
        <f t="shared" ref="M838:M840" si="1174">IF(AND(E838=""),"",IF(AND(I838=""),"",E838-I838))</f>
        <v/>
      </c>
      <c r="N838" s="9" t="str">
        <f t="shared" ref="N838:N840" si="1175">IF(AND(F838=""),"",IF(AND(J838=""),"",F838-J838))</f>
        <v/>
      </c>
      <c r="O838" s="9" t="str">
        <f>IF(AND(C838=""),"",N838-P838)</f>
        <v/>
      </c>
      <c r="P838" s="9" t="str">
        <f>IF(AND(Y838=""),"",IF(AND(N838=""),"",ROUND(N838*AA$1%,0)))</f>
        <v/>
      </c>
      <c r="Q838" s="9" t="str">
        <f>IF(AND(Y838=""),"",IF(AND(C838=""),"",IF(AND(O838=""),"",SUM(O838,P838))))</f>
        <v/>
      </c>
      <c r="R838" s="9" t="str">
        <f>IF(AND(N838=""),"",IF(AND(Q838=""),"",N838-Q838))</f>
        <v/>
      </c>
      <c r="S838" s="20"/>
      <c r="X838" s="61" t="s">
        <v>49</v>
      </c>
      <c r="Y838" s="64">
        <v>69</v>
      </c>
    </row>
    <row r="839" spans="1:25" ht="21" customHeight="1">
      <c r="A839" s="8">
        <v>2</v>
      </c>
      <c r="B839" s="23">
        <v>45139</v>
      </c>
      <c r="C839" s="9" t="str">
        <f>IF(AND(Y838=""),"",C838)</f>
        <v/>
      </c>
      <c r="D839" s="9" t="str">
        <f>IF(AND(C839=""),"",IF(AND(Y838=""),"",ROUND(C839*Master!C$5%,0)))</f>
        <v/>
      </c>
      <c r="E839" s="9" t="str">
        <f>IF(AND(C839=""),"",IF(AND(Y838=""),"",ROUND(C839*Master!H$5%,0)))</f>
        <v/>
      </c>
      <c r="F839" s="9" t="str">
        <f t="shared" si="1170"/>
        <v/>
      </c>
      <c r="G839" s="9" t="str">
        <f>IF(AND(Y838=""),"",G838)</f>
        <v/>
      </c>
      <c r="H839" s="9" t="str">
        <f>IF(AND(G839=""),"",IF(AND(Y838=""),"",ROUND(G839*Master!C$4%,0)))</f>
        <v/>
      </c>
      <c r="I839" s="9" t="str">
        <f>IF(AND(G839=""),"",IF(AND(Y838=""),"",ROUND(G839*Master!H$4%,0)))</f>
        <v/>
      </c>
      <c r="J839" s="9" t="str">
        <f t="shared" si="1171"/>
        <v/>
      </c>
      <c r="K839" s="9" t="str">
        <f t="shared" si="1172"/>
        <v/>
      </c>
      <c r="L839" s="9" t="str">
        <f t="shared" si="1173"/>
        <v/>
      </c>
      <c r="M839" s="9" t="str">
        <f t="shared" si="1174"/>
        <v/>
      </c>
      <c r="N839" s="9" t="str">
        <f t="shared" si="1175"/>
        <v/>
      </c>
      <c r="O839" s="9" t="str">
        <f t="shared" ref="O839:O840" si="1176">IF(AND(C839=""),"",N839-P839)</f>
        <v/>
      </c>
      <c r="P839" s="9" t="str">
        <f>IF(AND(Y838=""),"",IF(AND(N839=""),"",ROUND(N839*AA$1%,0)))</f>
        <v/>
      </c>
      <c r="Q839" s="9" t="str">
        <f>IF(AND(Y838=""),"",IF(AND(C839=""),"",IF(AND(O839=""),"",SUM(O839,P839))))</f>
        <v/>
      </c>
      <c r="R839" s="9" t="str">
        <f t="shared" ref="R839:R840" si="1177">IF(AND(N839=""),"",IF(AND(Q839=""),"",N839-Q839))</f>
        <v/>
      </c>
      <c r="S839" s="20"/>
      <c r="X839" s="4" t="str">
        <f>IF(ISNA(VLOOKUP(Y838,Master!A$8:N$127,7,FALSE)),"",VLOOKUP(Y838,Master!A$8:AH$127,7,FALSE))</f>
        <v/>
      </c>
    </row>
    <row r="840" spans="1:25" ht="21" customHeight="1">
      <c r="A840" s="8">
        <v>3</v>
      </c>
      <c r="B840" s="23">
        <v>45170</v>
      </c>
      <c r="C840" s="9" t="str">
        <f>IF(AND(Y838=""),"",C839)</f>
        <v/>
      </c>
      <c r="D840" s="9" t="str">
        <f>IF(AND(C840=""),"",IF(AND(Y838=""),"",ROUND(C840*Master!C$5%,0)))</f>
        <v/>
      </c>
      <c r="E840" s="9" t="str">
        <f>IF(AND(C840=""),"",IF(AND(Y838=""),"",ROUND(C840*Master!H$5%,0)))</f>
        <v/>
      </c>
      <c r="F840" s="9" t="str">
        <f t="shared" si="1170"/>
        <v/>
      </c>
      <c r="G840" s="9" t="str">
        <f>IF(AND(Y838=""),"",G839)</f>
        <v/>
      </c>
      <c r="H840" s="9" t="str">
        <f>IF(AND(G840=""),"",IF(AND(Y838=""),"",ROUND(G840*Master!C$4%,0)))</f>
        <v/>
      </c>
      <c r="I840" s="9" t="str">
        <f>IF(AND(G840=""),"",IF(AND(Y838=""),"",ROUND(G840*Master!H$4%,0)))</f>
        <v/>
      </c>
      <c r="J840" s="9" t="str">
        <f t="shared" si="1171"/>
        <v/>
      </c>
      <c r="K840" s="9" t="str">
        <f t="shared" si="1172"/>
        <v/>
      </c>
      <c r="L840" s="9" t="str">
        <f t="shared" si="1173"/>
        <v/>
      </c>
      <c r="M840" s="9" t="str">
        <f t="shared" si="1174"/>
        <v/>
      </c>
      <c r="N840" s="9" t="str">
        <f t="shared" si="1175"/>
        <v/>
      </c>
      <c r="O840" s="9" t="str">
        <f t="shared" si="1176"/>
        <v/>
      </c>
      <c r="P840" s="9" t="str">
        <f>IF(AND(Y838=""),"",IF(AND(N840=""),"",ROUND(N840*AA$1%,0)))</f>
        <v/>
      </c>
      <c r="Q840" s="9" t="str">
        <f>IF(AND(Y838=""),"",IF(AND(C840=""),"",IF(AND(O840=""),"",SUM(O840,P840))))</f>
        <v/>
      </c>
      <c r="R840" s="9" t="str">
        <f t="shared" si="1177"/>
        <v/>
      </c>
      <c r="S840" s="20"/>
    </row>
    <row r="841" spans="1:25" ht="21" customHeight="1">
      <c r="A841" s="8">
        <v>4</v>
      </c>
      <c r="B841" s="23">
        <v>45200</v>
      </c>
      <c r="C841" s="9" t="str">
        <f>IF(AND(Y839=""),"",C840)</f>
        <v/>
      </c>
      <c r="D841" s="9" t="str">
        <f>IF(AND(C841=""),"",IF(AND(Y839=""),"",ROUND(C841*Master!C$5%,0)))</f>
        <v/>
      </c>
      <c r="E841" s="9" t="str">
        <f>IF(AND(C841=""),"",IF(AND(Y839=""),"",ROUND(C841*Master!H$5%,0)))</f>
        <v/>
      </c>
      <c r="F841" s="9" t="str">
        <f t="shared" ref="F841" si="1178">IF(AND(C841=""),"",SUM(C841:E841))</f>
        <v/>
      </c>
      <c r="G841" s="9" t="str">
        <f>IF(AND(Y839=""),"",G840)</f>
        <v/>
      </c>
      <c r="H841" s="9" t="str">
        <f>IF(AND(G841=""),"",IF(AND(Y839=""),"",ROUND(G841*Master!C$4%,0)))</f>
        <v/>
      </c>
      <c r="I841" s="9" t="str">
        <f>IF(AND(G841=""),"",IF(AND(Y839=""),"",ROUND(G841*Master!H$4%,0)))</f>
        <v/>
      </c>
      <c r="J841" s="9" t="str">
        <f t="shared" ref="J841" si="1179">IF(AND(C841=""),"",SUM(G841:I841))</f>
        <v/>
      </c>
      <c r="K841" s="9" t="str">
        <f t="shared" ref="K841" si="1180">IF(AND(C841=""),"",IF(AND(G841=""),"",C841-G841))</f>
        <v/>
      </c>
      <c r="L841" s="9" t="str">
        <f t="shared" ref="L841" si="1181">IF(AND(D841=""),"",IF(AND(H841=""),"",D841-H841))</f>
        <v/>
      </c>
      <c r="M841" s="9" t="str">
        <f t="shared" ref="M841" si="1182">IF(AND(E841=""),"",IF(AND(I841=""),"",E841-I841))</f>
        <v/>
      </c>
      <c r="N841" s="9" t="str">
        <f t="shared" ref="N841" si="1183">IF(AND(F841=""),"",IF(AND(J841=""),"",F841-J841))</f>
        <v/>
      </c>
      <c r="O841" s="9" t="str">
        <f t="shared" ref="O841" si="1184">IF(AND(C841=""),"",N841-P841)</f>
        <v/>
      </c>
      <c r="P841" s="9" t="str">
        <f>IF(AND(Y839=""),"",IF(AND(N841=""),"",ROUND(N841*AA$1%,0)))</f>
        <v/>
      </c>
      <c r="Q841" s="9" t="str">
        <f>IF(AND(Y839=""),"",IF(AND(C841=""),"",IF(AND(O841=""),"",SUM(O841,P841))))</f>
        <v/>
      </c>
      <c r="R841" s="9" t="str">
        <f t="shared" ref="R841" si="1185">IF(AND(N841=""),"",IF(AND(Q841=""),"",N841-Q841))</f>
        <v/>
      </c>
      <c r="S841" s="20"/>
    </row>
    <row r="842" spans="1:25" ht="30.75" customHeight="1">
      <c r="A842" s="153" t="s">
        <v>9</v>
      </c>
      <c r="B842" s="154"/>
      <c r="C842" s="63">
        <f>IF(AND($Y$838=""),"",SUM(C838:C841))</f>
        <v>0</v>
      </c>
      <c r="D842" s="63">
        <f t="shared" ref="D842:Q842" si="1186">IF(AND($Y$838=""),"",SUM(D838:D841))</f>
        <v>0</v>
      </c>
      <c r="E842" s="63">
        <f t="shared" si="1186"/>
        <v>0</v>
      </c>
      <c r="F842" s="63">
        <f t="shared" si="1186"/>
        <v>0</v>
      </c>
      <c r="G842" s="63">
        <f t="shared" si="1186"/>
        <v>0</v>
      </c>
      <c r="H842" s="63">
        <f t="shared" si="1186"/>
        <v>0</v>
      </c>
      <c r="I842" s="63">
        <f t="shared" si="1186"/>
        <v>0</v>
      </c>
      <c r="J842" s="63">
        <f t="shared" si="1186"/>
        <v>0</v>
      </c>
      <c r="K842" s="63">
        <f t="shared" si="1186"/>
        <v>0</v>
      </c>
      <c r="L842" s="63">
        <f t="shared" si="1186"/>
        <v>0</v>
      </c>
      <c r="M842" s="63">
        <f t="shared" si="1186"/>
        <v>0</v>
      </c>
      <c r="N842" s="63">
        <f t="shared" si="1186"/>
        <v>0</v>
      </c>
      <c r="O842" s="63">
        <f t="shared" si="1186"/>
        <v>0</v>
      </c>
      <c r="P842" s="63">
        <f t="shared" si="1186"/>
        <v>0</v>
      </c>
      <c r="Q842" s="63">
        <f t="shared" si="1186"/>
        <v>0</v>
      </c>
      <c r="R842" s="63">
        <f>IF(AND($Y$838=""),"",SUM(R838:R841))</f>
        <v>0</v>
      </c>
      <c r="S842" s="49"/>
    </row>
    <row r="843" spans="1:25" ht="30.75" customHeight="1">
      <c r="A843" s="73"/>
      <c r="B843" s="73"/>
      <c r="C843" s="74"/>
      <c r="D843" s="74"/>
      <c r="E843" s="74"/>
      <c r="F843" s="74"/>
      <c r="G843" s="74"/>
      <c r="H843" s="74"/>
      <c r="I843" s="74"/>
      <c r="J843" s="74"/>
      <c r="K843" s="74"/>
      <c r="L843" s="74"/>
      <c r="M843" s="74"/>
      <c r="N843" s="74"/>
      <c r="O843" s="74"/>
      <c r="P843" s="74"/>
      <c r="Q843" s="74"/>
      <c r="R843" s="74"/>
      <c r="S843" s="75"/>
    </row>
    <row r="844" spans="1:25" ht="18.75">
      <c r="A844" s="21"/>
      <c r="B844" s="58"/>
      <c r="C844" s="58"/>
      <c r="D844" s="58"/>
      <c r="E844" s="58"/>
      <c r="F844" s="58"/>
      <c r="G844" s="58"/>
      <c r="H844" s="59"/>
      <c r="I844" s="59"/>
      <c r="J844" s="59"/>
      <c r="K844" s="66"/>
      <c r="L844" s="66"/>
      <c r="M844" s="66"/>
      <c r="N844" s="66"/>
      <c r="O844" s="138" t="s">
        <v>42</v>
      </c>
      <c r="P844" s="138"/>
      <c r="Q844" s="138"/>
      <c r="R844" s="138"/>
      <c r="S844" s="138"/>
    </row>
    <row r="845" spans="1:25" ht="18.75">
      <c r="A845" s="1"/>
      <c r="B845" s="24" t="s">
        <v>19</v>
      </c>
      <c r="C845" s="139"/>
      <c r="D845" s="139"/>
      <c r="E845" s="139"/>
      <c r="F845" s="139"/>
      <c r="G845" s="139"/>
      <c r="H845" s="25"/>
      <c r="I845" s="143" t="s">
        <v>20</v>
      </c>
      <c r="J845" s="143"/>
      <c r="K845" s="141"/>
      <c r="L845" s="141"/>
      <c r="M845" s="141"/>
      <c r="O845" s="138"/>
      <c r="P845" s="138"/>
      <c r="Q845" s="138"/>
      <c r="R845" s="138"/>
      <c r="S845" s="138"/>
    </row>
    <row r="846" spans="1:25" ht="18.75">
      <c r="A846" s="1"/>
      <c r="B846" s="140" t="s">
        <v>21</v>
      </c>
      <c r="C846" s="140"/>
      <c r="D846" s="140"/>
      <c r="E846" s="140"/>
      <c r="F846" s="140"/>
      <c r="G846" s="140"/>
      <c r="H846" s="140"/>
      <c r="I846" s="27"/>
      <c r="J846" s="26"/>
      <c r="K846" s="26"/>
      <c r="L846" s="26"/>
      <c r="M846" s="26"/>
    </row>
    <row r="847" spans="1:25" ht="18.75">
      <c r="A847" s="22">
        <v>1</v>
      </c>
      <c r="B847" s="142" t="s">
        <v>22</v>
      </c>
      <c r="C847" s="142"/>
      <c r="D847" s="142"/>
      <c r="E847" s="142"/>
      <c r="F847" s="142"/>
      <c r="G847" s="142"/>
      <c r="H847" s="142"/>
      <c r="I847" s="28"/>
      <c r="J847" s="26"/>
      <c r="K847" s="26"/>
      <c r="L847" s="26"/>
      <c r="M847" s="26"/>
    </row>
    <row r="848" spans="1:25" ht="18.75">
      <c r="A848" s="2">
        <v>2</v>
      </c>
      <c r="B848" s="142" t="s">
        <v>23</v>
      </c>
      <c r="C848" s="142"/>
      <c r="D848" s="142"/>
      <c r="E848" s="142"/>
      <c r="F848" s="142"/>
      <c r="G848" s="132"/>
      <c r="H848" s="132"/>
      <c r="I848" s="132"/>
      <c r="J848" s="132"/>
      <c r="K848" s="132"/>
      <c r="L848" s="132"/>
      <c r="M848" s="132"/>
    </row>
    <row r="849" spans="1:27" ht="18.75">
      <c r="A849" s="3">
        <v>3</v>
      </c>
      <c r="B849" s="142" t="s">
        <v>24</v>
      </c>
      <c r="C849" s="142"/>
      <c r="D849" s="142"/>
      <c r="E849" s="29"/>
      <c r="F849" s="28"/>
      <c r="G849" s="28"/>
      <c r="H849" s="30"/>
      <c r="I849" s="31"/>
      <c r="J849" s="26"/>
      <c r="K849" s="26"/>
      <c r="L849" s="26"/>
      <c r="M849" s="26"/>
    </row>
    <row r="850" spans="1:27" ht="15.75">
      <c r="O850" s="138" t="s">
        <v>42</v>
      </c>
      <c r="P850" s="138"/>
      <c r="Q850" s="138"/>
      <c r="R850" s="138"/>
      <c r="S850" s="138"/>
    </row>
    <row r="852" spans="1:27" ht="18" customHeight="1">
      <c r="A852" s="148" t="str">
        <f>A815</f>
        <v xml:space="preserve">DA (46% to 50%) Drawn Statement  </v>
      </c>
      <c r="B852" s="148"/>
      <c r="C852" s="148"/>
      <c r="D852" s="148"/>
      <c r="E852" s="148"/>
      <c r="F852" s="148"/>
      <c r="G852" s="148"/>
      <c r="H852" s="148"/>
      <c r="I852" s="148"/>
      <c r="J852" s="148"/>
      <c r="K852" s="148"/>
      <c r="L852" s="148"/>
      <c r="M852" s="148"/>
      <c r="N852" s="148"/>
      <c r="O852" s="148"/>
      <c r="P852" s="148"/>
      <c r="Q852" s="148"/>
      <c r="R852" s="148"/>
      <c r="S852" s="148"/>
      <c r="W852" s="4">
        <f>IF(ISNA(VLOOKUP($Y$3,Master!A$8:N$127,4,FALSE)),"",VLOOKUP($Y$3,Master!A$8:AH$127,4,FALSE))</f>
        <v>2</v>
      </c>
      <c r="X852" s="4" t="str">
        <f>IF(ISNA(VLOOKUP($Y$3,Master!A$8:N$127,6,FALSE)),"",VLOOKUP($Y$3,Master!A$8:AH$127,6,FALSE))</f>
        <v>GPF-2004</v>
      </c>
      <c r="Y852" s="4" t="s">
        <v>45</v>
      </c>
      <c r="Z852" s="4" t="s">
        <v>18</v>
      </c>
      <c r="AA852" s="4" t="str">
        <f>IF(ISNA(VLOOKUP(Y854,Master!A$8:N$127,7,FALSE)),"",VLOOKUP(Y854,Master!A$8:AH$127,7,FALSE))</f>
        <v/>
      </c>
    </row>
    <row r="853" spans="1:27" ht="18">
      <c r="A853" s="131" t="str">
        <f>IF(AND(Master!C785=""),"",CONCATENATE("Office Of  ",Master!C785))</f>
        <v/>
      </c>
      <c r="B853" s="131"/>
      <c r="C853" s="131"/>
      <c r="D853" s="131"/>
      <c r="E853" s="131"/>
      <c r="F853" s="131"/>
      <c r="G853" s="131"/>
      <c r="H853" s="131"/>
      <c r="I853" s="131"/>
      <c r="J853" s="131"/>
      <c r="K853" s="131"/>
      <c r="L853" s="131"/>
      <c r="M853" s="131"/>
      <c r="N853" s="131"/>
      <c r="O853" s="131"/>
      <c r="P853" s="131"/>
      <c r="Q853" s="131"/>
      <c r="R853" s="131"/>
      <c r="S853" s="131"/>
      <c r="X853" s="4">
        <f>IF(ISNA(VLOOKUP($Y$3,Master!A$8:N$127,8,FALSE)),"",VLOOKUP($Y$3,Master!A$8:AH$127,8,FALSE))</f>
        <v>45292</v>
      </c>
      <c r="Y853" s="4" t="s">
        <v>43</v>
      </c>
    </row>
    <row r="854" spans="1:27" ht="18.75">
      <c r="E854" s="133" t="s">
        <v>10</v>
      </c>
      <c r="F854" s="133"/>
      <c r="G854" s="133"/>
      <c r="H854" s="133"/>
      <c r="I854" s="133"/>
      <c r="J854" s="132" t="str">
        <f>IF(ISNA(VLOOKUP(Y854,Master!A$8:N$127,2,FALSE)),"",VLOOKUP(Y854,Master!A$8:AH$127,2,FALSE))</f>
        <v/>
      </c>
      <c r="K854" s="132"/>
      <c r="L854" s="132"/>
      <c r="M854" s="132"/>
      <c r="N854" s="132"/>
      <c r="O854" s="60" t="s">
        <v>31</v>
      </c>
      <c r="P854" s="132" t="str">
        <f>IF(ISNA(VLOOKUP(Y854,Master!A$8:N$127,3,FALSE)),"",VLOOKUP(Y854,Master!A$8:AH$127,3,FALSE))</f>
        <v/>
      </c>
      <c r="Q854" s="132"/>
      <c r="R854" s="132"/>
      <c r="S854" s="132"/>
      <c r="X854" s="61" t="s">
        <v>49</v>
      </c>
      <c r="Y854" s="64">
        <v>70</v>
      </c>
    </row>
    <row r="855" spans="1:27" ht="8.25" customHeight="1">
      <c r="E855" s="19"/>
      <c r="F855" s="52"/>
      <c r="G855" s="22"/>
      <c r="H855" s="22"/>
      <c r="I855" s="22"/>
      <c r="J855" s="5"/>
      <c r="K855" s="5"/>
      <c r="L855" s="5"/>
      <c r="M855" s="5"/>
      <c r="N855" s="5"/>
      <c r="O855" s="6"/>
      <c r="P855" s="6"/>
    </row>
    <row r="856" spans="1:27" ht="24.75" customHeight="1">
      <c r="A856" s="157" t="s">
        <v>0</v>
      </c>
      <c r="B856" s="158" t="s">
        <v>3</v>
      </c>
      <c r="C856" s="159" t="s">
        <v>5</v>
      </c>
      <c r="D856" s="159"/>
      <c r="E856" s="159"/>
      <c r="F856" s="159"/>
      <c r="G856" s="159" t="s">
        <v>6</v>
      </c>
      <c r="H856" s="159"/>
      <c r="I856" s="159"/>
      <c r="J856" s="159"/>
      <c r="K856" s="159" t="s">
        <v>7</v>
      </c>
      <c r="L856" s="159"/>
      <c r="M856" s="159"/>
      <c r="N856" s="159"/>
      <c r="O856" s="149" t="s">
        <v>8</v>
      </c>
      <c r="P856" s="150"/>
      <c r="Q856" s="151"/>
      <c r="R856" s="162" t="s">
        <v>54</v>
      </c>
      <c r="S856" s="162" t="s">
        <v>40</v>
      </c>
    </row>
    <row r="857" spans="1:27" ht="69" customHeight="1">
      <c r="A857" s="157"/>
      <c r="B857" s="158"/>
      <c r="C857" s="54" t="s">
        <v>29</v>
      </c>
      <c r="D857" s="55" t="s">
        <v>1</v>
      </c>
      <c r="E857" s="56" t="s">
        <v>2</v>
      </c>
      <c r="F857" s="54" t="s">
        <v>46</v>
      </c>
      <c r="G857" s="54" t="s">
        <v>29</v>
      </c>
      <c r="H857" s="55" t="s">
        <v>1</v>
      </c>
      <c r="I857" s="56" t="s">
        <v>2</v>
      </c>
      <c r="J857" s="54" t="s">
        <v>47</v>
      </c>
      <c r="K857" s="54" t="s">
        <v>4</v>
      </c>
      <c r="L857" s="55" t="s">
        <v>1</v>
      </c>
      <c r="M857" s="56" t="s">
        <v>2</v>
      </c>
      <c r="N857" s="57" t="s">
        <v>48</v>
      </c>
      <c r="O857" s="53" t="s">
        <v>69</v>
      </c>
      <c r="P857" s="65" t="s">
        <v>41</v>
      </c>
      <c r="Q857" s="57" t="s">
        <v>53</v>
      </c>
      <c r="R857" s="162"/>
      <c r="S857" s="162"/>
    </row>
    <row r="858" spans="1:27" ht="18" customHeight="1">
      <c r="A858" s="7">
        <v>1</v>
      </c>
      <c r="B858" s="7">
        <v>2</v>
      </c>
      <c r="C858" s="7">
        <v>3</v>
      </c>
      <c r="D858" s="7">
        <v>4</v>
      </c>
      <c r="E858" s="7">
        <v>5</v>
      </c>
      <c r="F858" s="7">
        <v>6</v>
      </c>
      <c r="G858" s="7">
        <v>7</v>
      </c>
      <c r="H858" s="7">
        <v>8</v>
      </c>
      <c r="I858" s="7">
        <v>9</v>
      </c>
      <c r="J858" s="7">
        <v>10</v>
      </c>
      <c r="K858" s="7">
        <v>11</v>
      </c>
      <c r="L858" s="7">
        <v>12</v>
      </c>
      <c r="M858" s="7">
        <v>13</v>
      </c>
      <c r="N858" s="7">
        <v>14</v>
      </c>
      <c r="O858" s="7">
        <v>15</v>
      </c>
      <c r="P858" s="7">
        <v>17</v>
      </c>
      <c r="Q858" s="7">
        <v>18</v>
      </c>
      <c r="R858" s="7">
        <v>19</v>
      </c>
      <c r="S858" s="7">
        <v>20</v>
      </c>
    </row>
    <row r="859" spans="1:27" ht="21" customHeight="1">
      <c r="A859" s="8">
        <v>1</v>
      </c>
      <c r="B859" s="23">
        <v>45108</v>
      </c>
      <c r="C859" s="9" t="str">
        <f>IF(ISNA(VLOOKUP(Y854,Master!A$8:N$127,5,FALSE)),"",VLOOKUP(Y854,Master!A$8:AH$127,5,FALSE))</f>
        <v/>
      </c>
      <c r="D859" s="9" t="str">
        <f>IF(AND(C859=""),"",IF(AND(Y854=""),"",ROUND(C859*Master!C$5%,0)))</f>
        <v/>
      </c>
      <c r="E859" s="9" t="str">
        <f>IF(AND(C859=""),"",IF(AND(Y854=""),"",ROUND(C859*Master!H$5%,0)))</f>
        <v/>
      </c>
      <c r="F859" s="9" t="str">
        <f t="shared" ref="F859" si="1187">IF(AND(C859=""),"",SUM(C859:E859))</f>
        <v/>
      </c>
      <c r="G859" s="9" t="str">
        <f>IF(ISNA(VLOOKUP(Y854,Master!A$8:N$127,5,FALSE)),"",VLOOKUP(Y854,Master!A$8:AH$127,5,FALSE))</f>
        <v/>
      </c>
      <c r="H859" s="9" t="str">
        <f>IF(AND(G859=""),"",IF(AND(Y854=""),"",ROUND(G859*Master!C$4%,0)))</f>
        <v/>
      </c>
      <c r="I859" s="9" t="str">
        <f>IF(AND(G859=""),"",IF(AND(Y854=""),"",ROUND(G859*Master!H$4%,0)))</f>
        <v/>
      </c>
      <c r="J859" s="9" t="str">
        <f t="shared" ref="J859:J860" si="1188">IF(AND(C859=""),"",SUM(G859:I859))</f>
        <v/>
      </c>
      <c r="K859" s="9" t="str">
        <f t="shared" ref="K859:K861" si="1189">IF(AND(C859=""),"",IF(AND(G859=""),"",C859-G859))</f>
        <v/>
      </c>
      <c r="L859" s="9" t="str">
        <f t="shared" ref="L859:L861" si="1190">IF(AND(D859=""),"",IF(AND(H859=""),"",D859-H859))</f>
        <v/>
      </c>
      <c r="M859" s="9" t="str">
        <f t="shared" ref="M859:M860" si="1191">IF(AND(E859=""),"",IF(AND(I859=""),"",E859-I859))</f>
        <v/>
      </c>
      <c r="N859" s="9" t="str">
        <f t="shared" ref="N859:N860" si="1192">IF(AND(F859=""),"",IF(AND(J859=""),"",F859-J859))</f>
        <v/>
      </c>
      <c r="O859" s="9" t="str">
        <f>IF(AND(C859=""),"",N859-P859)</f>
        <v/>
      </c>
      <c r="P859" s="9" t="str">
        <f>IF(AND(Y854=""),"",IF(AND(N859=""),"",ROUND(N859*AA$1%,0)))</f>
        <v/>
      </c>
      <c r="Q859" s="9" t="str">
        <f>IF(AND(Y854=""),"",IF(AND(C859=""),"",IF(AND(O859=""),"",SUM(O859,P859))))</f>
        <v/>
      </c>
      <c r="R859" s="9" t="str">
        <f>IF(AND(N859=""),"",IF(AND(Q859=""),"",N859-Q859))</f>
        <v/>
      </c>
      <c r="S859" s="20"/>
    </row>
    <row r="860" spans="1:27" ht="21" customHeight="1">
      <c r="A860" s="8">
        <v>2</v>
      </c>
      <c r="B860" s="23">
        <v>45139</v>
      </c>
      <c r="C860" s="9" t="str">
        <f>IF(AND(Y854=""),"",C859)</f>
        <v/>
      </c>
      <c r="D860" s="9" t="str">
        <f>IF(AND(C860=""),"",IF(AND(Y854=""),"",ROUND(C860*Master!C$5%,0)))</f>
        <v/>
      </c>
      <c r="E860" s="9" t="str">
        <f>IF(AND(C860=""),"",IF(AND(Y854=""),"",ROUND(C860*Master!H$5%,0)))</f>
        <v/>
      </c>
      <c r="F860" s="9" t="str">
        <f>IF(AND(C860=""),"",SUM(C860:E860))</f>
        <v/>
      </c>
      <c r="G860" s="9" t="str">
        <f>IF(AND(Y854=""),"",G859)</f>
        <v/>
      </c>
      <c r="H860" s="9" t="str">
        <f>IF(AND(G860=""),"",IF(AND(Y854=""),"",ROUND(G860*Master!C$4%,0)))</f>
        <v/>
      </c>
      <c r="I860" s="9" t="str">
        <f>IF(AND(G860=""),"",IF(AND(Y854=""),"",ROUND(G860*Master!H$4%,0)))</f>
        <v/>
      </c>
      <c r="J860" s="9" t="str">
        <f t="shared" si="1188"/>
        <v/>
      </c>
      <c r="K860" s="9" t="str">
        <f t="shared" si="1189"/>
        <v/>
      </c>
      <c r="L860" s="9" t="str">
        <f t="shared" si="1190"/>
        <v/>
      </c>
      <c r="M860" s="9" t="str">
        <f t="shared" si="1191"/>
        <v/>
      </c>
      <c r="N860" s="9" t="str">
        <f t="shared" si="1192"/>
        <v/>
      </c>
      <c r="O860" s="9" t="str">
        <f t="shared" ref="O860:O861" si="1193">IF(AND(C860=""),"",N860-P860)</f>
        <v/>
      </c>
      <c r="P860" s="9" t="str">
        <f>IF(AND(Y854=""),"",IF(AND(N860=""),"",ROUND(N860*AA$1%,0)))</f>
        <v/>
      </c>
      <c r="Q860" s="9" t="str">
        <f>IF(AND(Y854=""),"",IF(AND(C860=""),"",IF(AND(O860=""),"",SUM(O860,P860))))</f>
        <v/>
      </c>
      <c r="R860" s="9" t="str">
        <f t="shared" ref="R860:R861" si="1194">IF(AND(N860=""),"",IF(AND(Q860=""),"",N860-Q860))</f>
        <v/>
      </c>
      <c r="S860" s="20"/>
    </row>
    <row r="861" spans="1:27" ht="21" customHeight="1">
      <c r="A861" s="8">
        <v>3</v>
      </c>
      <c r="B861" s="23">
        <v>45170</v>
      </c>
      <c r="C861" s="9" t="str">
        <f>IF(AND(Y854=""),"",C860)</f>
        <v/>
      </c>
      <c r="D861" s="9" t="str">
        <f>IF(AND(C861=""),"",IF(AND(Y854=""),"",ROUND(C861*Master!C$5%,0)))</f>
        <v/>
      </c>
      <c r="E861" s="9" t="str">
        <f>IF(AND(C861=""),"",IF(AND(Y854=""),"",ROUND(C861*Master!H$5%,0)))</f>
        <v/>
      </c>
      <c r="F861" s="9" t="str">
        <f t="shared" ref="F861" si="1195">IF(AND(C861=""),"",SUM(C861:E861))</f>
        <v/>
      </c>
      <c r="G861" s="9" t="str">
        <f>IF(AND(Y854=""),"",G860)</f>
        <v/>
      </c>
      <c r="H861" s="9" t="str">
        <f>IF(AND(G861=""),"",IF(AND(Y854=""),"",ROUND(G861*Master!C$4%,0)))</f>
        <v/>
      </c>
      <c r="I861" s="9" t="str">
        <f>IF(AND(G861=""),"",IF(AND(Y854=""),"",ROUND(G861*Master!H$4%,0)))</f>
        <v/>
      </c>
      <c r="J861" s="9" t="str">
        <f>IF(AND(C861=""),"",SUM(G861:I861))</f>
        <v/>
      </c>
      <c r="K861" s="9" t="str">
        <f t="shared" si="1189"/>
        <v/>
      </c>
      <c r="L861" s="9" t="str">
        <f t="shared" si="1190"/>
        <v/>
      </c>
      <c r="M861" s="9" t="str">
        <f>IF(AND(E861=""),"",IF(AND(I861=""),"",E861-I861))</f>
        <v/>
      </c>
      <c r="N861" s="9" t="str">
        <f>IF(AND(F861=""),"",IF(AND(J861=""),"",F861-J861))</f>
        <v/>
      </c>
      <c r="O861" s="9" t="str">
        <f t="shared" si="1193"/>
        <v/>
      </c>
      <c r="P861" s="9" t="str">
        <f>IF(AND(Y854=""),"",IF(AND(N861=""),"",ROUND(N861*AA$1%,0)))</f>
        <v/>
      </c>
      <c r="Q861" s="9" t="str">
        <f>IF(AND(Y854=""),"",IF(AND(C861=""),"",IF(AND(O861=""),"",SUM(O861,P861))))</f>
        <v/>
      </c>
      <c r="R861" s="9" t="str">
        <f t="shared" si="1194"/>
        <v/>
      </c>
      <c r="S861" s="20"/>
    </row>
    <row r="862" spans="1:27" ht="21" customHeight="1">
      <c r="A862" s="8">
        <v>4</v>
      </c>
      <c r="B862" s="23">
        <v>45200</v>
      </c>
      <c r="C862" s="9" t="str">
        <f>IF(AND(Y855=""),"",C861)</f>
        <v/>
      </c>
      <c r="D862" s="9" t="str">
        <f>IF(AND(C862=""),"",IF(AND(Y855=""),"",ROUND(C862*Master!C$5%,0)))</f>
        <v/>
      </c>
      <c r="E862" s="9" t="str">
        <f>IF(AND(C862=""),"",IF(AND(Y855=""),"",ROUND(C862*Master!H$5%,0)))</f>
        <v/>
      </c>
      <c r="F862" s="9" t="str">
        <f t="shared" ref="F862" si="1196">IF(AND(C862=""),"",SUM(C862:E862))</f>
        <v/>
      </c>
      <c r="G862" s="9" t="str">
        <f>IF(AND(Y855=""),"",G861)</f>
        <v/>
      </c>
      <c r="H862" s="9" t="str">
        <f>IF(AND(G862=""),"",IF(AND(Y855=""),"",ROUND(G862*Master!C$4%,0)))</f>
        <v/>
      </c>
      <c r="I862" s="9" t="str">
        <f>IF(AND(G862=""),"",IF(AND(Y855=""),"",ROUND(G862*Master!H$4%,0)))</f>
        <v/>
      </c>
      <c r="J862" s="9" t="str">
        <f>IF(AND(C862=""),"",SUM(G862:I862))</f>
        <v/>
      </c>
      <c r="K862" s="9" t="str">
        <f t="shared" ref="K862" si="1197">IF(AND(C862=""),"",IF(AND(G862=""),"",C862-G862))</f>
        <v/>
      </c>
      <c r="L862" s="9" t="str">
        <f t="shared" ref="L862" si="1198">IF(AND(D862=""),"",IF(AND(H862=""),"",D862-H862))</f>
        <v/>
      </c>
      <c r="M862" s="9" t="str">
        <f>IF(AND(E862=""),"",IF(AND(I862=""),"",E862-I862))</f>
        <v/>
      </c>
      <c r="N862" s="9" t="str">
        <f>IF(AND(F862=""),"",IF(AND(J862=""),"",F862-J862))</f>
        <v/>
      </c>
      <c r="O862" s="9" t="str">
        <f t="shared" ref="O862" si="1199">IF(AND(C862=""),"",N862-P862)</f>
        <v/>
      </c>
      <c r="P862" s="9" t="str">
        <f>IF(AND(Y855=""),"",IF(AND(N862=""),"",ROUND(N862*AA$1%,0)))</f>
        <v/>
      </c>
      <c r="Q862" s="9" t="str">
        <f>IF(AND(Y855=""),"",IF(AND(C862=""),"",IF(AND(O862=""),"",SUM(O862,P862))))</f>
        <v/>
      </c>
      <c r="R862" s="9" t="str">
        <f t="shared" ref="R862" si="1200">IF(AND(N862=""),"",IF(AND(Q862=""),"",N862-Q862))</f>
        <v/>
      </c>
      <c r="S862" s="20"/>
    </row>
    <row r="863" spans="1:27" ht="23.25" customHeight="1">
      <c r="A863" s="153" t="s">
        <v>9</v>
      </c>
      <c r="B863" s="154"/>
      <c r="C863" s="63">
        <f>IF(AND($Y$854=""),"",SUM(C859:C862))</f>
        <v>0</v>
      </c>
      <c r="D863" s="63">
        <f t="shared" ref="D863:R863" si="1201">IF(AND($Y$854=""),"",SUM(D859:D862))</f>
        <v>0</v>
      </c>
      <c r="E863" s="63">
        <f t="shared" si="1201"/>
        <v>0</v>
      </c>
      <c r="F863" s="63">
        <f t="shared" si="1201"/>
        <v>0</v>
      </c>
      <c r="G863" s="63">
        <f t="shared" si="1201"/>
        <v>0</v>
      </c>
      <c r="H863" s="63">
        <f t="shared" si="1201"/>
        <v>0</v>
      </c>
      <c r="I863" s="63">
        <f t="shared" si="1201"/>
        <v>0</v>
      </c>
      <c r="J863" s="63">
        <f t="shared" si="1201"/>
        <v>0</v>
      </c>
      <c r="K863" s="63">
        <f t="shared" si="1201"/>
        <v>0</v>
      </c>
      <c r="L863" s="63">
        <f t="shared" si="1201"/>
        <v>0</v>
      </c>
      <c r="M863" s="63">
        <f t="shared" si="1201"/>
        <v>0</v>
      </c>
      <c r="N863" s="63">
        <f t="shared" si="1201"/>
        <v>0</v>
      </c>
      <c r="O863" s="63">
        <f t="shared" si="1201"/>
        <v>0</v>
      </c>
      <c r="P863" s="63">
        <f t="shared" si="1201"/>
        <v>0</v>
      </c>
      <c r="Q863" s="63">
        <f t="shared" si="1201"/>
        <v>0</v>
      </c>
      <c r="R863" s="63">
        <f t="shared" si="1201"/>
        <v>0</v>
      </c>
      <c r="S863" s="49"/>
    </row>
    <row r="864" spans="1:27" ht="10.5" customHeight="1">
      <c r="A864" s="73"/>
      <c r="B864" s="73"/>
      <c r="C864" s="74"/>
      <c r="D864" s="74"/>
      <c r="E864" s="74"/>
      <c r="F864" s="74"/>
      <c r="G864" s="74"/>
      <c r="H864" s="74"/>
      <c r="I864" s="74"/>
      <c r="J864" s="74"/>
      <c r="K864" s="74"/>
      <c r="L864" s="74"/>
      <c r="M864" s="74"/>
      <c r="N864" s="74"/>
      <c r="O864" s="74"/>
      <c r="P864" s="74"/>
      <c r="Q864" s="74"/>
      <c r="R864" s="74"/>
      <c r="S864" s="75"/>
    </row>
    <row r="865" spans="1:25" ht="23.25" customHeight="1">
      <c r="E865" s="133" t="s">
        <v>10</v>
      </c>
      <c r="F865" s="133"/>
      <c r="G865" s="133"/>
      <c r="H865" s="133"/>
      <c r="I865" s="133"/>
      <c r="J865" s="132" t="str">
        <f>IF(ISNA(VLOOKUP(Y867,Master!A$8:N$127,2,FALSE)),"",VLOOKUP(Y867,Master!A$8:AH$127,2,FALSE))</f>
        <v/>
      </c>
      <c r="K865" s="132"/>
      <c r="L865" s="132"/>
      <c r="M865" s="132"/>
      <c r="N865" s="132"/>
      <c r="O865" s="60" t="s">
        <v>31</v>
      </c>
      <c r="P865" s="132" t="str">
        <f>IF(ISNA(VLOOKUP(Y867,Master!A$8:N$127,3,FALSE)),"",VLOOKUP(Y867,Master!A$8:AH$127,3,FALSE))</f>
        <v/>
      </c>
      <c r="Q865" s="132"/>
      <c r="R865" s="132"/>
      <c r="S865" s="132"/>
    </row>
    <row r="866" spans="1:25" ht="9" customHeight="1">
      <c r="E866" s="19"/>
      <c r="F866" s="52"/>
      <c r="G866" s="22"/>
      <c r="H866" s="22"/>
      <c r="I866" s="22"/>
      <c r="J866" s="5"/>
      <c r="K866" s="5"/>
      <c r="L866" s="5"/>
      <c r="M866" s="5"/>
      <c r="N866" s="5"/>
      <c r="O866" s="6"/>
      <c r="P866" s="6"/>
    </row>
    <row r="867" spans="1:25" ht="21" customHeight="1">
      <c r="A867" s="8">
        <v>1</v>
      </c>
      <c r="B867" s="23">
        <v>45108</v>
      </c>
      <c r="C867" s="9" t="str">
        <f>IF(ISNA(VLOOKUP(Y867,Master!A$8:N$127,5,FALSE)),"",VLOOKUP(Y867,Master!A$8:AH$127,5,FALSE))</f>
        <v/>
      </c>
      <c r="D867" s="9" t="str">
        <f>IF(AND(C867=""),"",IF(AND(Y867=""),"",ROUND(C867*Master!C$5%,0)))</f>
        <v/>
      </c>
      <c r="E867" s="9" t="str">
        <f>IF(AND(C867=""),"",IF(AND(Y867=""),"",ROUND(C867*Master!H$5%,0)))</f>
        <v/>
      </c>
      <c r="F867" s="9" t="str">
        <f t="shared" ref="F867:F869" si="1202">IF(AND(C867=""),"",SUM(C867:E867))</f>
        <v/>
      </c>
      <c r="G867" s="9" t="str">
        <f>IF(ISNA(VLOOKUP(Y867,Master!A$8:N$127,5,FALSE)),"",VLOOKUP(Y867,Master!A$8:AH$127,5,FALSE))</f>
        <v/>
      </c>
      <c r="H867" s="9" t="str">
        <f>IF(AND(G867=""),"",IF(AND(Y867=""),"",ROUND(G867*Master!C$4%,0)))</f>
        <v/>
      </c>
      <c r="I867" s="9" t="str">
        <f>IF(AND(G867=""),"",IF(AND(Y867=""),"",ROUND(G867*Master!H$4%,0)))</f>
        <v/>
      </c>
      <c r="J867" s="9" t="str">
        <f t="shared" ref="J867:J869" si="1203">IF(AND(C867=""),"",SUM(G867:I867))</f>
        <v/>
      </c>
      <c r="K867" s="9" t="str">
        <f t="shared" ref="K867" si="1204">IF(AND(C867=""),"",IF(AND(G867=""),"",C867-G867))</f>
        <v/>
      </c>
      <c r="L867" s="9" t="str">
        <f>IF(AND(D867=""),"",IF(AND(H867=""),"",D867-H867))</f>
        <v/>
      </c>
      <c r="M867" s="9" t="str">
        <f t="shared" ref="M867:M869" si="1205">IF(AND(E867=""),"",IF(AND(I867=""),"",E867-I867))</f>
        <v/>
      </c>
      <c r="N867" s="9" t="str">
        <f t="shared" ref="N867:N869" si="1206">IF(AND(F867=""),"",IF(AND(J867=""),"",F867-J867))</f>
        <v/>
      </c>
      <c r="O867" s="9" t="str">
        <f>IF(AND(C867=""),"",N867-P867)</f>
        <v/>
      </c>
      <c r="P867" s="9" t="str">
        <f>IF(AND(Y867=""),"",IF(AND(N867=""),"",ROUND(N867*X$17%,0)))</f>
        <v/>
      </c>
      <c r="Q867" s="9" t="str">
        <f>IF(AND(Y867=""),"",IF(AND(C867=""),"",IF(AND(O867=""),"",SUM(O867,P867))))</f>
        <v/>
      </c>
      <c r="R867" s="9" t="str">
        <f>IF(AND(N867=""),"",IF(AND(Q867=""),"",N867-Q867))</f>
        <v/>
      </c>
      <c r="S867" s="20"/>
      <c r="X867" s="61" t="s">
        <v>49</v>
      </c>
      <c r="Y867" s="64">
        <v>71</v>
      </c>
    </row>
    <row r="868" spans="1:25" ht="21" customHeight="1">
      <c r="A868" s="8">
        <v>2</v>
      </c>
      <c r="B868" s="23">
        <v>45139</v>
      </c>
      <c r="C868" s="9" t="str">
        <f>IF(AND(Y867=""),"",C867)</f>
        <v/>
      </c>
      <c r="D868" s="9" t="str">
        <f>IF(AND(C868=""),"",IF(AND(Y867=""),"",ROUND(C868*Master!C$5%,0)))</f>
        <v/>
      </c>
      <c r="E868" s="9" t="str">
        <f>IF(AND(C868=""),"",IF(AND(Y867=""),"",ROUND(C868*Master!H$5%,0)))</f>
        <v/>
      </c>
      <c r="F868" s="9" t="str">
        <f t="shared" si="1202"/>
        <v/>
      </c>
      <c r="G868" s="9" t="str">
        <f>IF(AND(Y867=""),"",G867)</f>
        <v/>
      </c>
      <c r="H868" s="9" t="str">
        <f>IF(AND(G868=""),"",IF(AND(Y867=""),"",ROUND(G868*Master!C$4%,0)))</f>
        <v/>
      </c>
      <c r="I868" s="9" t="str">
        <f>IF(AND(G868=""),"",IF(AND(Y867=""),"",ROUND(G868*Master!H$4%,0)))</f>
        <v/>
      </c>
      <c r="J868" s="9" t="str">
        <f t="shared" si="1203"/>
        <v/>
      </c>
      <c r="K868" s="9" t="str">
        <f>IF(AND(C868=""),"",IF(AND(G868=""),"",C868-G868))</f>
        <v/>
      </c>
      <c r="L868" s="9" t="str">
        <f t="shared" ref="L868:L869" si="1207">IF(AND(D868=""),"",IF(AND(H868=""),"",D868-H868))</f>
        <v/>
      </c>
      <c r="M868" s="9" t="str">
        <f t="shared" si="1205"/>
        <v/>
      </c>
      <c r="N868" s="9" t="str">
        <f t="shared" si="1206"/>
        <v/>
      </c>
      <c r="O868" s="9" t="str">
        <f t="shared" ref="O868:O869" si="1208">IF(AND(C868=""),"",N868-P868)</f>
        <v/>
      </c>
      <c r="P868" s="9" t="str">
        <f>IF(AND(Y867=""),"",IF(AND(N868=""),"",ROUND(N868*X$17%,0)))</f>
        <v/>
      </c>
      <c r="Q868" s="9" t="str">
        <f>IF(AND(Y867=""),"",IF(AND(C868=""),"",IF(AND(O868=""),"",SUM(O868,P868))))</f>
        <v/>
      </c>
      <c r="R868" s="9" t="str">
        <f t="shared" ref="R868:R869" si="1209">IF(AND(N868=""),"",IF(AND(Q868=""),"",N868-Q868))</f>
        <v/>
      </c>
      <c r="S868" s="20"/>
      <c r="X868" s="4" t="str">
        <f>IF(ISNA(VLOOKUP(Y867,Master!A$8:N$127,7,FALSE)),"",VLOOKUP(Y867,Master!A$8:AH$127,7,FALSE))</f>
        <v/>
      </c>
    </row>
    <row r="869" spans="1:25" ht="21" customHeight="1">
      <c r="A869" s="8">
        <v>3</v>
      </c>
      <c r="B869" s="23">
        <v>45170</v>
      </c>
      <c r="C869" s="9" t="str">
        <f>IF(AND(Y867=""),"",C868)</f>
        <v/>
      </c>
      <c r="D869" s="9" t="str">
        <f>IF(AND(C869=""),"",IF(AND(Y867=""),"",ROUND(C869*Master!C$5%,0)))</f>
        <v/>
      </c>
      <c r="E869" s="9" t="str">
        <f>IF(AND(C869=""),"",IF(AND(Y867=""),"",ROUND(C869*Master!H$5%,0)))</f>
        <v/>
      </c>
      <c r="F869" s="9" t="str">
        <f t="shared" si="1202"/>
        <v/>
      </c>
      <c r="G869" s="9" t="str">
        <f>IF(AND(Y867=""),"",G868)</f>
        <v/>
      </c>
      <c r="H869" s="9" t="str">
        <f>IF(AND(G869=""),"",IF(AND(Y867=""),"",ROUND(G869*Master!C$4%,0)))</f>
        <v/>
      </c>
      <c r="I869" s="9" t="str">
        <f>IF(AND(G869=""),"",IF(AND(Y867=""),"",ROUND(G869*Master!H$4%,0)))</f>
        <v/>
      </c>
      <c r="J869" s="9" t="str">
        <f t="shared" si="1203"/>
        <v/>
      </c>
      <c r="K869" s="9" t="str">
        <f t="shared" ref="K869" si="1210">IF(AND(C869=""),"",IF(AND(G869=""),"",C869-G869))</f>
        <v/>
      </c>
      <c r="L869" s="9" t="str">
        <f t="shared" si="1207"/>
        <v/>
      </c>
      <c r="M869" s="9" t="str">
        <f t="shared" si="1205"/>
        <v/>
      </c>
      <c r="N869" s="9" t="str">
        <f t="shared" si="1206"/>
        <v/>
      </c>
      <c r="O869" s="9" t="str">
        <f t="shared" si="1208"/>
        <v/>
      </c>
      <c r="P869" s="9" t="str">
        <f>IF(AND(Y867=""),"",IF(AND(N869=""),"",ROUND(N869*X$17%,0)))</f>
        <v/>
      </c>
      <c r="Q869" s="9" t="str">
        <f>IF(AND(Y867=""),"",IF(AND(C869=""),"",IF(AND(O869=""),"",SUM(O869,P869))))</f>
        <v/>
      </c>
      <c r="R869" s="9" t="str">
        <f t="shared" si="1209"/>
        <v/>
      </c>
      <c r="S869" s="20"/>
    </row>
    <row r="870" spans="1:25" ht="21" customHeight="1">
      <c r="A870" s="8">
        <v>4</v>
      </c>
      <c r="B870" s="23">
        <v>45200</v>
      </c>
      <c r="C870" s="9" t="str">
        <f>IF(AND(Y868=""),"",C869)</f>
        <v/>
      </c>
      <c r="D870" s="9" t="str">
        <f>IF(AND(C870=""),"",IF(AND(Y868=""),"",ROUND(C870*Master!C$5%,0)))</f>
        <v/>
      </c>
      <c r="E870" s="9" t="str">
        <f>IF(AND(C870=""),"",IF(AND(Y868=""),"",ROUND(C870*Master!H$5%,0)))</f>
        <v/>
      </c>
      <c r="F870" s="9" t="str">
        <f t="shared" ref="F870" si="1211">IF(AND(C870=""),"",SUM(C870:E870))</f>
        <v/>
      </c>
      <c r="G870" s="9" t="str">
        <f>IF(AND(Y868=""),"",G869)</f>
        <v/>
      </c>
      <c r="H870" s="9" t="str">
        <f>IF(AND(G870=""),"",IF(AND(Y868=""),"",ROUND(G870*Master!C$4%,0)))</f>
        <v/>
      </c>
      <c r="I870" s="9" t="str">
        <f>IF(AND(G870=""),"",IF(AND(Y868=""),"",ROUND(G870*Master!H$4%,0)))</f>
        <v/>
      </c>
      <c r="J870" s="9" t="str">
        <f t="shared" ref="J870" si="1212">IF(AND(C870=""),"",SUM(G870:I870))</f>
        <v/>
      </c>
      <c r="K870" s="9" t="str">
        <f t="shared" ref="K870" si="1213">IF(AND(C870=""),"",IF(AND(G870=""),"",C870-G870))</f>
        <v/>
      </c>
      <c r="L870" s="9" t="str">
        <f t="shared" ref="L870" si="1214">IF(AND(D870=""),"",IF(AND(H870=""),"",D870-H870))</f>
        <v/>
      </c>
      <c r="M870" s="9" t="str">
        <f t="shared" ref="M870" si="1215">IF(AND(E870=""),"",IF(AND(I870=""),"",E870-I870))</f>
        <v/>
      </c>
      <c r="N870" s="9" t="str">
        <f t="shared" ref="N870" si="1216">IF(AND(F870=""),"",IF(AND(J870=""),"",F870-J870))</f>
        <v/>
      </c>
      <c r="O870" s="9" t="str">
        <f t="shared" ref="O870" si="1217">IF(AND(C870=""),"",N870-P870)</f>
        <v/>
      </c>
      <c r="P870" s="9" t="str">
        <f>IF(AND(Y868=""),"",IF(AND(N870=""),"",ROUND(N870*X$17%,0)))</f>
        <v/>
      </c>
      <c r="Q870" s="9" t="str">
        <f>IF(AND(Y868=""),"",IF(AND(C870=""),"",IF(AND(O870=""),"",SUM(O870,P870))))</f>
        <v/>
      </c>
      <c r="R870" s="9" t="str">
        <f t="shared" ref="R870" si="1218">IF(AND(N870=""),"",IF(AND(Q870=""),"",N870-Q870))</f>
        <v/>
      </c>
      <c r="S870" s="20"/>
    </row>
    <row r="871" spans="1:25" ht="30.75" customHeight="1">
      <c r="A871" s="153" t="s">
        <v>9</v>
      </c>
      <c r="B871" s="154"/>
      <c r="C871" s="63">
        <f>IF(AND($Y$867=""),"",SUM(C867:C870))</f>
        <v>0</v>
      </c>
      <c r="D871" s="63">
        <f t="shared" ref="D871:R871" si="1219">IF(AND($Y$867=""),"",SUM(D867:D870))</f>
        <v>0</v>
      </c>
      <c r="E871" s="63">
        <f t="shared" si="1219"/>
        <v>0</v>
      </c>
      <c r="F871" s="63">
        <f t="shared" si="1219"/>
        <v>0</v>
      </c>
      <c r="G871" s="63">
        <f t="shared" si="1219"/>
        <v>0</v>
      </c>
      <c r="H871" s="63">
        <f t="shared" si="1219"/>
        <v>0</v>
      </c>
      <c r="I871" s="63">
        <f t="shared" si="1219"/>
        <v>0</v>
      </c>
      <c r="J871" s="63">
        <f t="shared" si="1219"/>
        <v>0</v>
      </c>
      <c r="K871" s="63">
        <f t="shared" si="1219"/>
        <v>0</v>
      </c>
      <c r="L871" s="63">
        <f t="shared" si="1219"/>
        <v>0</v>
      </c>
      <c r="M871" s="63">
        <f t="shared" si="1219"/>
        <v>0</v>
      </c>
      <c r="N871" s="63">
        <f t="shared" si="1219"/>
        <v>0</v>
      </c>
      <c r="O871" s="63">
        <f t="shared" si="1219"/>
        <v>0</v>
      </c>
      <c r="P871" s="63">
        <f t="shared" si="1219"/>
        <v>0</v>
      </c>
      <c r="Q871" s="63">
        <f t="shared" si="1219"/>
        <v>0</v>
      </c>
      <c r="R871" s="63">
        <f t="shared" si="1219"/>
        <v>0</v>
      </c>
      <c r="S871" s="49"/>
    </row>
    <row r="872" spans="1:25" ht="11.25" customHeight="1">
      <c r="A872" s="73"/>
      <c r="B872" s="73"/>
      <c r="C872" s="74"/>
      <c r="D872" s="74"/>
      <c r="E872" s="74"/>
      <c r="F872" s="74"/>
      <c r="G872" s="74"/>
      <c r="H872" s="74"/>
      <c r="I872" s="74"/>
      <c r="J872" s="74"/>
      <c r="K872" s="74"/>
      <c r="L872" s="74"/>
      <c r="M872" s="74"/>
      <c r="N872" s="74"/>
      <c r="O872" s="74"/>
      <c r="P872" s="74"/>
      <c r="Q872" s="74"/>
      <c r="R872" s="74"/>
      <c r="S872" s="75"/>
    </row>
    <row r="873" spans="1:25" ht="23.25" customHeight="1">
      <c r="E873" s="133" t="s">
        <v>10</v>
      </c>
      <c r="F873" s="133"/>
      <c r="G873" s="133"/>
      <c r="H873" s="133"/>
      <c r="I873" s="133"/>
      <c r="J873" s="132" t="str">
        <f>IF(ISNA(VLOOKUP(Y875,Master!A$8:N$127,2,FALSE)),"",VLOOKUP(Y875,Master!A$8:AH$127,2,FALSE))</f>
        <v/>
      </c>
      <c r="K873" s="132"/>
      <c r="L873" s="132"/>
      <c r="M873" s="132"/>
      <c r="N873" s="132"/>
      <c r="O873" s="60" t="s">
        <v>31</v>
      </c>
      <c r="P873" s="132" t="str">
        <f>IF(ISNA(VLOOKUP($Y$431,Master!A$8:N$127,3,FALSE)),"",VLOOKUP($Y$431,Master!A$8:AH$127,3,FALSE))</f>
        <v/>
      </c>
      <c r="Q873" s="132"/>
      <c r="R873" s="132"/>
      <c r="S873" s="132"/>
    </row>
    <row r="874" spans="1:25" ht="9" customHeight="1">
      <c r="E874" s="19"/>
      <c r="F874" s="52"/>
      <c r="G874" s="22"/>
      <c r="H874" s="22"/>
      <c r="I874" s="22"/>
      <c r="J874" s="5"/>
      <c r="K874" s="5"/>
      <c r="L874" s="5"/>
      <c r="M874" s="5"/>
      <c r="N874" s="5"/>
      <c r="O874" s="6"/>
      <c r="P874" s="6"/>
    </row>
    <row r="875" spans="1:25" ht="21" customHeight="1">
      <c r="A875" s="8">
        <v>1</v>
      </c>
      <c r="B875" s="23">
        <v>45108</v>
      </c>
      <c r="C875" s="9" t="str">
        <f>IF(ISNA(VLOOKUP(Y875,Master!A$8:N$127,5,FALSE)),"",VLOOKUP(Y875,Master!A$8:AH$127,5,FALSE))</f>
        <v/>
      </c>
      <c r="D875" s="9" t="str">
        <f>IF(AND(C875=""),"",IF(AND(Y875=""),"",ROUND(C875*Master!C$5%,0)))</f>
        <v/>
      </c>
      <c r="E875" s="9" t="str">
        <f>IF(AND(C875=""),"",IF(AND(Y875=""),"",ROUND(C875*Master!H$5%,0)))</f>
        <v/>
      </c>
      <c r="F875" s="9" t="str">
        <f t="shared" ref="F875:F877" si="1220">IF(AND(C875=""),"",SUM(C875:E875))</f>
        <v/>
      </c>
      <c r="G875" s="9" t="str">
        <f>IF(ISNA(VLOOKUP(Y875,Master!A$8:N$127,5,FALSE)),"",VLOOKUP(Y875,Master!A$8:AH$127,5,FALSE))</f>
        <v/>
      </c>
      <c r="H875" s="9" t="str">
        <f>IF(AND(G875=""),"",IF(AND(Y875=""),"",ROUND(G875*Master!C$4%,0)))</f>
        <v/>
      </c>
      <c r="I875" s="9" t="str">
        <f>IF(AND(G875=""),"",IF(AND(Y875=""),"",ROUND(G875*Master!H$4%,0)))</f>
        <v/>
      </c>
      <c r="J875" s="9" t="str">
        <f t="shared" ref="J875:J877" si="1221">IF(AND(C875=""),"",SUM(G875:I875))</f>
        <v/>
      </c>
      <c r="K875" s="9" t="str">
        <f t="shared" ref="K875:K877" si="1222">IF(AND(C875=""),"",IF(AND(G875=""),"",C875-G875))</f>
        <v/>
      </c>
      <c r="L875" s="9" t="str">
        <f t="shared" ref="L875:L877" si="1223">IF(AND(D875=""),"",IF(AND(H875=""),"",D875-H875))</f>
        <v/>
      </c>
      <c r="M875" s="9" t="str">
        <f t="shared" ref="M875:M877" si="1224">IF(AND(E875=""),"",IF(AND(I875=""),"",E875-I875))</f>
        <v/>
      </c>
      <c r="N875" s="9" t="str">
        <f t="shared" ref="N875:N877" si="1225">IF(AND(F875=""),"",IF(AND(J875=""),"",F875-J875))</f>
        <v/>
      </c>
      <c r="O875" s="9" t="str">
        <f>IF(AND(C875=""),"",N875-P875)</f>
        <v/>
      </c>
      <c r="P875" s="9" t="str">
        <f>IF(AND(Y875=""),"",IF(AND(N875=""),"",ROUND(N875*AA$1%,0)))</f>
        <v/>
      </c>
      <c r="Q875" s="9" t="str">
        <f>IF(AND(Y875=""),"",IF(AND(C875=""),"",IF(AND(O875=""),"",SUM(O875,P875))))</f>
        <v/>
      </c>
      <c r="R875" s="9" t="str">
        <f>IF(AND(N875=""),"",IF(AND(Q875=""),"",N875-Q875))</f>
        <v/>
      </c>
      <c r="S875" s="20"/>
      <c r="X875" s="61" t="s">
        <v>49</v>
      </c>
      <c r="Y875" s="64">
        <v>72</v>
      </c>
    </row>
    <row r="876" spans="1:25" ht="21.75" customHeight="1">
      <c r="A876" s="8">
        <v>2</v>
      </c>
      <c r="B876" s="23">
        <v>45139</v>
      </c>
      <c r="C876" s="9" t="str">
        <f>IF(AND(Y875=""),"",C875)</f>
        <v/>
      </c>
      <c r="D876" s="9" t="str">
        <f>IF(AND(C876=""),"",IF(AND(Y875=""),"",ROUND(C876*Master!C$5%,0)))</f>
        <v/>
      </c>
      <c r="E876" s="9" t="str">
        <f>IF(AND(C876=""),"",IF(AND(Y875=""),"",ROUND(C876*Master!H$5%,0)))</f>
        <v/>
      </c>
      <c r="F876" s="9" t="str">
        <f t="shared" si="1220"/>
        <v/>
      </c>
      <c r="G876" s="9" t="str">
        <f>IF(AND(Y875=""),"",G875)</f>
        <v/>
      </c>
      <c r="H876" s="9" t="str">
        <f>IF(AND(G876=""),"",IF(AND(Y875=""),"",ROUND(G876*Master!C$4%,0)))</f>
        <v/>
      </c>
      <c r="I876" s="9" t="str">
        <f>IF(AND(G876=""),"",IF(AND(Y875=""),"",ROUND(G876*Master!H$4%,0)))</f>
        <v/>
      </c>
      <c r="J876" s="9" t="str">
        <f t="shared" si="1221"/>
        <v/>
      </c>
      <c r="K876" s="9" t="str">
        <f t="shared" si="1222"/>
        <v/>
      </c>
      <c r="L876" s="9" t="str">
        <f t="shared" si="1223"/>
        <v/>
      </c>
      <c r="M876" s="9" t="str">
        <f t="shared" si="1224"/>
        <v/>
      </c>
      <c r="N876" s="9" t="str">
        <f t="shared" si="1225"/>
        <v/>
      </c>
      <c r="O876" s="9" t="str">
        <f t="shared" ref="O876:O877" si="1226">IF(AND(C876=""),"",N876-P876)</f>
        <v/>
      </c>
      <c r="P876" s="9" t="str">
        <f>IF(AND(Y875=""),"",IF(AND(N876=""),"",ROUND(N876*AA$1%,0)))</f>
        <v/>
      </c>
      <c r="Q876" s="9" t="str">
        <f>IF(AND(Y875=""),"",IF(AND(C876=""),"",IF(AND(O876=""),"",SUM(O876,P876))))</f>
        <v/>
      </c>
      <c r="R876" s="9" t="str">
        <f t="shared" ref="R876:R877" si="1227">IF(AND(N876=""),"",IF(AND(Q876=""),"",N876-Q876))</f>
        <v/>
      </c>
      <c r="S876" s="20"/>
      <c r="X876" s="4" t="str">
        <f>IF(ISNA(VLOOKUP(Y875,Master!A$8:N$127,7,FALSE)),"",VLOOKUP(Y875,Master!A$8:AH$127,7,FALSE))</f>
        <v/>
      </c>
    </row>
    <row r="877" spans="1:25" ht="21" customHeight="1">
      <c r="A877" s="8">
        <v>3</v>
      </c>
      <c r="B877" s="23">
        <v>45170</v>
      </c>
      <c r="C877" s="9" t="str">
        <f>IF(AND(Y875=""),"",C876)</f>
        <v/>
      </c>
      <c r="D877" s="9" t="str">
        <f>IF(AND(C877=""),"",IF(AND(Y875=""),"",ROUND(C877*Master!C$5%,0)))</f>
        <v/>
      </c>
      <c r="E877" s="9" t="str">
        <f>IF(AND(C877=""),"",IF(AND(Y875=""),"",ROUND(C877*Master!H$5%,0)))</f>
        <v/>
      </c>
      <c r="F877" s="9" t="str">
        <f t="shared" si="1220"/>
        <v/>
      </c>
      <c r="G877" s="9" t="str">
        <f>IF(AND(Y875=""),"",G876)</f>
        <v/>
      </c>
      <c r="H877" s="9" t="str">
        <f>IF(AND(G877=""),"",IF(AND(Y875=""),"",ROUND(G877*Master!C$4%,0)))</f>
        <v/>
      </c>
      <c r="I877" s="9" t="str">
        <f>IF(AND(G877=""),"",IF(AND(Y875=""),"",ROUND(G877*Master!H$4%,0)))</f>
        <v/>
      </c>
      <c r="J877" s="9" t="str">
        <f t="shared" si="1221"/>
        <v/>
      </c>
      <c r="K877" s="9" t="str">
        <f t="shared" si="1222"/>
        <v/>
      </c>
      <c r="L877" s="9" t="str">
        <f t="shared" si="1223"/>
        <v/>
      </c>
      <c r="M877" s="9" t="str">
        <f t="shared" si="1224"/>
        <v/>
      </c>
      <c r="N877" s="9" t="str">
        <f t="shared" si="1225"/>
        <v/>
      </c>
      <c r="O877" s="9" t="str">
        <f t="shared" si="1226"/>
        <v/>
      </c>
      <c r="P877" s="9" t="str">
        <f>IF(AND(Y875=""),"",IF(AND(N877=""),"",ROUND(N877*AA$1%,0)))</f>
        <v/>
      </c>
      <c r="Q877" s="9" t="str">
        <f>IF(AND(Y875=""),"",IF(AND(C877=""),"",IF(AND(O877=""),"",SUM(O877,P877))))</f>
        <v/>
      </c>
      <c r="R877" s="9" t="str">
        <f t="shared" si="1227"/>
        <v/>
      </c>
      <c r="S877" s="20"/>
    </row>
    <row r="878" spans="1:25" ht="21" customHeight="1">
      <c r="A878" s="8">
        <v>4</v>
      </c>
      <c r="B878" s="23">
        <v>45200</v>
      </c>
      <c r="C878" s="9" t="str">
        <f>IF(AND(Y876=""),"",C877)</f>
        <v/>
      </c>
      <c r="D878" s="9" t="str">
        <f>IF(AND(C878=""),"",IF(AND(Y876=""),"",ROUND(C878*Master!C$5%,0)))</f>
        <v/>
      </c>
      <c r="E878" s="9" t="str">
        <f>IF(AND(C878=""),"",IF(AND(Y876=""),"",ROUND(C878*Master!H$5%,0)))</f>
        <v/>
      </c>
      <c r="F878" s="9" t="str">
        <f t="shared" ref="F878" si="1228">IF(AND(C878=""),"",SUM(C878:E878))</f>
        <v/>
      </c>
      <c r="G878" s="9" t="str">
        <f>IF(AND(Y876=""),"",G877)</f>
        <v/>
      </c>
      <c r="H878" s="9" t="str">
        <f>IF(AND(G878=""),"",IF(AND(Y876=""),"",ROUND(G878*Master!C$4%,0)))</f>
        <v/>
      </c>
      <c r="I878" s="9" t="str">
        <f>IF(AND(G878=""),"",IF(AND(Y876=""),"",ROUND(G878*Master!H$4%,0)))</f>
        <v/>
      </c>
      <c r="J878" s="9" t="str">
        <f t="shared" ref="J878" si="1229">IF(AND(C878=""),"",SUM(G878:I878))</f>
        <v/>
      </c>
      <c r="K878" s="9" t="str">
        <f t="shared" ref="K878" si="1230">IF(AND(C878=""),"",IF(AND(G878=""),"",C878-G878))</f>
        <v/>
      </c>
      <c r="L878" s="9" t="str">
        <f t="shared" ref="L878" si="1231">IF(AND(D878=""),"",IF(AND(H878=""),"",D878-H878))</f>
        <v/>
      </c>
      <c r="M878" s="9" t="str">
        <f t="shared" ref="M878" si="1232">IF(AND(E878=""),"",IF(AND(I878=""),"",E878-I878))</f>
        <v/>
      </c>
      <c r="N878" s="9" t="str">
        <f t="shared" ref="N878" si="1233">IF(AND(F878=""),"",IF(AND(J878=""),"",F878-J878))</f>
        <v/>
      </c>
      <c r="O878" s="9" t="str">
        <f t="shared" ref="O878" si="1234">IF(AND(C878=""),"",N878-P878)</f>
        <v/>
      </c>
      <c r="P878" s="9" t="str">
        <f>IF(AND(Y876=""),"",IF(AND(N878=""),"",ROUND(N878*AA$1%,0)))</f>
        <v/>
      </c>
      <c r="Q878" s="9" t="str">
        <f>IF(AND(Y876=""),"",IF(AND(C878=""),"",IF(AND(O878=""),"",SUM(O878,P878))))</f>
        <v/>
      </c>
      <c r="R878" s="9" t="str">
        <f t="shared" ref="R878" si="1235">IF(AND(N878=""),"",IF(AND(Q878=""),"",N878-Q878))</f>
        <v/>
      </c>
      <c r="S878" s="20"/>
    </row>
    <row r="879" spans="1:25" ht="30.75" customHeight="1">
      <c r="A879" s="153" t="s">
        <v>9</v>
      </c>
      <c r="B879" s="154"/>
      <c r="C879" s="63">
        <f>IF(AND($Y$875=""),"",SUM(C875:C878))</f>
        <v>0</v>
      </c>
      <c r="D879" s="63">
        <f t="shared" ref="D879:R879" si="1236">IF(AND($Y$875=""),"",SUM(D875:D878))</f>
        <v>0</v>
      </c>
      <c r="E879" s="63">
        <f t="shared" si="1236"/>
        <v>0</v>
      </c>
      <c r="F879" s="63">
        <f t="shared" si="1236"/>
        <v>0</v>
      </c>
      <c r="G879" s="63">
        <f t="shared" si="1236"/>
        <v>0</v>
      </c>
      <c r="H879" s="63">
        <f t="shared" si="1236"/>
        <v>0</v>
      </c>
      <c r="I879" s="63">
        <f t="shared" si="1236"/>
        <v>0</v>
      </c>
      <c r="J879" s="63">
        <f t="shared" si="1236"/>
        <v>0</v>
      </c>
      <c r="K879" s="63">
        <f t="shared" si="1236"/>
        <v>0</v>
      </c>
      <c r="L879" s="63">
        <f t="shared" si="1236"/>
        <v>0</v>
      </c>
      <c r="M879" s="63">
        <f t="shared" si="1236"/>
        <v>0</v>
      </c>
      <c r="N879" s="63">
        <f t="shared" si="1236"/>
        <v>0</v>
      </c>
      <c r="O879" s="63">
        <f t="shared" si="1236"/>
        <v>0</v>
      </c>
      <c r="P879" s="63">
        <f t="shared" si="1236"/>
        <v>0</v>
      </c>
      <c r="Q879" s="63">
        <f t="shared" si="1236"/>
        <v>0</v>
      </c>
      <c r="R879" s="63">
        <f t="shared" si="1236"/>
        <v>0</v>
      </c>
      <c r="S879" s="49"/>
    </row>
    <row r="880" spans="1:25" ht="30.75" customHeight="1">
      <c r="A880" s="73"/>
      <c r="B880" s="73"/>
      <c r="C880" s="74"/>
      <c r="D880" s="74"/>
      <c r="E880" s="74"/>
      <c r="F880" s="74"/>
      <c r="G880" s="74"/>
      <c r="H880" s="74"/>
      <c r="I880" s="74"/>
      <c r="J880" s="74"/>
      <c r="K880" s="74"/>
      <c r="L880" s="74"/>
      <c r="M880" s="74"/>
      <c r="N880" s="74"/>
      <c r="O880" s="74"/>
      <c r="P880" s="74"/>
      <c r="Q880" s="74"/>
      <c r="R880" s="74"/>
      <c r="S880" s="75"/>
    </row>
    <row r="881" spans="1:27" ht="18.75">
      <c r="A881" s="21"/>
      <c r="B881" s="58"/>
      <c r="C881" s="58"/>
      <c r="D881" s="58"/>
      <c r="E881" s="58"/>
      <c r="F881" s="58"/>
      <c r="G881" s="58"/>
      <c r="H881" s="59"/>
      <c r="I881" s="59"/>
      <c r="J881" s="59"/>
      <c r="K881" s="66"/>
      <c r="L881" s="66"/>
      <c r="M881" s="66"/>
      <c r="N881" s="66"/>
      <c r="O881" s="138" t="s">
        <v>42</v>
      </c>
      <c r="P881" s="138"/>
      <c r="Q881" s="138"/>
      <c r="R881" s="138"/>
      <c r="S881" s="138"/>
    </row>
    <row r="882" spans="1:27" ht="18.75">
      <c r="A882" s="1"/>
      <c r="B882" s="24" t="s">
        <v>19</v>
      </c>
      <c r="C882" s="139"/>
      <c r="D882" s="139"/>
      <c r="E882" s="139"/>
      <c r="F882" s="139"/>
      <c r="G882" s="139"/>
      <c r="H882" s="25"/>
      <c r="I882" s="143" t="s">
        <v>20</v>
      </c>
      <c r="J882" s="143"/>
      <c r="K882" s="141"/>
      <c r="L882" s="141"/>
      <c r="M882" s="141"/>
      <c r="O882" s="138"/>
      <c r="P882" s="138"/>
      <c r="Q882" s="138"/>
      <c r="R882" s="138"/>
      <c r="S882" s="138"/>
    </row>
    <row r="883" spans="1:27" ht="18.75">
      <c r="A883" s="1"/>
      <c r="B883" s="140" t="s">
        <v>21</v>
      </c>
      <c r="C883" s="140"/>
      <c r="D883" s="140"/>
      <c r="E883" s="140"/>
      <c r="F883" s="140"/>
      <c r="G883" s="140"/>
      <c r="H883" s="140"/>
      <c r="I883" s="27"/>
      <c r="J883" s="26"/>
      <c r="K883" s="26"/>
      <c r="L883" s="26"/>
      <c r="M883" s="26"/>
    </row>
    <row r="884" spans="1:27" ht="18.75">
      <c r="A884" s="22">
        <v>1</v>
      </c>
      <c r="B884" s="142" t="s">
        <v>22</v>
      </c>
      <c r="C884" s="142"/>
      <c r="D884" s="142"/>
      <c r="E884" s="142"/>
      <c r="F884" s="142"/>
      <c r="G884" s="142"/>
      <c r="H884" s="142"/>
      <c r="I884" s="28"/>
      <c r="J884" s="26"/>
      <c r="K884" s="26"/>
      <c r="L884" s="26"/>
      <c r="M884" s="26"/>
    </row>
    <row r="885" spans="1:27" ht="18.75">
      <c r="A885" s="2">
        <v>2</v>
      </c>
      <c r="B885" s="142" t="s">
        <v>23</v>
      </c>
      <c r="C885" s="142"/>
      <c r="D885" s="142"/>
      <c r="E885" s="142"/>
      <c r="F885" s="142"/>
      <c r="G885" s="132"/>
      <c r="H885" s="132"/>
      <c r="I885" s="132"/>
      <c r="J885" s="132"/>
      <c r="K885" s="132"/>
      <c r="L885" s="132"/>
      <c r="M885" s="132"/>
    </row>
    <row r="886" spans="1:27" ht="18.75">
      <c r="A886" s="3">
        <v>3</v>
      </c>
      <c r="B886" s="142" t="s">
        <v>24</v>
      </c>
      <c r="C886" s="142"/>
      <c r="D886" s="142"/>
      <c r="E886" s="29"/>
      <c r="F886" s="28"/>
      <c r="G886" s="28"/>
      <c r="H886" s="30"/>
      <c r="I886" s="31"/>
      <c r="J886" s="26"/>
      <c r="K886" s="26"/>
      <c r="L886" s="26"/>
      <c r="M886" s="26"/>
    </row>
    <row r="887" spans="1:27" ht="15.75">
      <c r="O887" s="138" t="s">
        <v>42</v>
      </c>
      <c r="P887" s="138"/>
      <c r="Q887" s="138"/>
      <c r="R887" s="138"/>
      <c r="S887" s="138"/>
    </row>
    <row r="889" spans="1:27" ht="18" customHeight="1">
      <c r="A889" s="148" t="str">
        <f>A852</f>
        <v xml:space="preserve">DA (46% to 50%) Drawn Statement  </v>
      </c>
      <c r="B889" s="148"/>
      <c r="C889" s="148"/>
      <c r="D889" s="148"/>
      <c r="E889" s="148"/>
      <c r="F889" s="148"/>
      <c r="G889" s="148"/>
      <c r="H889" s="148"/>
      <c r="I889" s="148"/>
      <c r="J889" s="148"/>
      <c r="K889" s="148"/>
      <c r="L889" s="148"/>
      <c r="M889" s="148"/>
      <c r="N889" s="148"/>
      <c r="O889" s="148"/>
      <c r="P889" s="148"/>
      <c r="Q889" s="148"/>
      <c r="R889" s="148"/>
      <c r="S889" s="148"/>
      <c r="W889" s="4">
        <f>IF(ISNA(VLOOKUP($Y$3,Master!A$8:N$127,4,FALSE)),"",VLOOKUP($Y$3,Master!A$8:AH$127,4,FALSE))</f>
        <v>2</v>
      </c>
      <c r="X889" s="4" t="str">
        <f>IF(ISNA(VLOOKUP($Y$3,Master!A$8:N$127,6,FALSE)),"",VLOOKUP($Y$3,Master!A$8:AH$127,6,FALSE))</f>
        <v>GPF-2004</v>
      </c>
      <c r="Y889" s="4" t="s">
        <v>45</v>
      </c>
      <c r="Z889" s="4" t="s">
        <v>18</v>
      </c>
      <c r="AA889" s="4" t="str">
        <f>IF(ISNA(VLOOKUP(Y891,Master!A$8:N$127,7,FALSE)),"",VLOOKUP(Y891,Master!A$8:AH$127,7,FALSE))</f>
        <v/>
      </c>
    </row>
    <row r="890" spans="1:27" ht="18">
      <c r="A890" s="131" t="str">
        <f>IF(AND(Master!C819=""),"",CONCATENATE("Office Of  ",Master!C819))</f>
        <v/>
      </c>
      <c r="B890" s="131"/>
      <c r="C890" s="131"/>
      <c r="D890" s="131"/>
      <c r="E890" s="131"/>
      <c r="F890" s="131"/>
      <c r="G890" s="131"/>
      <c r="H890" s="131"/>
      <c r="I890" s="131"/>
      <c r="J890" s="131"/>
      <c r="K890" s="131"/>
      <c r="L890" s="131"/>
      <c r="M890" s="131"/>
      <c r="N890" s="131"/>
      <c r="O890" s="131"/>
      <c r="P890" s="131"/>
      <c r="Q890" s="131"/>
      <c r="R890" s="131"/>
      <c r="S890" s="131"/>
      <c r="X890" s="4">
        <f>IF(ISNA(VLOOKUP($Y$3,Master!A$8:N$127,8,FALSE)),"",VLOOKUP($Y$3,Master!A$8:AH$127,8,FALSE))</f>
        <v>45292</v>
      </c>
      <c r="Y890" s="4" t="s">
        <v>43</v>
      </c>
    </row>
    <row r="891" spans="1:27" ht="18.75">
      <c r="E891" s="133" t="s">
        <v>10</v>
      </c>
      <c r="F891" s="133"/>
      <c r="G891" s="133"/>
      <c r="H891" s="133"/>
      <c r="I891" s="133"/>
      <c r="J891" s="132" t="str">
        <f>IF(ISNA(VLOOKUP(Y891,Master!A$8:N$127,2,FALSE)),"",VLOOKUP(Y891,Master!A$8:AH$127,2,FALSE))</f>
        <v/>
      </c>
      <c r="K891" s="132"/>
      <c r="L891" s="132"/>
      <c r="M891" s="132"/>
      <c r="N891" s="132"/>
      <c r="O891" s="60" t="s">
        <v>31</v>
      </c>
      <c r="P891" s="132" t="str">
        <f>IF(ISNA(VLOOKUP(Y891,Master!A$8:N$127,3,FALSE)),"",VLOOKUP(Y891,Master!A$8:AH$127,3,FALSE))</f>
        <v/>
      </c>
      <c r="Q891" s="132"/>
      <c r="R891" s="132"/>
      <c r="S891" s="132"/>
      <c r="X891" s="61" t="s">
        <v>49</v>
      </c>
      <c r="Y891" s="64">
        <v>73</v>
      </c>
    </row>
    <row r="892" spans="1:27" ht="8.25" customHeight="1">
      <c r="E892" s="19"/>
      <c r="F892" s="52"/>
      <c r="G892" s="22"/>
      <c r="H892" s="22"/>
      <c r="I892" s="22"/>
      <c r="J892" s="5"/>
      <c r="K892" s="5"/>
      <c r="L892" s="5"/>
      <c r="M892" s="5"/>
      <c r="N892" s="5"/>
      <c r="O892" s="6"/>
      <c r="P892" s="6"/>
    </row>
    <row r="893" spans="1:27" ht="24.75" customHeight="1">
      <c r="A893" s="157" t="s">
        <v>0</v>
      </c>
      <c r="B893" s="158" t="s">
        <v>3</v>
      </c>
      <c r="C893" s="159" t="s">
        <v>5</v>
      </c>
      <c r="D893" s="159"/>
      <c r="E893" s="159"/>
      <c r="F893" s="159"/>
      <c r="G893" s="159" t="s">
        <v>6</v>
      </c>
      <c r="H893" s="159"/>
      <c r="I893" s="159"/>
      <c r="J893" s="159"/>
      <c r="K893" s="159" t="s">
        <v>7</v>
      </c>
      <c r="L893" s="159"/>
      <c r="M893" s="159"/>
      <c r="N893" s="159"/>
      <c r="O893" s="149" t="s">
        <v>8</v>
      </c>
      <c r="P893" s="150"/>
      <c r="Q893" s="151"/>
      <c r="R893" s="162" t="s">
        <v>54</v>
      </c>
      <c r="S893" s="162" t="s">
        <v>40</v>
      </c>
    </row>
    <row r="894" spans="1:27" ht="69" customHeight="1">
      <c r="A894" s="157"/>
      <c r="B894" s="158"/>
      <c r="C894" s="54" t="s">
        <v>29</v>
      </c>
      <c r="D894" s="55" t="s">
        <v>1</v>
      </c>
      <c r="E894" s="56" t="s">
        <v>2</v>
      </c>
      <c r="F894" s="54" t="s">
        <v>46</v>
      </c>
      <c r="G894" s="54" t="s">
        <v>29</v>
      </c>
      <c r="H894" s="55" t="s">
        <v>1</v>
      </c>
      <c r="I894" s="56" t="s">
        <v>2</v>
      </c>
      <c r="J894" s="54" t="s">
        <v>47</v>
      </c>
      <c r="K894" s="54" t="s">
        <v>4</v>
      </c>
      <c r="L894" s="55" t="s">
        <v>1</v>
      </c>
      <c r="M894" s="56" t="s">
        <v>2</v>
      </c>
      <c r="N894" s="57" t="s">
        <v>48</v>
      </c>
      <c r="O894" s="53" t="s">
        <v>69</v>
      </c>
      <c r="P894" s="65" t="s">
        <v>41</v>
      </c>
      <c r="Q894" s="57" t="s">
        <v>53</v>
      </c>
      <c r="R894" s="162"/>
      <c r="S894" s="162"/>
    </row>
    <row r="895" spans="1:27" ht="18" customHeight="1">
      <c r="A895" s="7">
        <v>1</v>
      </c>
      <c r="B895" s="7">
        <v>2</v>
      </c>
      <c r="C895" s="7">
        <v>3</v>
      </c>
      <c r="D895" s="7">
        <v>4</v>
      </c>
      <c r="E895" s="7">
        <v>5</v>
      </c>
      <c r="F895" s="7">
        <v>6</v>
      </c>
      <c r="G895" s="7">
        <v>7</v>
      </c>
      <c r="H895" s="7">
        <v>8</v>
      </c>
      <c r="I895" s="7">
        <v>9</v>
      </c>
      <c r="J895" s="7">
        <v>10</v>
      </c>
      <c r="K895" s="7">
        <v>11</v>
      </c>
      <c r="L895" s="7">
        <v>12</v>
      </c>
      <c r="M895" s="7">
        <v>13</v>
      </c>
      <c r="N895" s="7">
        <v>14</v>
      </c>
      <c r="O895" s="7">
        <v>15</v>
      </c>
      <c r="P895" s="7">
        <v>17</v>
      </c>
      <c r="Q895" s="7">
        <v>18</v>
      </c>
      <c r="R895" s="7">
        <v>19</v>
      </c>
      <c r="S895" s="7">
        <v>20</v>
      </c>
    </row>
    <row r="896" spans="1:27" ht="21" customHeight="1">
      <c r="A896" s="8">
        <v>1</v>
      </c>
      <c r="B896" s="23">
        <v>45108</v>
      </c>
      <c r="C896" s="9" t="str">
        <f>IF(ISNA(VLOOKUP(Y891,Master!A$8:N$127,5,FALSE)),"",VLOOKUP(Y891,Master!A$8:AH$127,5,FALSE))</f>
        <v/>
      </c>
      <c r="D896" s="9" t="str">
        <f>IF(AND(C896=""),"",IF(AND(Y891=""),"",ROUND(C896*Master!C$5%,0)))</f>
        <v/>
      </c>
      <c r="E896" s="9" t="str">
        <f>IF(AND(C896=""),"",IF(AND(Y891=""),"",ROUND(C896*Master!H$5%,0)))</f>
        <v/>
      </c>
      <c r="F896" s="9" t="str">
        <f t="shared" ref="F896" si="1237">IF(AND(C896=""),"",SUM(C896:E896))</f>
        <v/>
      </c>
      <c r="G896" s="9" t="str">
        <f>IF(ISNA(VLOOKUP(Y891,Master!A$8:N$127,5,FALSE)),"",VLOOKUP(Y891,Master!A$8:AH$127,5,FALSE))</f>
        <v/>
      </c>
      <c r="H896" s="9" t="str">
        <f>IF(AND(G896=""),"",IF(AND(Y891=""),"",ROUND(G896*Master!C$4%,0)))</f>
        <v/>
      </c>
      <c r="I896" s="9" t="str">
        <f>IF(AND(G896=""),"",IF(AND(Y891=""),"",ROUND(G896*Master!H$4%,0)))</f>
        <v/>
      </c>
      <c r="J896" s="9" t="str">
        <f t="shared" ref="J896:J897" si="1238">IF(AND(C896=""),"",SUM(G896:I896))</f>
        <v/>
      </c>
      <c r="K896" s="9" t="str">
        <f t="shared" ref="K896:K898" si="1239">IF(AND(C896=""),"",IF(AND(G896=""),"",C896-G896))</f>
        <v/>
      </c>
      <c r="L896" s="9" t="str">
        <f t="shared" ref="L896:L898" si="1240">IF(AND(D896=""),"",IF(AND(H896=""),"",D896-H896))</f>
        <v/>
      </c>
      <c r="M896" s="9" t="str">
        <f t="shared" ref="M896:M897" si="1241">IF(AND(E896=""),"",IF(AND(I896=""),"",E896-I896))</f>
        <v/>
      </c>
      <c r="N896" s="9" t="str">
        <f t="shared" ref="N896:N897" si="1242">IF(AND(F896=""),"",IF(AND(J896=""),"",F896-J896))</f>
        <v/>
      </c>
      <c r="O896" s="9" t="str">
        <f>IF(AND(C896=""),"",N896-P896)</f>
        <v/>
      </c>
      <c r="P896" s="9" t="str">
        <f>IF(AND(Y891=""),"",IF(AND(N896=""),"",ROUND(N896*AA$1%,0)))</f>
        <v/>
      </c>
      <c r="Q896" s="9" t="str">
        <f>IF(AND(Y891=""),"",IF(AND(C896=""),"",IF(AND(O896=""),"",SUM(O896,P896))))</f>
        <v/>
      </c>
      <c r="R896" s="9" t="str">
        <f>IF(AND(N896=""),"",IF(AND(Q896=""),"",N896-Q896))</f>
        <v/>
      </c>
      <c r="S896" s="20"/>
    </row>
    <row r="897" spans="1:25" ht="21" customHeight="1">
      <c r="A897" s="8">
        <v>2</v>
      </c>
      <c r="B897" s="23">
        <v>45139</v>
      </c>
      <c r="C897" s="9" t="str">
        <f>IF(AND(Y891=""),"",C896)</f>
        <v/>
      </c>
      <c r="D897" s="9" t="str">
        <f>IF(AND(C897=""),"",IF(AND(Y891=""),"",ROUND(C897*Master!C$5%,0)))</f>
        <v/>
      </c>
      <c r="E897" s="9" t="str">
        <f>IF(AND(C897=""),"",IF(AND(Y891=""),"",ROUND(C897*Master!H$5%,0)))</f>
        <v/>
      </c>
      <c r="F897" s="9" t="str">
        <f>IF(AND(C897=""),"",SUM(C897:E897))</f>
        <v/>
      </c>
      <c r="G897" s="9" t="str">
        <f>IF(AND(Y891=""),"",G896)</f>
        <v/>
      </c>
      <c r="H897" s="9" t="str">
        <f>IF(AND(G897=""),"",IF(AND(Y891=""),"",ROUND(G897*Master!C$4%,0)))</f>
        <v/>
      </c>
      <c r="I897" s="9" t="str">
        <f>IF(AND(G897=""),"",IF(AND(Y891=""),"",ROUND(G897*Master!H$4%,0)))</f>
        <v/>
      </c>
      <c r="J897" s="9" t="str">
        <f t="shared" si="1238"/>
        <v/>
      </c>
      <c r="K897" s="9" t="str">
        <f t="shared" si="1239"/>
        <v/>
      </c>
      <c r="L897" s="9" t="str">
        <f t="shared" si="1240"/>
        <v/>
      </c>
      <c r="M897" s="9" t="str">
        <f t="shared" si="1241"/>
        <v/>
      </c>
      <c r="N897" s="9" t="str">
        <f t="shared" si="1242"/>
        <v/>
      </c>
      <c r="O897" s="9" t="str">
        <f t="shared" ref="O897:O898" si="1243">IF(AND(C897=""),"",N897-P897)</f>
        <v/>
      </c>
      <c r="P897" s="9" t="str">
        <f>IF(AND(Y891=""),"",IF(AND(N897=""),"",ROUND(N897*AA$1%,0)))</f>
        <v/>
      </c>
      <c r="Q897" s="9" t="str">
        <f>IF(AND(Y891=""),"",IF(AND(C897=""),"",IF(AND(O897=""),"",SUM(O897,P897))))</f>
        <v/>
      </c>
      <c r="R897" s="9" t="str">
        <f t="shared" ref="R897:R898" si="1244">IF(AND(N897=""),"",IF(AND(Q897=""),"",N897-Q897))</f>
        <v/>
      </c>
      <c r="S897" s="20"/>
    </row>
    <row r="898" spans="1:25" ht="21" customHeight="1">
      <c r="A898" s="8">
        <v>3</v>
      </c>
      <c r="B898" s="23">
        <v>45170</v>
      </c>
      <c r="C898" s="9" t="str">
        <f>IF(AND(Y891=""),"",C897)</f>
        <v/>
      </c>
      <c r="D898" s="9" t="str">
        <f>IF(AND(C898=""),"",IF(AND(Y891=""),"",ROUND(C898*Master!C$5%,0)))</f>
        <v/>
      </c>
      <c r="E898" s="9" t="str">
        <f>IF(AND(C898=""),"",IF(AND(Y891=""),"",ROUND(C898*Master!H$5%,0)))</f>
        <v/>
      </c>
      <c r="F898" s="9" t="str">
        <f t="shared" ref="F898" si="1245">IF(AND(C898=""),"",SUM(C898:E898))</f>
        <v/>
      </c>
      <c r="G898" s="9" t="str">
        <f>IF(AND(Y891=""),"",G897)</f>
        <v/>
      </c>
      <c r="H898" s="9" t="str">
        <f>IF(AND(G898=""),"",IF(AND(Y891=""),"",ROUND(G898*Master!C$4%,0)))</f>
        <v/>
      </c>
      <c r="I898" s="9" t="str">
        <f>IF(AND(G898=""),"",IF(AND(Y891=""),"",ROUND(G898*Master!H$4%,0)))</f>
        <v/>
      </c>
      <c r="J898" s="9" t="str">
        <f>IF(AND(C898=""),"",SUM(G898:I898))</f>
        <v/>
      </c>
      <c r="K898" s="9" t="str">
        <f t="shared" si="1239"/>
        <v/>
      </c>
      <c r="L898" s="9" t="str">
        <f t="shared" si="1240"/>
        <v/>
      </c>
      <c r="M898" s="9" t="str">
        <f>IF(AND(E898=""),"",IF(AND(I898=""),"",E898-I898))</f>
        <v/>
      </c>
      <c r="N898" s="9" t="str">
        <f>IF(AND(F898=""),"",IF(AND(J898=""),"",F898-J898))</f>
        <v/>
      </c>
      <c r="O898" s="9" t="str">
        <f t="shared" si="1243"/>
        <v/>
      </c>
      <c r="P898" s="9" t="str">
        <f>IF(AND(Y891=""),"",IF(AND(N898=""),"",ROUND(N898*AA$1%,0)))</f>
        <v/>
      </c>
      <c r="Q898" s="9" t="str">
        <f>IF(AND(Y891=""),"",IF(AND(C898=""),"",IF(AND(O898=""),"",SUM(O898,P898))))</f>
        <v/>
      </c>
      <c r="R898" s="9" t="str">
        <f t="shared" si="1244"/>
        <v/>
      </c>
      <c r="S898" s="20"/>
    </row>
    <row r="899" spans="1:25" ht="21" customHeight="1">
      <c r="A899" s="8">
        <v>4</v>
      </c>
      <c r="B899" s="23">
        <v>45200</v>
      </c>
      <c r="C899" s="9" t="str">
        <f>IF(AND(Y892=""),"",C898)</f>
        <v/>
      </c>
      <c r="D899" s="9" t="str">
        <f>IF(AND(C899=""),"",IF(AND(Y892=""),"",ROUND(C899*Master!C$5%,0)))</f>
        <v/>
      </c>
      <c r="E899" s="9" t="str">
        <f>IF(AND(C899=""),"",IF(AND(Y892=""),"",ROUND(C899*Master!H$5%,0)))</f>
        <v/>
      </c>
      <c r="F899" s="9" t="str">
        <f t="shared" ref="F899" si="1246">IF(AND(C899=""),"",SUM(C899:E899))</f>
        <v/>
      </c>
      <c r="G899" s="9" t="str">
        <f>IF(AND(Y892=""),"",G898)</f>
        <v/>
      </c>
      <c r="H899" s="9" t="str">
        <f>IF(AND(G899=""),"",IF(AND(Y892=""),"",ROUND(G899*Master!C$4%,0)))</f>
        <v/>
      </c>
      <c r="I899" s="9" t="str">
        <f>IF(AND(G899=""),"",IF(AND(Y892=""),"",ROUND(G899*Master!H$4%,0)))</f>
        <v/>
      </c>
      <c r="J899" s="9" t="str">
        <f>IF(AND(C899=""),"",SUM(G899:I899))</f>
        <v/>
      </c>
      <c r="K899" s="9" t="str">
        <f t="shared" ref="K899" si="1247">IF(AND(C899=""),"",IF(AND(G899=""),"",C899-G899))</f>
        <v/>
      </c>
      <c r="L899" s="9" t="str">
        <f t="shared" ref="L899" si="1248">IF(AND(D899=""),"",IF(AND(H899=""),"",D899-H899))</f>
        <v/>
      </c>
      <c r="M899" s="9" t="str">
        <f>IF(AND(E899=""),"",IF(AND(I899=""),"",E899-I899))</f>
        <v/>
      </c>
      <c r="N899" s="9" t="str">
        <f>IF(AND(F899=""),"",IF(AND(J899=""),"",F899-J899))</f>
        <v/>
      </c>
      <c r="O899" s="9" t="str">
        <f t="shared" ref="O899" si="1249">IF(AND(C899=""),"",N899-P899)</f>
        <v/>
      </c>
      <c r="P899" s="9" t="str">
        <f>IF(AND(Y892=""),"",IF(AND(N899=""),"",ROUND(N899*AA$1%,0)))</f>
        <v/>
      </c>
      <c r="Q899" s="9" t="str">
        <f>IF(AND(Y892=""),"",IF(AND(C899=""),"",IF(AND(O899=""),"",SUM(O899,P899))))</f>
        <v/>
      </c>
      <c r="R899" s="9" t="str">
        <f t="shared" ref="R899" si="1250">IF(AND(N899=""),"",IF(AND(Q899=""),"",N899-Q899))</f>
        <v/>
      </c>
      <c r="S899" s="20"/>
    </row>
    <row r="900" spans="1:25" ht="23.25" customHeight="1">
      <c r="A900" s="153" t="s">
        <v>9</v>
      </c>
      <c r="B900" s="154"/>
      <c r="C900" s="63">
        <f>IF(AND($Y$891=""),"",SUM(C896:C899))</f>
        <v>0</v>
      </c>
      <c r="D900" s="63">
        <f t="shared" ref="D900:R900" si="1251">IF(AND($Y$891=""),"",SUM(D896:D899))</f>
        <v>0</v>
      </c>
      <c r="E900" s="63">
        <f t="shared" si="1251"/>
        <v>0</v>
      </c>
      <c r="F900" s="63">
        <f t="shared" si="1251"/>
        <v>0</v>
      </c>
      <c r="G900" s="63">
        <f t="shared" si="1251"/>
        <v>0</v>
      </c>
      <c r="H900" s="63">
        <f t="shared" si="1251"/>
        <v>0</v>
      </c>
      <c r="I900" s="63">
        <f t="shared" si="1251"/>
        <v>0</v>
      </c>
      <c r="J900" s="63">
        <f t="shared" si="1251"/>
        <v>0</v>
      </c>
      <c r="K900" s="63">
        <f t="shared" si="1251"/>
        <v>0</v>
      </c>
      <c r="L900" s="63">
        <f t="shared" si="1251"/>
        <v>0</v>
      </c>
      <c r="M900" s="63">
        <f t="shared" si="1251"/>
        <v>0</v>
      </c>
      <c r="N900" s="63">
        <f t="shared" si="1251"/>
        <v>0</v>
      </c>
      <c r="O900" s="63">
        <f t="shared" si="1251"/>
        <v>0</v>
      </c>
      <c r="P900" s="63">
        <f t="shared" si="1251"/>
        <v>0</v>
      </c>
      <c r="Q900" s="63">
        <f t="shared" si="1251"/>
        <v>0</v>
      </c>
      <c r="R900" s="63">
        <f t="shared" si="1251"/>
        <v>0</v>
      </c>
      <c r="S900" s="49"/>
    </row>
    <row r="901" spans="1:25" ht="10.5" customHeight="1">
      <c r="A901" s="73"/>
      <c r="B901" s="73"/>
      <c r="C901" s="74"/>
      <c r="D901" s="74"/>
      <c r="E901" s="74"/>
      <c r="F901" s="74"/>
      <c r="G901" s="74"/>
      <c r="H901" s="74"/>
      <c r="I901" s="74"/>
      <c r="J901" s="74"/>
      <c r="K901" s="74"/>
      <c r="L901" s="74"/>
      <c r="M901" s="74"/>
      <c r="N901" s="74"/>
      <c r="O901" s="74"/>
      <c r="P901" s="74"/>
      <c r="Q901" s="74"/>
      <c r="R901" s="74"/>
      <c r="S901" s="75"/>
    </row>
    <row r="902" spans="1:25" ht="23.25" customHeight="1">
      <c r="E902" s="133" t="s">
        <v>10</v>
      </c>
      <c r="F902" s="133"/>
      <c r="G902" s="133"/>
      <c r="H902" s="133"/>
      <c r="I902" s="133"/>
      <c r="J902" s="132" t="str">
        <f>IF(ISNA(VLOOKUP(Y904,Master!A$8:N$127,2,FALSE)),"",VLOOKUP(Y904,Master!A$8:AH$127,2,FALSE))</f>
        <v/>
      </c>
      <c r="K902" s="132"/>
      <c r="L902" s="132"/>
      <c r="M902" s="132"/>
      <c r="N902" s="132"/>
      <c r="O902" s="60" t="s">
        <v>31</v>
      </c>
      <c r="P902" s="132" t="str">
        <f>IF(ISNA(VLOOKUP(Y904,Master!A$8:N$127,3,FALSE)),"",VLOOKUP(Y904,Master!A$8:AH$127,3,FALSE))</f>
        <v/>
      </c>
      <c r="Q902" s="132"/>
      <c r="R902" s="132"/>
      <c r="S902" s="132"/>
    </row>
    <row r="903" spans="1:25" ht="9" customHeight="1">
      <c r="E903" s="19"/>
      <c r="F903" s="52"/>
      <c r="G903" s="22"/>
      <c r="H903" s="22"/>
      <c r="I903" s="22"/>
      <c r="J903" s="5"/>
      <c r="K903" s="5"/>
      <c r="L903" s="5"/>
      <c r="M903" s="5"/>
      <c r="N903" s="5"/>
      <c r="O903" s="6"/>
      <c r="P903" s="6"/>
    </row>
    <row r="904" spans="1:25" ht="21" customHeight="1">
      <c r="A904" s="8">
        <v>1</v>
      </c>
      <c r="B904" s="23">
        <v>45108</v>
      </c>
      <c r="C904" s="9" t="str">
        <f>IF(ISNA(VLOOKUP(Y904,Master!A$8:N$127,5,FALSE)),"",VLOOKUP(Y904,Master!A$8:AH$127,5,FALSE))</f>
        <v/>
      </c>
      <c r="D904" s="9" t="str">
        <f>IF(AND(C904=""),"",IF(AND(Y904=""),"",ROUND(C904*Master!C$5%,0)))</f>
        <v/>
      </c>
      <c r="E904" s="9" t="str">
        <f>IF(AND(C904=""),"",IF(AND(Y904=""),"",ROUND(C904*Master!H$5%,0)))</f>
        <v/>
      </c>
      <c r="F904" s="9" t="str">
        <f t="shared" ref="F904:F906" si="1252">IF(AND(C904=""),"",SUM(C904:E904))</f>
        <v/>
      </c>
      <c r="G904" s="9" t="str">
        <f>IF(ISNA(VLOOKUP(Y904,Master!A$8:N$127,5,FALSE)),"",VLOOKUP(Y904,Master!A$8:AH$127,5,FALSE))</f>
        <v/>
      </c>
      <c r="H904" s="9" t="str">
        <f>IF(AND(G904=""),"",IF(AND(Y904=""),"",ROUND(G904*Master!C$4%,0)))</f>
        <v/>
      </c>
      <c r="I904" s="9" t="str">
        <f>IF(AND(G904=""),"",IF(AND(Y904=""),"",ROUND(G904*Master!H$4%,0)))</f>
        <v/>
      </c>
      <c r="J904" s="9" t="str">
        <f t="shared" ref="J904:J906" si="1253">IF(AND(C904=""),"",SUM(G904:I904))</f>
        <v/>
      </c>
      <c r="K904" s="9" t="str">
        <f t="shared" ref="K904" si="1254">IF(AND(C904=""),"",IF(AND(G904=""),"",C904-G904))</f>
        <v/>
      </c>
      <c r="L904" s="9" t="str">
        <f>IF(AND(D904=""),"",IF(AND(H904=""),"",D904-H904))</f>
        <v/>
      </c>
      <c r="M904" s="9" t="str">
        <f t="shared" ref="M904:M906" si="1255">IF(AND(E904=""),"",IF(AND(I904=""),"",E904-I904))</f>
        <v/>
      </c>
      <c r="N904" s="9" t="str">
        <f t="shared" ref="N904:N906" si="1256">IF(AND(F904=""),"",IF(AND(J904=""),"",F904-J904))</f>
        <v/>
      </c>
      <c r="O904" s="9" t="str">
        <f>IF(AND(C904=""),"",N904-P904)</f>
        <v/>
      </c>
      <c r="P904" s="9" t="str">
        <f>IF(AND(Y904=""),"",IF(AND(N904=""),"",ROUND(N904*X$17%,0)))</f>
        <v/>
      </c>
      <c r="Q904" s="9" t="str">
        <f>IF(AND(Y904=""),"",IF(AND(C904=""),"",IF(AND(O904=""),"",SUM(O904,P904))))</f>
        <v/>
      </c>
      <c r="R904" s="9" t="str">
        <f>IF(AND(N904=""),"",IF(AND(Q904=""),"",N904-Q904))</f>
        <v/>
      </c>
      <c r="S904" s="20"/>
      <c r="X904" s="61" t="s">
        <v>49</v>
      </c>
      <c r="Y904" s="64">
        <v>74</v>
      </c>
    </row>
    <row r="905" spans="1:25" ht="21" customHeight="1">
      <c r="A905" s="8">
        <v>2</v>
      </c>
      <c r="B905" s="23">
        <v>45139</v>
      </c>
      <c r="C905" s="9" t="str">
        <f>IF(AND(Y904=""),"",C904)</f>
        <v/>
      </c>
      <c r="D905" s="9" t="str">
        <f>IF(AND(C905=""),"",IF(AND(Y904=""),"",ROUND(C905*Master!C$5%,0)))</f>
        <v/>
      </c>
      <c r="E905" s="9" t="str">
        <f>IF(AND(C905=""),"",IF(AND(Y904=""),"",ROUND(C905*Master!H$5%,0)))</f>
        <v/>
      </c>
      <c r="F905" s="9" t="str">
        <f t="shared" si="1252"/>
        <v/>
      </c>
      <c r="G905" s="9" t="str">
        <f>IF(AND(Y904=""),"",G904)</f>
        <v/>
      </c>
      <c r="H905" s="9" t="str">
        <f>IF(AND(G905=""),"",IF(AND(Y904=""),"",ROUND(G905*Master!C$4%,0)))</f>
        <v/>
      </c>
      <c r="I905" s="9" t="str">
        <f>IF(AND(G905=""),"",IF(AND(Y904=""),"",ROUND(G905*Master!H$4%,0)))</f>
        <v/>
      </c>
      <c r="J905" s="9" t="str">
        <f t="shared" si="1253"/>
        <v/>
      </c>
      <c r="K905" s="9" t="str">
        <f>IF(AND(C905=""),"",IF(AND(G905=""),"",C905-G905))</f>
        <v/>
      </c>
      <c r="L905" s="9" t="str">
        <f t="shared" ref="L905:L906" si="1257">IF(AND(D905=""),"",IF(AND(H905=""),"",D905-H905))</f>
        <v/>
      </c>
      <c r="M905" s="9" t="str">
        <f t="shared" si="1255"/>
        <v/>
      </c>
      <c r="N905" s="9" t="str">
        <f t="shared" si="1256"/>
        <v/>
      </c>
      <c r="O905" s="9" t="str">
        <f t="shared" ref="O905:O906" si="1258">IF(AND(C905=""),"",N905-P905)</f>
        <v/>
      </c>
      <c r="P905" s="9" t="str">
        <f>IF(AND(Y904=""),"",IF(AND(N905=""),"",ROUND(N905*X$17%,0)))</f>
        <v/>
      </c>
      <c r="Q905" s="9" t="str">
        <f>IF(AND(Y904=""),"",IF(AND(C905=""),"",IF(AND(O905=""),"",SUM(O905,P905))))</f>
        <v/>
      </c>
      <c r="R905" s="9" t="str">
        <f t="shared" ref="R905:R906" si="1259">IF(AND(N905=""),"",IF(AND(Q905=""),"",N905-Q905))</f>
        <v/>
      </c>
      <c r="S905" s="20"/>
      <c r="X905" s="4" t="str">
        <f>IF(ISNA(VLOOKUP(Y904,Master!A$8:N$127,7,FALSE)),"",VLOOKUP(Y904,Master!A$8:AH$127,7,FALSE))</f>
        <v/>
      </c>
    </row>
    <row r="906" spans="1:25" ht="21" customHeight="1">
      <c r="A906" s="8">
        <v>3</v>
      </c>
      <c r="B906" s="23">
        <v>45170</v>
      </c>
      <c r="C906" s="9" t="str">
        <f>IF(AND(Y904=""),"",C905)</f>
        <v/>
      </c>
      <c r="D906" s="9" t="str">
        <f>IF(AND(C906=""),"",IF(AND(Y904=""),"",ROUND(C906*Master!C$5%,0)))</f>
        <v/>
      </c>
      <c r="E906" s="9" t="str">
        <f>IF(AND(C906=""),"",IF(AND(Y904=""),"",ROUND(C906*Master!H$5%,0)))</f>
        <v/>
      </c>
      <c r="F906" s="9" t="str">
        <f t="shared" si="1252"/>
        <v/>
      </c>
      <c r="G906" s="9" t="str">
        <f>IF(AND(Y904=""),"",G905)</f>
        <v/>
      </c>
      <c r="H906" s="9" t="str">
        <f>IF(AND(G906=""),"",IF(AND(Y904=""),"",ROUND(G906*Master!C$4%,0)))</f>
        <v/>
      </c>
      <c r="I906" s="9" t="str">
        <f>IF(AND(G906=""),"",IF(AND(Y904=""),"",ROUND(G906*Master!H$4%,0)))</f>
        <v/>
      </c>
      <c r="J906" s="9" t="str">
        <f t="shared" si="1253"/>
        <v/>
      </c>
      <c r="K906" s="9" t="str">
        <f t="shared" ref="K906" si="1260">IF(AND(C906=""),"",IF(AND(G906=""),"",C906-G906))</f>
        <v/>
      </c>
      <c r="L906" s="9" t="str">
        <f t="shared" si="1257"/>
        <v/>
      </c>
      <c r="M906" s="9" t="str">
        <f t="shared" si="1255"/>
        <v/>
      </c>
      <c r="N906" s="9" t="str">
        <f t="shared" si="1256"/>
        <v/>
      </c>
      <c r="O906" s="9" t="str">
        <f t="shared" si="1258"/>
        <v/>
      </c>
      <c r="P906" s="9" t="str">
        <f>IF(AND(Y904=""),"",IF(AND(N906=""),"",ROUND(N906*X$17%,0)))</f>
        <v/>
      </c>
      <c r="Q906" s="9" t="str">
        <f>IF(AND(Y904=""),"",IF(AND(C906=""),"",IF(AND(O906=""),"",SUM(O906,P906))))</f>
        <v/>
      </c>
      <c r="R906" s="9" t="str">
        <f t="shared" si="1259"/>
        <v/>
      </c>
      <c r="S906" s="20"/>
    </row>
    <row r="907" spans="1:25" ht="21" customHeight="1">
      <c r="A907" s="8">
        <v>4</v>
      </c>
      <c r="B907" s="23">
        <v>45200</v>
      </c>
      <c r="C907" s="9" t="str">
        <f>IF(AND(Y905=""),"",C906)</f>
        <v/>
      </c>
      <c r="D907" s="9" t="str">
        <f>IF(AND(C907=""),"",IF(AND(Y905=""),"",ROUND(C907*Master!C$5%,0)))</f>
        <v/>
      </c>
      <c r="E907" s="9" t="str">
        <f>IF(AND(C907=""),"",IF(AND(Y905=""),"",ROUND(C907*Master!H$5%,0)))</f>
        <v/>
      </c>
      <c r="F907" s="9" t="str">
        <f t="shared" ref="F907" si="1261">IF(AND(C907=""),"",SUM(C907:E907))</f>
        <v/>
      </c>
      <c r="G907" s="9" t="str">
        <f>IF(AND(Y905=""),"",G906)</f>
        <v/>
      </c>
      <c r="H907" s="9" t="str">
        <f>IF(AND(G907=""),"",IF(AND(Y905=""),"",ROUND(G907*Master!C$4%,0)))</f>
        <v/>
      </c>
      <c r="I907" s="9" t="str">
        <f>IF(AND(G907=""),"",IF(AND(Y905=""),"",ROUND(G907*Master!H$4%,0)))</f>
        <v/>
      </c>
      <c r="J907" s="9" t="str">
        <f t="shared" ref="J907" si="1262">IF(AND(C907=""),"",SUM(G907:I907))</f>
        <v/>
      </c>
      <c r="K907" s="9" t="str">
        <f t="shared" ref="K907" si="1263">IF(AND(C907=""),"",IF(AND(G907=""),"",C907-G907))</f>
        <v/>
      </c>
      <c r="L907" s="9" t="str">
        <f t="shared" ref="L907" si="1264">IF(AND(D907=""),"",IF(AND(H907=""),"",D907-H907))</f>
        <v/>
      </c>
      <c r="M907" s="9" t="str">
        <f t="shared" ref="M907" si="1265">IF(AND(E907=""),"",IF(AND(I907=""),"",E907-I907))</f>
        <v/>
      </c>
      <c r="N907" s="9" t="str">
        <f t="shared" ref="N907" si="1266">IF(AND(F907=""),"",IF(AND(J907=""),"",F907-J907))</f>
        <v/>
      </c>
      <c r="O907" s="9" t="str">
        <f t="shared" ref="O907" si="1267">IF(AND(C907=""),"",N907-P907)</f>
        <v/>
      </c>
      <c r="P907" s="9" t="str">
        <f>IF(AND(Y905=""),"",IF(AND(N907=""),"",ROUND(N907*X$17%,0)))</f>
        <v/>
      </c>
      <c r="Q907" s="9" t="str">
        <f>IF(AND(Y905=""),"",IF(AND(C907=""),"",IF(AND(O907=""),"",SUM(O907,P907))))</f>
        <v/>
      </c>
      <c r="R907" s="9" t="str">
        <f t="shared" ref="R907" si="1268">IF(AND(N907=""),"",IF(AND(Q907=""),"",N907-Q907))</f>
        <v/>
      </c>
      <c r="S907" s="20"/>
    </row>
    <row r="908" spans="1:25" ht="30.75" customHeight="1">
      <c r="A908" s="153" t="s">
        <v>9</v>
      </c>
      <c r="B908" s="154"/>
      <c r="C908" s="63">
        <f>IF(AND($Y$904=""),"",SUM(C904:C907))</f>
        <v>0</v>
      </c>
      <c r="D908" s="63">
        <f t="shared" ref="D908:R908" si="1269">IF(AND($Y$904=""),"",SUM(D904:D907))</f>
        <v>0</v>
      </c>
      <c r="E908" s="63">
        <f t="shared" si="1269"/>
        <v>0</v>
      </c>
      <c r="F908" s="63">
        <f t="shared" si="1269"/>
        <v>0</v>
      </c>
      <c r="G908" s="63">
        <f t="shared" si="1269"/>
        <v>0</v>
      </c>
      <c r="H908" s="63">
        <f t="shared" si="1269"/>
        <v>0</v>
      </c>
      <c r="I908" s="63">
        <f t="shared" si="1269"/>
        <v>0</v>
      </c>
      <c r="J908" s="63">
        <f t="shared" si="1269"/>
        <v>0</v>
      </c>
      <c r="K908" s="63">
        <f t="shared" si="1269"/>
        <v>0</v>
      </c>
      <c r="L908" s="63">
        <f t="shared" si="1269"/>
        <v>0</v>
      </c>
      <c r="M908" s="63">
        <f t="shared" si="1269"/>
        <v>0</v>
      </c>
      <c r="N908" s="63">
        <f t="shared" si="1269"/>
        <v>0</v>
      </c>
      <c r="O908" s="63">
        <f t="shared" si="1269"/>
        <v>0</v>
      </c>
      <c r="P908" s="63">
        <f t="shared" si="1269"/>
        <v>0</v>
      </c>
      <c r="Q908" s="63">
        <f t="shared" si="1269"/>
        <v>0</v>
      </c>
      <c r="R908" s="63">
        <f t="shared" si="1269"/>
        <v>0</v>
      </c>
      <c r="S908" s="49"/>
    </row>
    <row r="909" spans="1:25" ht="11.25" customHeight="1">
      <c r="A909" s="73"/>
      <c r="B909" s="73"/>
      <c r="C909" s="74"/>
      <c r="D909" s="74"/>
      <c r="E909" s="74"/>
      <c r="F909" s="74"/>
      <c r="G909" s="74"/>
      <c r="H909" s="74"/>
      <c r="I909" s="74"/>
      <c r="J909" s="74"/>
      <c r="K909" s="74"/>
      <c r="L909" s="74"/>
      <c r="M909" s="74"/>
      <c r="N909" s="74"/>
      <c r="O909" s="74"/>
      <c r="P909" s="74"/>
      <c r="Q909" s="74"/>
      <c r="R909" s="74"/>
      <c r="S909" s="75"/>
    </row>
    <row r="910" spans="1:25" ht="23.25" customHeight="1">
      <c r="E910" s="133" t="s">
        <v>10</v>
      </c>
      <c r="F910" s="133"/>
      <c r="G910" s="133"/>
      <c r="H910" s="133"/>
      <c r="I910" s="133"/>
      <c r="J910" s="132" t="str">
        <f>IF(ISNA(VLOOKUP(Y912,Master!A$8:N$127,2,FALSE)),"",VLOOKUP(Y912,Master!A$8:AH$127,2,FALSE))</f>
        <v/>
      </c>
      <c r="K910" s="132"/>
      <c r="L910" s="132"/>
      <c r="M910" s="132"/>
      <c r="N910" s="132"/>
      <c r="O910" s="60" t="s">
        <v>31</v>
      </c>
      <c r="P910" s="132" t="str">
        <f>IF(ISNA(VLOOKUP($Y$431,Master!A$8:N$127,3,FALSE)),"",VLOOKUP($Y$431,Master!A$8:AH$127,3,FALSE))</f>
        <v/>
      </c>
      <c r="Q910" s="132"/>
      <c r="R910" s="132"/>
      <c r="S910" s="132"/>
    </row>
    <row r="911" spans="1:25" ht="9" customHeight="1">
      <c r="E911" s="19"/>
      <c r="F911" s="52"/>
      <c r="G911" s="22"/>
      <c r="H911" s="22"/>
      <c r="I911" s="22"/>
      <c r="J911" s="5"/>
      <c r="K911" s="5"/>
      <c r="L911" s="5"/>
      <c r="M911" s="5"/>
      <c r="N911" s="5"/>
      <c r="O911" s="6"/>
      <c r="P911" s="6"/>
    </row>
    <row r="912" spans="1:25" ht="21" customHeight="1">
      <c r="A912" s="8">
        <v>1</v>
      </c>
      <c r="B912" s="23">
        <v>45108</v>
      </c>
      <c r="C912" s="9" t="str">
        <f>IF(ISNA(VLOOKUP(Y912,Master!A$8:N$127,5,FALSE)),"",VLOOKUP(Y912,Master!A$8:AH$127,5,FALSE))</f>
        <v/>
      </c>
      <c r="D912" s="9" t="str">
        <f>IF(AND(C912=""),"",IF(AND(Y912=""),"",ROUND(C912*Master!C$5%,0)))</f>
        <v/>
      </c>
      <c r="E912" s="9" t="str">
        <f>IF(AND(C912=""),"",IF(AND(Y912=""),"",ROUND(C912*Master!H$5%,0)))</f>
        <v/>
      </c>
      <c r="F912" s="9" t="str">
        <f t="shared" ref="F912:F914" si="1270">IF(AND(C912=""),"",SUM(C912:E912))</f>
        <v/>
      </c>
      <c r="G912" s="9" t="str">
        <f>IF(ISNA(VLOOKUP(Y912,Master!A$8:N$127,5,FALSE)),"",VLOOKUP(Y912,Master!A$8:AH$127,5,FALSE))</f>
        <v/>
      </c>
      <c r="H912" s="9" t="str">
        <f>IF(AND(G912=""),"",IF(AND(Y912=""),"",ROUND(G912*Master!C$4%,0)))</f>
        <v/>
      </c>
      <c r="I912" s="9" t="str">
        <f>IF(AND(G912=""),"",IF(AND(Y912=""),"",ROUND(G912*Master!H$4%,0)))</f>
        <v/>
      </c>
      <c r="J912" s="9" t="str">
        <f t="shared" ref="J912:J914" si="1271">IF(AND(C912=""),"",SUM(G912:I912))</f>
        <v/>
      </c>
      <c r="K912" s="9" t="str">
        <f t="shared" ref="K912:K914" si="1272">IF(AND(C912=""),"",IF(AND(G912=""),"",C912-G912))</f>
        <v/>
      </c>
      <c r="L912" s="9" t="str">
        <f t="shared" ref="L912:L914" si="1273">IF(AND(D912=""),"",IF(AND(H912=""),"",D912-H912))</f>
        <v/>
      </c>
      <c r="M912" s="9" t="str">
        <f t="shared" ref="M912:M914" si="1274">IF(AND(E912=""),"",IF(AND(I912=""),"",E912-I912))</f>
        <v/>
      </c>
      <c r="N912" s="9" t="str">
        <f t="shared" ref="N912:N914" si="1275">IF(AND(F912=""),"",IF(AND(J912=""),"",F912-J912))</f>
        <v/>
      </c>
      <c r="O912" s="9" t="str">
        <f>IF(AND(C912=""),"",N912-P912)</f>
        <v/>
      </c>
      <c r="P912" s="9" t="str">
        <f>IF(AND(Y912=""),"",IF(AND(N912=""),"",ROUND(N912*AA$1%,0)))</f>
        <v/>
      </c>
      <c r="Q912" s="9" t="str">
        <f>IF(AND(Y912=""),"",IF(AND(C912=""),"",IF(AND(O912=""),"",SUM(O912,P912))))</f>
        <v/>
      </c>
      <c r="R912" s="9" t="str">
        <f>IF(AND(N912=""),"",IF(AND(Q912=""),"",N912-Q912))</f>
        <v/>
      </c>
      <c r="S912" s="20"/>
      <c r="X912" s="61" t="s">
        <v>49</v>
      </c>
      <c r="Y912" s="64">
        <v>75</v>
      </c>
    </row>
    <row r="913" spans="1:27" ht="21" customHeight="1">
      <c r="A913" s="8">
        <v>2</v>
      </c>
      <c r="B913" s="23">
        <v>45139</v>
      </c>
      <c r="C913" s="9" t="str">
        <f>IF(AND(Y912=""),"",C912)</f>
        <v/>
      </c>
      <c r="D913" s="9" t="str">
        <f>IF(AND(C913=""),"",IF(AND(Y912=""),"",ROUND(C913*Master!C$5%,0)))</f>
        <v/>
      </c>
      <c r="E913" s="9" t="str">
        <f>IF(AND(C913=""),"",IF(AND(Y912=""),"",ROUND(C913*Master!H$5%,0)))</f>
        <v/>
      </c>
      <c r="F913" s="9" t="str">
        <f t="shared" si="1270"/>
        <v/>
      </c>
      <c r="G913" s="9" t="str">
        <f>IF(AND(Y912=""),"",G912)</f>
        <v/>
      </c>
      <c r="H913" s="9" t="str">
        <f>IF(AND(G913=""),"",IF(AND(Y912=""),"",ROUND(G913*Master!C$4%,0)))</f>
        <v/>
      </c>
      <c r="I913" s="9" t="str">
        <f>IF(AND(G913=""),"",IF(AND(Y912=""),"",ROUND(G913*Master!H$4%,0)))</f>
        <v/>
      </c>
      <c r="J913" s="9" t="str">
        <f t="shared" si="1271"/>
        <v/>
      </c>
      <c r="K913" s="9" t="str">
        <f t="shared" si="1272"/>
        <v/>
      </c>
      <c r="L913" s="9" t="str">
        <f t="shared" si="1273"/>
        <v/>
      </c>
      <c r="M913" s="9" t="str">
        <f t="shared" si="1274"/>
        <v/>
      </c>
      <c r="N913" s="9" t="str">
        <f t="shared" si="1275"/>
        <v/>
      </c>
      <c r="O913" s="9" t="str">
        <f t="shared" ref="O913:O914" si="1276">IF(AND(C913=""),"",N913-P913)</f>
        <v/>
      </c>
      <c r="P913" s="9" t="str">
        <f>IF(AND(Y912=""),"",IF(AND(N913=""),"",ROUND(N913*AA$1%,0)))</f>
        <v/>
      </c>
      <c r="Q913" s="9" t="str">
        <f>IF(AND(Y912=""),"",IF(AND(C913=""),"",IF(AND(O913=""),"",SUM(O913,P913))))</f>
        <v/>
      </c>
      <c r="R913" s="9" t="str">
        <f t="shared" ref="R913:R914" si="1277">IF(AND(N913=""),"",IF(AND(Q913=""),"",N913-Q913))</f>
        <v/>
      </c>
      <c r="S913" s="20"/>
      <c r="X913" s="4" t="str">
        <f>IF(ISNA(VLOOKUP(Y912,Master!A$8:N$127,7,FALSE)),"",VLOOKUP(Y912,Master!A$8:AH$127,7,FALSE))</f>
        <v/>
      </c>
    </row>
    <row r="914" spans="1:27" ht="21" customHeight="1">
      <c r="A914" s="8">
        <v>3</v>
      </c>
      <c r="B914" s="23">
        <v>45170</v>
      </c>
      <c r="C914" s="9" t="str">
        <f>IF(AND(Y912=""),"",C913)</f>
        <v/>
      </c>
      <c r="D914" s="9" t="str">
        <f>IF(AND(C914=""),"",IF(AND(Y912=""),"",ROUND(C914*Master!C$5%,0)))</f>
        <v/>
      </c>
      <c r="E914" s="9" t="str">
        <f>IF(AND(C914=""),"",IF(AND(Y912=""),"",ROUND(C914*Master!H$5%,0)))</f>
        <v/>
      </c>
      <c r="F914" s="9" t="str">
        <f t="shared" si="1270"/>
        <v/>
      </c>
      <c r="G914" s="9" t="str">
        <f>IF(AND(Y912=""),"",G913)</f>
        <v/>
      </c>
      <c r="H914" s="9" t="str">
        <f>IF(AND(G914=""),"",IF(AND(Y912=""),"",ROUND(G914*Master!C$4%,0)))</f>
        <v/>
      </c>
      <c r="I914" s="9" t="str">
        <f>IF(AND(G914=""),"",IF(AND(Y912=""),"",ROUND(G914*Master!H$4%,0)))</f>
        <v/>
      </c>
      <c r="J914" s="9" t="str">
        <f t="shared" si="1271"/>
        <v/>
      </c>
      <c r="K914" s="9" t="str">
        <f t="shared" si="1272"/>
        <v/>
      </c>
      <c r="L914" s="9" t="str">
        <f t="shared" si="1273"/>
        <v/>
      </c>
      <c r="M914" s="9" t="str">
        <f t="shared" si="1274"/>
        <v/>
      </c>
      <c r="N914" s="9" t="str">
        <f t="shared" si="1275"/>
        <v/>
      </c>
      <c r="O914" s="9" t="str">
        <f t="shared" si="1276"/>
        <v/>
      </c>
      <c r="P914" s="9" t="str">
        <f>IF(AND(Y912=""),"",IF(AND(N914=""),"",ROUND(N914*AA$1%,0)))</f>
        <v/>
      </c>
      <c r="Q914" s="9" t="str">
        <f>IF(AND(Y912=""),"",IF(AND(C914=""),"",IF(AND(O914=""),"",SUM(O914,P914))))</f>
        <v/>
      </c>
      <c r="R914" s="9" t="str">
        <f t="shared" si="1277"/>
        <v/>
      </c>
      <c r="S914" s="20"/>
    </row>
    <row r="915" spans="1:27" ht="21" customHeight="1">
      <c r="A915" s="8">
        <v>4</v>
      </c>
      <c r="B915" s="23">
        <v>45200</v>
      </c>
      <c r="C915" s="9" t="str">
        <f>IF(AND(Y913=""),"",C914)</f>
        <v/>
      </c>
      <c r="D915" s="9" t="str">
        <f>IF(AND(C915=""),"",IF(AND(Y913=""),"",ROUND(C915*Master!C$5%,0)))</f>
        <v/>
      </c>
      <c r="E915" s="9" t="str">
        <f>IF(AND(C915=""),"",IF(AND(Y913=""),"",ROUND(C915*Master!H$5%,0)))</f>
        <v/>
      </c>
      <c r="F915" s="9" t="str">
        <f t="shared" ref="F915" si="1278">IF(AND(C915=""),"",SUM(C915:E915))</f>
        <v/>
      </c>
      <c r="G915" s="9" t="str">
        <f>IF(AND(Y913=""),"",G914)</f>
        <v/>
      </c>
      <c r="H915" s="9" t="str">
        <f>IF(AND(G915=""),"",IF(AND(Y913=""),"",ROUND(G915*Master!C$4%,0)))</f>
        <v/>
      </c>
      <c r="I915" s="9" t="str">
        <f>IF(AND(G915=""),"",IF(AND(Y913=""),"",ROUND(G915*Master!H$4%,0)))</f>
        <v/>
      </c>
      <c r="J915" s="9" t="str">
        <f t="shared" ref="J915" si="1279">IF(AND(C915=""),"",SUM(G915:I915))</f>
        <v/>
      </c>
      <c r="K915" s="9" t="str">
        <f t="shared" ref="K915" si="1280">IF(AND(C915=""),"",IF(AND(G915=""),"",C915-G915))</f>
        <v/>
      </c>
      <c r="L915" s="9" t="str">
        <f t="shared" ref="L915" si="1281">IF(AND(D915=""),"",IF(AND(H915=""),"",D915-H915))</f>
        <v/>
      </c>
      <c r="M915" s="9" t="str">
        <f t="shared" ref="M915" si="1282">IF(AND(E915=""),"",IF(AND(I915=""),"",E915-I915))</f>
        <v/>
      </c>
      <c r="N915" s="9" t="str">
        <f t="shared" ref="N915" si="1283">IF(AND(F915=""),"",IF(AND(J915=""),"",F915-J915))</f>
        <v/>
      </c>
      <c r="O915" s="9" t="str">
        <f t="shared" ref="O915" si="1284">IF(AND(C915=""),"",N915-P915)</f>
        <v/>
      </c>
      <c r="P915" s="9" t="str">
        <f>IF(AND(Y913=""),"",IF(AND(N915=""),"",ROUND(N915*AA$1%,0)))</f>
        <v/>
      </c>
      <c r="Q915" s="9" t="str">
        <f>IF(AND(Y913=""),"",IF(AND(C915=""),"",IF(AND(O915=""),"",SUM(O915,P915))))</f>
        <v/>
      </c>
      <c r="R915" s="9" t="str">
        <f t="shared" ref="R915" si="1285">IF(AND(N915=""),"",IF(AND(Q915=""),"",N915-Q915))</f>
        <v/>
      </c>
      <c r="S915" s="20"/>
    </row>
    <row r="916" spans="1:27" ht="30.75" customHeight="1">
      <c r="A916" s="153" t="s">
        <v>9</v>
      </c>
      <c r="B916" s="154"/>
      <c r="C916" s="63">
        <f>IF(AND($Y$912=""),"",SUM(C912:C915))</f>
        <v>0</v>
      </c>
      <c r="D916" s="63">
        <f t="shared" ref="D916:R916" si="1286">IF(AND($Y$912=""),"",SUM(D912:D915))</f>
        <v>0</v>
      </c>
      <c r="E916" s="63">
        <f t="shared" si="1286"/>
        <v>0</v>
      </c>
      <c r="F916" s="63">
        <f t="shared" si="1286"/>
        <v>0</v>
      </c>
      <c r="G916" s="63">
        <f t="shared" si="1286"/>
        <v>0</v>
      </c>
      <c r="H916" s="63">
        <f t="shared" si="1286"/>
        <v>0</v>
      </c>
      <c r="I916" s="63">
        <f t="shared" si="1286"/>
        <v>0</v>
      </c>
      <c r="J916" s="63">
        <f t="shared" si="1286"/>
        <v>0</v>
      </c>
      <c r="K916" s="63">
        <f t="shared" si="1286"/>
        <v>0</v>
      </c>
      <c r="L916" s="63">
        <f t="shared" si="1286"/>
        <v>0</v>
      </c>
      <c r="M916" s="63">
        <f t="shared" si="1286"/>
        <v>0</v>
      </c>
      <c r="N916" s="63">
        <f t="shared" si="1286"/>
        <v>0</v>
      </c>
      <c r="O916" s="63">
        <f t="shared" si="1286"/>
        <v>0</v>
      </c>
      <c r="P916" s="63">
        <f t="shared" si="1286"/>
        <v>0</v>
      </c>
      <c r="Q916" s="63">
        <f t="shared" si="1286"/>
        <v>0</v>
      </c>
      <c r="R916" s="63">
        <f t="shared" si="1286"/>
        <v>0</v>
      </c>
      <c r="S916" s="49"/>
    </row>
    <row r="917" spans="1:27" ht="30.75" customHeight="1">
      <c r="A917" s="73"/>
      <c r="B917" s="73"/>
      <c r="C917" s="74"/>
      <c r="D917" s="74"/>
      <c r="E917" s="74"/>
      <c r="F917" s="74"/>
      <c r="G917" s="74"/>
      <c r="H917" s="74"/>
      <c r="I917" s="74"/>
      <c r="J917" s="74"/>
      <c r="K917" s="74"/>
      <c r="L917" s="74"/>
      <c r="M917" s="74"/>
      <c r="N917" s="74"/>
      <c r="O917" s="74"/>
      <c r="P917" s="74"/>
      <c r="Q917" s="74"/>
      <c r="R917" s="74"/>
      <c r="S917" s="75"/>
    </row>
    <row r="918" spans="1:27" ht="18.75">
      <c r="A918" s="21"/>
      <c r="B918" s="58"/>
      <c r="C918" s="58"/>
      <c r="D918" s="58"/>
      <c r="E918" s="58"/>
      <c r="F918" s="58"/>
      <c r="G918" s="58"/>
      <c r="H918" s="59"/>
      <c r="I918" s="59"/>
      <c r="J918" s="59"/>
      <c r="K918" s="66"/>
      <c r="L918" s="66"/>
      <c r="M918" s="66"/>
      <c r="N918" s="66"/>
      <c r="O918" s="138" t="s">
        <v>42</v>
      </c>
      <c r="P918" s="138"/>
      <c r="Q918" s="138"/>
      <c r="R918" s="138"/>
      <c r="S918" s="138"/>
    </row>
    <row r="919" spans="1:27" ht="18.75">
      <c r="A919" s="1"/>
      <c r="B919" s="24" t="s">
        <v>19</v>
      </c>
      <c r="C919" s="139"/>
      <c r="D919" s="139"/>
      <c r="E919" s="139"/>
      <c r="F919" s="139"/>
      <c r="G919" s="139"/>
      <c r="H919" s="25"/>
      <c r="I919" s="143" t="s">
        <v>20</v>
      </c>
      <c r="J919" s="143"/>
      <c r="K919" s="141"/>
      <c r="L919" s="141"/>
      <c r="M919" s="141"/>
      <c r="O919" s="138"/>
      <c r="P919" s="138"/>
      <c r="Q919" s="138"/>
      <c r="R919" s="138"/>
      <c r="S919" s="138"/>
    </row>
    <row r="920" spans="1:27" ht="18.75">
      <c r="A920" s="1"/>
      <c r="B920" s="140" t="s">
        <v>21</v>
      </c>
      <c r="C920" s="140"/>
      <c r="D920" s="140"/>
      <c r="E920" s="140"/>
      <c r="F920" s="140"/>
      <c r="G920" s="140"/>
      <c r="H920" s="140"/>
      <c r="I920" s="27"/>
      <c r="J920" s="26"/>
      <c r="K920" s="26"/>
      <c r="L920" s="26"/>
      <c r="M920" s="26"/>
    </row>
    <row r="921" spans="1:27" ht="18.75">
      <c r="A921" s="22">
        <v>1</v>
      </c>
      <c r="B921" s="142" t="s">
        <v>22</v>
      </c>
      <c r="C921" s="142"/>
      <c r="D921" s="142"/>
      <c r="E921" s="142"/>
      <c r="F921" s="142"/>
      <c r="G921" s="142"/>
      <c r="H921" s="142"/>
      <c r="I921" s="28"/>
      <c r="J921" s="26"/>
      <c r="K921" s="26"/>
      <c r="L921" s="26"/>
      <c r="M921" s="26"/>
    </row>
    <row r="922" spans="1:27" ht="18.75">
      <c r="A922" s="2">
        <v>2</v>
      </c>
      <c r="B922" s="142" t="s">
        <v>23</v>
      </c>
      <c r="C922" s="142"/>
      <c r="D922" s="142"/>
      <c r="E922" s="142"/>
      <c r="F922" s="142"/>
      <c r="G922" s="132"/>
      <c r="H922" s="132"/>
      <c r="I922" s="132"/>
      <c r="J922" s="132"/>
      <c r="K922" s="132"/>
      <c r="L922" s="132"/>
      <c r="M922" s="132"/>
    </row>
    <row r="923" spans="1:27" ht="18.75">
      <c r="A923" s="3">
        <v>3</v>
      </c>
      <c r="B923" s="142" t="s">
        <v>24</v>
      </c>
      <c r="C923" s="142"/>
      <c r="D923" s="142"/>
      <c r="E923" s="29"/>
      <c r="F923" s="28"/>
      <c r="G923" s="28"/>
      <c r="H923" s="30"/>
      <c r="I923" s="31"/>
      <c r="J923" s="26"/>
      <c r="K923" s="26"/>
      <c r="L923" s="26"/>
      <c r="M923" s="26"/>
    </row>
    <row r="924" spans="1:27" ht="15.75">
      <c r="O924" s="138" t="s">
        <v>42</v>
      </c>
      <c r="P924" s="138"/>
      <c r="Q924" s="138"/>
      <c r="R924" s="138"/>
      <c r="S924" s="138"/>
    </row>
    <row r="926" spans="1:27" ht="18" customHeight="1">
      <c r="A926" s="148" t="str">
        <f>A889</f>
        <v xml:space="preserve">DA (46% to 50%) Drawn Statement  </v>
      </c>
      <c r="B926" s="148"/>
      <c r="C926" s="148"/>
      <c r="D926" s="148"/>
      <c r="E926" s="148"/>
      <c r="F926" s="148"/>
      <c r="G926" s="148"/>
      <c r="H926" s="148"/>
      <c r="I926" s="148"/>
      <c r="J926" s="148"/>
      <c r="K926" s="148"/>
      <c r="L926" s="148"/>
      <c r="M926" s="148"/>
      <c r="N926" s="148"/>
      <c r="O926" s="148"/>
      <c r="P926" s="148"/>
      <c r="Q926" s="148"/>
      <c r="R926" s="148"/>
      <c r="S926" s="148"/>
      <c r="W926" s="4">
        <f>IF(ISNA(VLOOKUP($Y$3,Master!A$8:N$127,4,FALSE)),"",VLOOKUP($Y$3,Master!A$8:AH$127,4,FALSE))</f>
        <v>2</v>
      </c>
      <c r="X926" s="4" t="str">
        <f>IF(ISNA(VLOOKUP($Y$3,Master!A$8:N$127,6,FALSE)),"",VLOOKUP($Y$3,Master!A$8:AH$127,6,FALSE))</f>
        <v>GPF-2004</v>
      </c>
      <c r="Y926" s="4" t="s">
        <v>45</v>
      </c>
      <c r="Z926" s="4" t="s">
        <v>18</v>
      </c>
      <c r="AA926" s="4" t="str">
        <f>IF(ISNA(VLOOKUP(Y928,Master!A$8:N$127,7,FALSE)),"",VLOOKUP(Y928,Master!A$8:AH$127,7,FALSE))</f>
        <v/>
      </c>
    </row>
    <row r="927" spans="1:27" ht="18">
      <c r="A927" s="131" t="str">
        <f>IF(AND(Master!C853=""),"",CONCATENATE("Office Of  ",Master!C853))</f>
        <v/>
      </c>
      <c r="B927" s="131"/>
      <c r="C927" s="131"/>
      <c r="D927" s="131"/>
      <c r="E927" s="131"/>
      <c r="F927" s="131"/>
      <c r="G927" s="131"/>
      <c r="H927" s="131"/>
      <c r="I927" s="131"/>
      <c r="J927" s="131"/>
      <c r="K927" s="131"/>
      <c r="L927" s="131"/>
      <c r="M927" s="131"/>
      <c r="N927" s="131"/>
      <c r="O927" s="131"/>
      <c r="P927" s="131"/>
      <c r="Q927" s="131"/>
      <c r="R927" s="131"/>
      <c r="S927" s="131"/>
      <c r="X927" s="4">
        <f>IF(ISNA(VLOOKUP($Y$3,Master!A$8:N$127,8,FALSE)),"",VLOOKUP($Y$3,Master!A$8:AH$127,8,FALSE))</f>
        <v>45292</v>
      </c>
      <c r="Y927" s="4" t="s">
        <v>43</v>
      </c>
    </row>
    <row r="928" spans="1:27" ht="18.75">
      <c r="E928" s="133" t="s">
        <v>10</v>
      </c>
      <c r="F928" s="133"/>
      <c r="G928" s="133"/>
      <c r="H928" s="133"/>
      <c r="I928" s="133"/>
      <c r="J928" s="132" t="str">
        <f>IF(ISNA(VLOOKUP(Y928,Master!A$8:N$127,2,FALSE)),"",VLOOKUP(Y928,Master!A$8:AH$127,2,FALSE))</f>
        <v/>
      </c>
      <c r="K928" s="132"/>
      <c r="L928" s="132"/>
      <c r="M928" s="132"/>
      <c r="N928" s="132"/>
      <c r="O928" s="60" t="s">
        <v>31</v>
      </c>
      <c r="P928" s="132" t="str">
        <f>IF(ISNA(VLOOKUP(Y928,Master!A$8:N$127,3,FALSE)),"",VLOOKUP(Y928,Master!A$8:AH$127,3,FALSE))</f>
        <v/>
      </c>
      <c r="Q928" s="132"/>
      <c r="R928" s="132"/>
      <c r="S928" s="132"/>
      <c r="X928" s="61" t="s">
        <v>49</v>
      </c>
      <c r="Y928" s="64">
        <v>76</v>
      </c>
    </row>
    <row r="929" spans="1:25" ht="8.25" customHeight="1">
      <c r="E929" s="19"/>
      <c r="F929" s="52"/>
      <c r="G929" s="22"/>
      <c r="H929" s="22"/>
      <c r="I929" s="22"/>
      <c r="J929" s="5"/>
      <c r="K929" s="5"/>
      <c r="L929" s="5"/>
      <c r="M929" s="5"/>
      <c r="N929" s="5"/>
      <c r="O929" s="6"/>
      <c r="P929" s="6"/>
    </row>
    <row r="930" spans="1:25" ht="24.75" customHeight="1">
      <c r="A930" s="157" t="s">
        <v>0</v>
      </c>
      <c r="B930" s="158" t="s">
        <v>3</v>
      </c>
      <c r="C930" s="159" t="s">
        <v>5</v>
      </c>
      <c r="D930" s="159"/>
      <c r="E930" s="159"/>
      <c r="F930" s="159"/>
      <c r="G930" s="159" t="s">
        <v>6</v>
      </c>
      <c r="H930" s="159"/>
      <c r="I930" s="159"/>
      <c r="J930" s="159"/>
      <c r="K930" s="159" t="s">
        <v>7</v>
      </c>
      <c r="L930" s="159"/>
      <c r="M930" s="159"/>
      <c r="N930" s="159"/>
      <c r="O930" s="149" t="s">
        <v>8</v>
      </c>
      <c r="P930" s="150"/>
      <c r="Q930" s="151"/>
      <c r="R930" s="162" t="s">
        <v>54</v>
      </c>
      <c r="S930" s="162" t="s">
        <v>40</v>
      </c>
    </row>
    <row r="931" spans="1:25" ht="69" customHeight="1">
      <c r="A931" s="157"/>
      <c r="B931" s="158"/>
      <c r="C931" s="54" t="s">
        <v>29</v>
      </c>
      <c r="D931" s="55" t="s">
        <v>1</v>
      </c>
      <c r="E931" s="56" t="s">
        <v>2</v>
      </c>
      <c r="F931" s="54" t="s">
        <v>46</v>
      </c>
      <c r="G931" s="54" t="s">
        <v>29</v>
      </c>
      <c r="H931" s="55" t="s">
        <v>1</v>
      </c>
      <c r="I931" s="56" t="s">
        <v>2</v>
      </c>
      <c r="J931" s="54" t="s">
        <v>47</v>
      </c>
      <c r="K931" s="54" t="s">
        <v>4</v>
      </c>
      <c r="L931" s="55" t="s">
        <v>1</v>
      </c>
      <c r="M931" s="56" t="s">
        <v>2</v>
      </c>
      <c r="N931" s="57" t="s">
        <v>48</v>
      </c>
      <c r="O931" s="53" t="s">
        <v>69</v>
      </c>
      <c r="P931" s="65" t="s">
        <v>41</v>
      </c>
      <c r="Q931" s="57" t="s">
        <v>53</v>
      </c>
      <c r="R931" s="162"/>
      <c r="S931" s="162"/>
    </row>
    <row r="932" spans="1:25" ht="18" customHeight="1">
      <c r="A932" s="7">
        <v>1</v>
      </c>
      <c r="B932" s="7">
        <v>2</v>
      </c>
      <c r="C932" s="7">
        <v>3</v>
      </c>
      <c r="D932" s="7">
        <v>4</v>
      </c>
      <c r="E932" s="7">
        <v>5</v>
      </c>
      <c r="F932" s="7">
        <v>6</v>
      </c>
      <c r="G932" s="7">
        <v>7</v>
      </c>
      <c r="H932" s="7">
        <v>8</v>
      </c>
      <c r="I932" s="7">
        <v>9</v>
      </c>
      <c r="J932" s="7">
        <v>10</v>
      </c>
      <c r="K932" s="7">
        <v>11</v>
      </c>
      <c r="L932" s="7">
        <v>12</v>
      </c>
      <c r="M932" s="7">
        <v>13</v>
      </c>
      <c r="N932" s="7">
        <v>14</v>
      </c>
      <c r="O932" s="7">
        <v>15</v>
      </c>
      <c r="P932" s="7">
        <v>17</v>
      </c>
      <c r="Q932" s="7">
        <v>18</v>
      </c>
      <c r="R932" s="7">
        <v>19</v>
      </c>
      <c r="S932" s="7">
        <v>20</v>
      </c>
    </row>
    <row r="933" spans="1:25" ht="21" customHeight="1">
      <c r="A933" s="8">
        <v>1</v>
      </c>
      <c r="B933" s="23">
        <v>44562</v>
      </c>
      <c r="C933" s="9" t="str">
        <f>IF(ISNA(VLOOKUP(Y928,Master!A$8:N$127,5,FALSE)),"",VLOOKUP(Y928,Master!A$8:AH$127,5,FALSE))</f>
        <v/>
      </c>
      <c r="D933" s="9" t="str">
        <f>IF(AND(C933=""),"",IF(AND(Y928=""),"",ROUND(C933*Master!C$5%,0)))</f>
        <v/>
      </c>
      <c r="E933" s="9" t="str">
        <f>IF(AND(C933=""),"",IF(AND(Y928=""),"",ROUND(C933*Master!H$5%,0)))</f>
        <v/>
      </c>
      <c r="F933" s="9" t="str">
        <f t="shared" ref="F933" si="1287">IF(AND(C933=""),"",SUM(C933:E933))</f>
        <v/>
      </c>
      <c r="G933" s="9" t="str">
        <f>IF(ISNA(VLOOKUP(Y928,Master!A$8:N$127,5,FALSE)),"",VLOOKUP(Y928,Master!A$8:AH$127,5,FALSE))</f>
        <v/>
      </c>
      <c r="H933" s="9" t="str">
        <f>IF(AND(G933=""),"",IF(AND(Y928=""),"",ROUND(G933*Master!C$4%,0)))</f>
        <v/>
      </c>
      <c r="I933" s="9" t="str">
        <f>IF(AND(G933=""),"",IF(AND(Y928=""),"",ROUND(G933*Master!H$4%,0)))</f>
        <v/>
      </c>
      <c r="J933" s="9" t="str">
        <f t="shared" ref="J933:J934" si="1288">IF(AND(C933=""),"",SUM(G933:I933))</f>
        <v/>
      </c>
      <c r="K933" s="9" t="str">
        <f t="shared" ref="K933:K935" si="1289">IF(AND(C933=""),"",IF(AND(G933=""),"",C933-G933))</f>
        <v/>
      </c>
      <c r="L933" s="9" t="str">
        <f t="shared" ref="L933:L935" si="1290">IF(AND(D933=""),"",IF(AND(H933=""),"",D933-H933))</f>
        <v/>
      </c>
      <c r="M933" s="9" t="str">
        <f t="shared" ref="M933:M934" si="1291">IF(AND(E933=""),"",IF(AND(I933=""),"",E933-I933))</f>
        <v/>
      </c>
      <c r="N933" s="9" t="str">
        <f t="shared" ref="N933:N934" si="1292">IF(AND(F933=""),"",IF(AND(J933=""),"",F933-J933))</f>
        <v/>
      </c>
      <c r="O933" s="9" t="str">
        <f>IF(AND(C933=""),"",N933-P933)</f>
        <v/>
      </c>
      <c r="P933" s="9" t="str">
        <f>IF(AND(Y928=""),"",IF(AND(N933=""),"",ROUND(N933*AA$1%,0)))</f>
        <v/>
      </c>
      <c r="Q933" s="9" t="str">
        <f>IF(AND(Y928=""),"",IF(AND(C933=""),"",IF(AND(O933=""),"",SUM(O933,P933))))</f>
        <v/>
      </c>
      <c r="R933" s="9" t="str">
        <f>IF(AND(N933=""),"",IF(AND(Q933=""),"",N933-Q933))</f>
        <v/>
      </c>
      <c r="S933" s="20"/>
    </row>
    <row r="934" spans="1:25" ht="21" customHeight="1">
      <c r="A934" s="8">
        <v>2</v>
      </c>
      <c r="B934" s="23">
        <v>44593</v>
      </c>
      <c r="C934" s="9" t="str">
        <f>IF(AND(Y928=""),"",C933)</f>
        <v/>
      </c>
      <c r="D934" s="9" t="str">
        <f>IF(AND(C934=""),"",IF(AND(Y928=""),"",ROUND(C934*Master!C$5%,0)))</f>
        <v/>
      </c>
      <c r="E934" s="9" t="str">
        <f>IF(AND(C934=""),"",IF(AND(Y928=""),"",ROUND(C934*Master!H$5%,0)))</f>
        <v/>
      </c>
      <c r="F934" s="9" t="str">
        <f>IF(AND(C934=""),"",SUM(C934:E934))</f>
        <v/>
      </c>
      <c r="G934" s="9" t="str">
        <f>IF(AND(Y928=""),"",G933)</f>
        <v/>
      </c>
      <c r="H934" s="9" t="str">
        <f>IF(AND(G934=""),"",IF(AND(Y928=""),"",ROUND(G934*Master!C$4%,0)))</f>
        <v/>
      </c>
      <c r="I934" s="9" t="str">
        <f>IF(AND(G934=""),"",IF(AND(Y928=""),"",ROUND(G934*Master!H$4%,0)))</f>
        <v/>
      </c>
      <c r="J934" s="9" t="str">
        <f t="shared" si="1288"/>
        <v/>
      </c>
      <c r="K934" s="9" t="str">
        <f t="shared" si="1289"/>
        <v/>
      </c>
      <c r="L934" s="9" t="str">
        <f t="shared" si="1290"/>
        <v/>
      </c>
      <c r="M934" s="9" t="str">
        <f t="shared" si="1291"/>
        <v/>
      </c>
      <c r="N934" s="9" t="str">
        <f t="shared" si="1292"/>
        <v/>
      </c>
      <c r="O934" s="9" t="str">
        <f t="shared" ref="O934:O935" si="1293">IF(AND(C934=""),"",N934-P934)</f>
        <v/>
      </c>
      <c r="P934" s="9" t="str">
        <f>IF(AND(Y928=""),"",IF(AND(N934=""),"",ROUND(N934*AA$1%,0)))</f>
        <v/>
      </c>
      <c r="Q934" s="9" t="str">
        <f>IF(AND(Y928=""),"",IF(AND(C934=""),"",IF(AND(O934=""),"",SUM(O934,P934))))</f>
        <v/>
      </c>
      <c r="R934" s="9" t="str">
        <f t="shared" ref="R934:R935" si="1294">IF(AND(N934=""),"",IF(AND(Q934=""),"",N934-Q934))</f>
        <v/>
      </c>
      <c r="S934" s="20"/>
    </row>
    <row r="935" spans="1:25" ht="21" customHeight="1">
      <c r="A935" s="8">
        <v>3</v>
      </c>
      <c r="B935" s="23">
        <v>44621</v>
      </c>
      <c r="C935" s="9" t="str">
        <f>IF(AND(Y928=""),"",C934)</f>
        <v/>
      </c>
      <c r="D935" s="9" t="str">
        <f>IF(AND(C935=""),"",IF(AND(Y928=""),"",ROUND(C935*Master!C$5%,0)))</f>
        <v/>
      </c>
      <c r="E935" s="9" t="str">
        <f>IF(AND(C935=""),"",IF(AND(Y928=""),"",ROUND(C935*Master!H$5%,0)))</f>
        <v/>
      </c>
      <c r="F935" s="9" t="str">
        <f t="shared" ref="F935" si="1295">IF(AND(C935=""),"",SUM(C935:E935))</f>
        <v/>
      </c>
      <c r="G935" s="9" t="str">
        <f>IF(AND(Y928=""),"",G934)</f>
        <v/>
      </c>
      <c r="H935" s="9" t="str">
        <f>IF(AND(G935=""),"",IF(AND(Y928=""),"",ROUND(G935*Master!C$4%,0)))</f>
        <v/>
      </c>
      <c r="I935" s="9" t="str">
        <f>IF(AND(G935=""),"",IF(AND(Y928=""),"",ROUND(G935*Master!H$4%,0)))</f>
        <v/>
      </c>
      <c r="J935" s="9" t="str">
        <f>IF(AND(C935=""),"",SUM(G935:I935))</f>
        <v/>
      </c>
      <c r="K935" s="9" t="str">
        <f t="shared" si="1289"/>
        <v/>
      </c>
      <c r="L935" s="9" t="str">
        <f t="shared" si="1290"/>
        <v/>
      </c>
      <c r="M935" s="9" t="str">
        <f>IF(AND(E935=""),"",IF(AND(I935=""),"",E935-I935))</f>
        <v/>
      </c>
      <c r="N935" s="9" t="str">
        <f>IF(AND(F935=""),"",IF(AND(J935=""),"",F935-J935))</f>
        <v/>
      </c>
      <c r="O935" s="9" t="str">
        <f t="shared" si="1293"/>
        <v/>
      </c>
      <c r="P935" s="9" t="str">
        <f>IF(AND(Y928=""),"",IF(AND(N935=""),"",ROUND(N935*AA$1%,0)))</f>
        <v/>
      </c>
      <c r="Q935" s="9" t="str">
        <f>IF(AND(Y928=""),"",IF(AND(C935=""),"",IF(AND(O935=""),"",SUM(O935,P935))))</f>
        <v/>
      </c>
      <c r="R935" s="9" t="str">
        <f t="shared" si="1294"/>
        <v/>
      </c>
      <c r="S935" s="20"/>
    </row>
    <row r="936" spans="1:25" ht="23.25" customHeight="1">
      <c r="A936" s="153" t="s">
        <v>9</v>
      </c>
      <c r="B936" s="154"/>
      <c r="C936" s="63">
        <f>IF(AND(Y928=""),"",SUM(C933:C935))</f>
        <v>0</v>
      </c>
      <c r="D936" s="63">
        <f>IF(AND(Y928=""),"",SUM(D933:D935))</f>
        <v>0</v>
      </c>
      <c r="E936" s="63">
        <f>IF(AND(Y928=""),"",SUM(E933:E935))</f>
        <v>0</v>
      </c>
      <c r="F936" s="63">
        <f>IF(AND(Y928=""),"",SUM(F933:F935))</f>
        <v>0</v>
      </c>
      <c r="G936" s="63">
        <f>IF(AND(Y928=""),"",SUM(G933:G935))</f>
        <v>0</v>
      </c>
      <c r="H936" s="63">
        <f>IF(AND(Y928=""),"",SUM(H933:H935))</f>
        <v>0</v>
      </c>
      <c r="I936" s="63">
        <f>IF(AND(Y928=""),"",SUM(I933:I935))</f>
        <v>0</v>
      </c>
      <c r="J936" s="63">
        <f>IF(AND(Y928=""),"",SUM(J933:J935))</f>
        <v>0</v>
      </c>
      <c r="K936" s="63">
        <f>IF(AND(Y928=""),"",SUM(K933:K935))</f>
        <v>0</v>
      </c>
      <c r="L936" s="63">
        <f>IF(AND(Y928=""),"",SUM(L933:L935))</f>
        <v>0</v>
      </c>
      <c r="M936" s="63">
        <f>IF(AND(Y928=""),"",SUM(M933:M935))</f>
        <v>0</v>
      </c>
      <c r="N936" s="63">
        <f>IF(AND(Y928=""),"",SUM(N933:N935))</f>
        <v>0</v>
      </c>
      <c r="O936" s="63">
        <f>IF(AND(Y928=""),"",SUM(O933:O935))</f>
        <v>0</v>
      </c>
      <c r="P936" s="63">
        <f>IF(AND(Y928=""),"",SUM(P933:P935))</f>
        <v>0</v>
      </c>
      <c r="Q936" s="63">
        <f>IF(AND(Y928=""),"",SUM(Q933:Q935))</f>
        <v>0</v>
      </c>
      <c r="R936" s="63">
        <f>IF(AND(Y928=""),"",SUM(R933:R935))</f>
        <v>0</v>
      </c>
      <c r="S936" s="49"/>
    </row>
    <row r="937" spans="1:25" ht="10.5" customHeight="1">
      <c r="A937" s="73"/>
      <c r="B937" s="73"/>
      <c r="C937" s="74"/>
      <c r="D937" s="74"/>
      <c r="E937" s="74"/>
      <c r="F937" s="74"/>
      <c r="G937" s="74"/>
      <c r="H937" s="74"/>
      <c r="I937" s="74"/>
      <c r="J937" s="74"/>
      <c r="K937" s="74"/>
      <c r="L937" s="74"/>
      <c r="M937" s="74"/>
      <c r="N937" s="74"/>
      <c r="O937" s="74"/>
      <c r="P937" s="74"/>
      <c r="Q937" s="74"/>
      <c r="R937" s="74"/>
      <c r="S937" s="75"/>
    </row>
    <row r="938" spans="1:25" ht="23.25" customHeight="1">
      <c r="E938" s="133" t="s">
        <v>10</v>
      </c>
      <c r="F938" s="133"/>
      <c r="G938" s="133"/>
      <c r="H938" s="133"/>
      <c r="I938" s="133"/>
      <c r="J938" s="132" t="str">
        <f>IF(ISNA(VLOOKUP(Y940,Master!A$8:N$127,2,FALSE)),"",VLOOKUP(Y940,Master!A$8:AH$127,2,FALSE))</f>
        <v/>
      </c>
      <c r="K938" s="132"/>
      <c r="L938" s="132"/>
      <c r="M938" s="132"/>
      <c r="N938" s="132"/>
      <c r="O938" s="60" t="s">
        <v>31</v>
      </c>
      <c r="P938" s="132" t="str">
        <f>IF(ISNA(VLOOKUP(Y940,Master!A$8:N$127,3,FALSE)),"",VLOOKUP(Y940,Master!A$8:AH$127,3,FALSE))</f>
        <v/>
      </c>
      <c r="Q938" s="132"/>
      <c r="R938" s="132"/>
      <c r="S938" s="132"/>
    </row>
    <row r="939" spans="1:25" ht="9" customHeight="1">
      <c r="E939" s="19"/>
      <c r="F939" s="52"/>
      <c r="G939" s="22"/>
      <c r="H939" s="22"/>
      <c r="I939" s="22"/>
      <c r="J939" s="5"/>
      <c r="K939" s="5"/>
      <c r="L939" s="5"/>
      <c r="M939" s="5"/>
      <c r="N939" s="5"/>
      <c r="O939" s="6"/>
      <c r="P939" s="6"/>
    </row>
    <row r="940" spans="1:25" ht="21" customHeight="1">
      <c r="A940" s="8">
        <v>1</v>
      </c>
      <c r="B940" s="23">
        <v>44562</v>
      </c>
      <c r="C940" s="9" t="str">
        <f>IF(ISNA(VLOOKUP(Y940,Master!A$8:N$127,5,FALSE)),"",VLOOKUP(Y940,Master!A$8:AH$127,5,FALSE))</f>
        <v/>
      </c>
      <c r="D940" s="9" t="str">
        <f>IF(AND(C940=""),"",IF(AND(Y940=""),"",ROUND(C940*Master!C$5%,0)))</f>
        <v/>
      </c>
      <c r="E940" s="9" t="str">
        <f>IF(AND(C940=""),"",IF(AND(Y940=""),"",ROUND(C940*Master!H$5%,0)))</f>
        <v/>
      </c>
      <c r="F940" s="9" t="str">
        <f t="shared" ref="F940:F942" si="1296">IF(AND(C940=""),"",SUM(C940:E940))</f>
        <v/>
      </c>
      <c r="G940" s="9" t="str">
        <f>IF(ISNA(VLOOKUP(Y940,Master!A$8:N$127,5,FALSE)),"",VLOOKUP(Y940,Master!A$8:AH$127,5,FALSE))</f>
        <v/>
      </c>
      <c r="H940" s="9" t="str">
        <f>IF(AND(G940=""),"",IF(AND(Y940=""),"",ROUND(G940*Master!C$4%,0)))</f>
        <v/>
      </c>
      <c r="I940" s="9" t="str">
        <f>IF(AND(G940=""),"",IF(AND(Y940=""),"",ROUND(G940*Master!H$4%,0)))</f>
        <v/>
      </c>
      <c r="J940" s="9" t="str">
        <f t="shared" ref="J940:J942" si="1297">IF(AND(C940=""),"",SUM(G940:I940))</f>
        <v/>
      </c>
      <c r="K940" s="9" t="str">
        <f t="shared" ref="K940" si="1298">IF(AND(C940=""),"",IF(AND(G940=""),"",C940-G940))</f>
        <v/>
      </c>
      <c r="L940" s="9" t="str">
        <f>IF(AND(D940=""),"",IF(AND(H940=""),"",D940-H940))</f>
        <v/>
      </c>
      <c r="M940" s="9" t="str">
        <f t="shared" ref="M940:M942" si="1299">IF(AND(E940=""),"",IF(AND(I940=""),"",E940-I940))</f>
        <v/>
      </c>
      <c r="N940" s="9" t="str">
        <f t="shared" ref="N940:N942" si="1300">IF(AND(F940=""),"",IF(AND(J940=""),"",F940-J940))</f>
        <v/>
      </c>
      <c r="O940" s="9" t="str">
        <f>IF(AND(C940=""),"",N940-P940)</f>
        <v/>
      </c>
      <c r="P940" s="9" t="str">
        <f>IF(AND(Y940=""),"",IF(AND(N940=""),"",ROUND(N940*X$17%,0)))</f>
        <v/>
      </c>
      <c r="Q940" s="9" t="str">
        <f>IF(AND(Y940=""),"",IF(AND(C940=""),"",IF(AND(O940=""),"",SUM(O940,P940))))</f>
        <v/>
      </c>
      <c r="R940" s="9" t="str">
        <f>IF(AND(N940=""),"",IF(AND(Q940=""),"",N940-Q940))</f>
        <v/>
      </c>
      <c r="S940" s="20"/>
      <c r="X940" s="61" t="s">
        <v>49</v>
      </c>
      <c r="Y940" s="64">
        <v>77</v>
      </c>
    </row>
    <row r="941" spans="1:25" ht="21" customHeight="1">
      <c r="A941" s="8">
        <v>2</v>
      </c>
      <c r="B941" s="23">
        <v>44593</v>
      </c>
      <c r="C941" s="9" t="str">
        <f>IF(AND(Y940=""),"",C940)</f>
        <v/>
      </c>
      <c r="D941" s="9" t="str">
        <f>IF(AND(C941=""),"",IF(AND(Y940=""),"",ROUND(C941*Master!C$5%,0)))</f>
        <v/>
      </c>
      <c r="E941" s="9" t="str">
        <f>IF(AND(C941=""),"",IF(AND(Y940=""),"",ROUND(C941*Master!H$5%,0)))</f>
        <v/>
      </c>
      <c r="F941" s="9" t="str">
        <f t="shared" si="1296"/>
        <v/>
      </c>
      <c r="G941" s="9" t="str">
        <f>IF(AND(Y940=""),"",G940)</f>
        <v/>
      </c>
      <c r="H941" s="9" t="str">
        <f>IF(AND(G941=""),"",IF(AND(Y940=""),"",ROUND(G941*Master!C$4%,0)))</f>
        <v/>
      </c>
      <c r="I941" s="9" t="str">
        <f>IF(AND(G941=""),"",IF(AND(Y940=""),"",ROUND(G941*Master!H$4%,0)))</f>
        <v/>
      </c>
      <c r="J941" s="9" t="str">
        <f t="shared" si="1297"/>
        <v/>
      </c>
      <c r="K941" s="9" t="str">
        <f>IF(AND(C941=""),"",IF(AND(G941=""),"",C941-G941))</f>
        <v/>
      </c>
      <c r="L941" s="9" t="str">
        <f t="shared" ref="L941:L942" si="1301">IF(AND(D941=""),"",IF(AND(H941=""),"",D941-H941))</f>
        <v/>
      </c>
      <c r="M941" s="9" t="str">
        <f t="shared" si="1299"/>
        <v/>
      </c>
      <c r="N941" s="9" t="str">
        <f t="shared" si="1300"/>
        <v/>
      </c>
      <c r="O941" s="9" t="str">
        <f t="shared" ref="O941:O942" si="1302">IF(AND(C941=""),"",N941-P941)</f>
        <v/>
      </c>
      <c r="P941" s="9" t="str">
        <f>IF(AND(Y940=""),"",IF(AND(N941=""),"",ROUND(N941*X$17%,0)))</f>
        <v/>
      </c>
      <c r="Q941" s="9" t="str">
        <f>IF(AND(Y940=""),"",IF(AND(C941=""),"",IF(AND(O941=""),"",SUM(O941,P941))))</f>
        <v/>
      </c>
      <c r="R941" s="9" t="str">
        <f t="shared" ref="R941:R942" si="1303">IF(AND(N941=""),"",IF(AND(Q941=""),"",N941-Q941))</f>
        <v/>
      </c>
      <c r="S941" s="20"/>
      <c r="X941" s="4" t="str">
        <f>IF(ISNA(VLOOKUP(Y940,Master!A$8:N$127,7,FALSE)),"",VLOOKUP(Y940,Master!A$8:AH$127,7,FALSE))</f>
        <v/>
      </c>
    </row>
    <row r="942" spans="1:25" ht="21" customHeight="1">
      <c r="A942" s="8">
        <v>3</v>
      </c>
      <c r="B942" s="23">
        <v>44621</v>
      </c>
      <c r="C942" s="9" t="str">
        <f>IF(AND(Y940=""),"",C941)</f>
        <v/>
      </c>
      <c r="D942" s="9" t="str">
        <f>IF(AND(C942=""),"",IF(AND(Y940=""),"",ROUND(C942*Master!C$5%,0)))</f>
        <v/>
      </c>
      <c r="E942" s="9" t="str">
        <f>IF(AND(C942=""),"",IF(AND(Y940=""),"",ROUND(C942*Master!H$5%,0)))</f>
        <v/>
      </c>
      <c r="F942" s="9" t="str">
        <f t="shared" si="1296"/>
        <v/>
      </c>
      <c r="G942" s="9" t="str">
        <f>IF(AND(Y940=""),"",G941)</f>
        <v/>
      </c>
      <c r="H942" s="9" t="str">
        <f>IF(AND(G942=""),"",IF(AND(Y940=""),"",ROUND(G942*Master!C$4%,0)))</f>
        <v/>
      </c>
      <c r="I942" s="9" t="str">
        <f>IF(AND(G942=""),"",IF(AND(Y940=""),"",ROUND(G942*Master!H$4%,0)))</f>
        <v/>
      </c>
      <c r="J942" s="9" t="str">
        <f t="shared" si="1297"/>
        <v/>
      </c>
      <c r="K942" s="9" t="str">
        <f t="shared" ref="K942" si="1304">IF(AND(C942=""),"",IF(AND(G942=""),"",C942-G942))</f>
        <v/>
      </c>
      <c r="L942" s="9" t="str">
        <f t="shared" si="1301"/>
        <v/>
      </c>
      <c r="M942" s="9" t="str">
        <f t="shared" si="1299"/>
        <v/>
      </c>
      <c r="N942" s="9" t="str">
        <f t="shared" si="1300"/>
        <v/>
      </c>
      <c r="O942" s="9" t="str">
        <f t="shared" si="1302"/>
        <v/>
      </c>
      <c r="P942" s="9" t="str">
        <f>IF(AND(Y940=""),"",IF(AND(N942=""),"",ROUND(N942*X$17%,0)))</f>
        <v/>
      </c>
      <c r="Q942" s="9" t="str">
        <f>IF(AND(Y940=""),"",IF(AND(C942=""),"",IF(AND(O942=""),"",SUM(O942,P942))))</f>
        <v/>
      </c>
      <c r="R942" s="9" t="str">
        <f t="shared" si="1303"/>
        <v/>
      </c>
      <c r="S942" s="20"/>
    </row>
    <row r="943" spans="1:25" ht="30.75" customHeight="1">
      <c r="A943" s="153" t="s">
        <v>9</v>
      </c>
      <c r="B943" s="154"/>
      <c r="C943" s="63">
        <f>IF(AND(Y940=""),"",SUM(C940:C942))</f>
        <v>0</v>
      </c>
      <c r="D943" s="63">
        <f>IF(AND(Y940=""),"",SUM(D940:D942))</f>
        <v>0</v>
      </c>
      <c r="E943" s="63">
        <f>IF(AND(Y940=""),"",SUM(E940:E942))</f>
        <v>0</v>
      </c>
      <c r="F943" s="63">
        <f>IF(AND(Y940=""),"",SUM(F940:F942))</f>
        <v>0</v>
      </c>
      <c r="G943" s="63">
        <f>IF(AND(Y940=""),"",SUM(G940:G942))</f>
        <v>0</v>
      </c>
      <c r="H943" s="63">
        <f>IF(AND(Y940=""),"",SUM(H940:H942))</f>
        <v>0</v>
      </c>
      <c r="I943" s="63">
        <f>IF(AND(Y940=""),"",SUM(I940:I942))</f>
        <v>0</v>
      </c>
      <c r="J943" s="63">
        <f>IF(AND(Y940=""),"",SUM(J940:J942))</f>
        <v>0</v>
      </c>
      <c r="K943" s="63">
        <f>IF(AND(Y940=""),"",SUM(K940:K942))</f>
        <v>0</v>
      </c>
      <c r="L943" s="63">
        <f>IF(AND(Y940=""),"",SUM(L940:L942))</f>
        <v>0</v>
      </c>
      <c r="M943" s="63">
        <f>IF(AND(Y940=""),"",SUM(M940:M942))</f>
        <v>0</v>
      </c>
      <c r="N943" s="63">
        <f>IF(AND(Y940=""),"",SUM(N940:N942))</f>
        <v>0</v>
      </c>
      <c r="O943" s="63">
        <f>IF(AND(Y940=""),"",SUM(O940:O942))</f>
        <v>0</v>
      </c>
      <c r="P943" s="63">
        <f>IF(AND(Y940=""),"",SUM(P940:P942))</f>
        <v>0</v>
      </c>
      <c r="Q943" s="63">
        <f>IF(AND(Y940=""),"",SUM(Q940:Q942))</f>
        <v>0</v>
      </c>
      <c r="R943" s="63">
        <f>IF(AND(Y940=""),"",SUM(R940:R942))</f>
        <v>0</v>
      </c>
      <c r="S943" s="49"/>
    </row>
    <row r="944" spans="1:25" ht="11.25" customHeight="1">
      <c r="A944" s="73"/>
      <c r="B944" s="73"/>
      <c r="C944" s="74"/>
      <c r="D944" s="74"/>
      <c r="E944" s="74"/>
      <c r="F944" s="74"/>
      <c r="G944" s="74"/>
      <c r="H944" s="74"/>
      <c r="I944" s="74"/>
      <c r="J944" s="74"/>
      <c r="K944" s="74"/>
      <c r="L944" s="74"/>
      <c r="M944" s="74"/>
      <c r="N944" s="74"/>
      <c r="O944" s="74"/>
      <c r="P944" s="74"/>
      <c r="Q944" s="74"/>
      <c r="R944" s="74"/>
      <c r="S944" s="75"/>
    </row>
    <row r="945" spans="1:27" ht="23.25" customHeight="1">
      <c r="E945" s="133" t="s">
        <v>10</v>
      </c>
      <c r="F945" s="133"/>
      <c r="G945" s="133"/>
      <c r="H945" s="133"/>
      <c r="I945" s="133"/>
      <c r="J945" s="132" t="str">
        <f>IF(ISNA(VLOOKUP(Y947,Master!A$8:N$127,2,FALSE)),"",VLOOKUP(Y947,Master!A$8:AH$127,2,FALSE))</f>
        <v/>
      </c>
      <c r="K945" s="132"/>
      <c r="L945" s="132"/>
      <c r="M945" s="132"/>
      <c r="N945" s="132"/>
      <c r="O945" s="60" t="s">
        <v>31</v>
      </c>
      <c r="P945" s="132" t="str">
        <f>IF(ISNA(VLOOKUP($Y$431,Master!A$8:N$127,3,FALSE)),"",VLOOKUP($Y$431,Master!A$8:AH$127,3,FALSE))</f>
        <v/>
      </c>
      <c r="Q945" s="132"/>
      <c r="R945" s="132"/>
      <c r="S945" s="132"/>
    </row>
    <row r="946" spans="1:27" ht="9" customHeight="1">
      <c r="E946" s="19"/>
      <c r="F946" s="52"/>
      <c r="G946" s="22"/>
      <c r="H946" s="22"/>
      <c r="I946" s="22"/>
      <c r="J946" s="5"/>
      <c r="K946" s="5"/>
      <c r="L946" s="5"/>
      <c r="M946" s="5"/>
      <c r="N946" s="5"/>
      <c r="O946" s="6"/>
      <c r="P946" s="6"/>
    </row>
    <row r="947" spans="1:27" ht="21" customHeight="1">
      <c r="A947" s="8">
        <v>1</v>
      </c>
      <c r="B947" s="23">
        <v>44562</v>
      </c>
      <c r="C947" s="9" t="str">
        <f>IF(ISNA(VLOOKUP(Y947,Master!A$8:N$127,5,FALSE)),"",VLOOKUP(Y947,Master!A$8:AH$127,5,FALSE))</f>
        <v/>
      </c>
      <c r="D947" s="9" t="str">
        <f>IF(AND(C947=""),"",IF(AND(Y947=""),"",ROUND(C947*Master!C$5%,0)))</f>
        <v/>
      </c>
      <c r="E947" s="9" t="str">
        <f>IF(AND(C947=""),"",IF(AND(Y947=""),"",ROUND(C947*Master!H$5%,0)))</f>
        <v/>
      </c>
      <c r="F947" s="9" t="str">
        <f t="shared" ref="F947:F949" si="1305">IF(AND(C947=""),"",SUM(C947:E947))</f>
        <v/>
      </c>
      <c r="G947" s="9" t="str">
        <f>IF(ISNA(VLOOKUP(Y947,Master!A$8:N$127,5,FALSE)),"",VLOOKUP(Y947,Master!A$8:AH$127,5,FALSE))</f>
        <v/>
      </c>
      <c r="H947" s="9" t="str">
        <f>IF(AND(G947=""),"",IF(AND(Y947=""),"",ROUND(G947*Master!C$4%,0)))</f>
        <v/>
      </c>
      <c r="I947" s="9" t="str">
        <f>IF(AND(G947=""),"",IF(AND(Y947=""),"",ROUND(G947*Master!H$4%,0)))</f>
        <v/>
      </c>
      <c r="J947" s="9" t="str">
        <f t="shared" ref="J947:J949" si="1306">IF(AND(C947=""),"",SUM(G947:I947))</f>
        <v/>
      </c>
      <c r="K947" s="9" t="str">
        <f t="shared" ref="K947:K949" si="1307">IF(AND(C947=""),"",IF(AND(G947=""),"",C947-G947))</f>
        <v/>
      </c>
      <c r="L947" s="9" t="str">
        <f t="shared" ref="L947:L949" si="1308">IF(AND(D947=""),"",IF(AND(H947=""),"",D947-H947))</f>
        <v/>
      </c>
      <c r="M947" s="9" t="str">
        <f t="shared" ref="M947:M949" si="1309">IF(AND(E947=""),"",IF(AND(I947=""),"",E947-I947))</f>
        <v/>
      </c>
      <c r="N947" s="9" t="str">
        <f t="shared" ref="N947:N949" si="1310">IF(AND(F947=""),"",IF(AND(J947=""),"",F947-J947))</f>
        <v/>
      </c>
      <c r="O947" s="9" t="str">
        <f>IF(AND(C947=""),"",N947-P947)</f>
        <v/>
      </c>
      <c r="P947" s="9" t="str">
        <f>IF(AND(Y947=""),"",IF(AND(N947=""),"",ROUND(N947*AA$1%,0)))</f>
        <v/>
      </c>
      <c r="Q947" s="9" t="str">
        <f>IF(AND(Y947=""),"",IF(AND(C947=""),"",IF(AND(O947=""),"",SUM(O947,P947))))</f>
        <v/>
      </c>
      <c r="R947" s="9" t="str">
        <f>IF(AND(N947=""),"",IF(AND(Q947=""),"",N947-Q947))</f>
        <v/>
      </c>
      <c r="S947" s="20"/>
      <c r="X947" s="61" t="s">
        <v>49</v>
      </c>
      <c r="Y947" s="64">
        <v>78</v>
      </c>
    </row>
    <row r="948" spans="1:27" ht="21" customHeight="1">
      <c r="A948" s="8">
        <v>2</v>
      </c>
      <c r="B948" s="23">
        <v>44593</v>
      </c>
      <c r="C948" s="9" t="str">
        <f>IF(AND(Y947=""),"",C947)</f>
        <v/>
      </c>
      <c r="D948" s="9" t="str">
        <f>IF(AND(C948=""),"",IF(AND(Y947=""),"",ROUND(C948*Master!C$5%,0)))</f>
        <v/>
      </c>
      <c r="E948" s="9" t="str">
        <f>IF(AND(C948=""),"",IF(AND(Y947=""),"",ROUND(C948*Master!H$5%,0)))</f>
        <v/>
      </c>
      <c r="F948" s="9" t="str">
        <f t="shared" si="1305"/>
        <v/>
      </c>
      <c r="G948" s="9" t="str">
        <f>IF(AND(Y947=""),"",G947)</f>
        <v/>
      </c>
      <c r="H948" s="9" t="str">
        <f>IF(AND(G948=""),"",IF(AND(Y947=""),"",ROUND(G948*Master!C$4%,0)))</f>
        <v/>
      </c>
      <c r="I948" s="9" t="str">
        <f>IF(AND(G948=""),"",IF(AND(Y947=""),"",ROUND(G948*Master!H$4%,0)))</f>
        <v/>
      </c>
      <c r="J948" s="9" t="str">
        <f t="shared" si="1306"/>
        <v/>
      </c>
      <c r="K948" s="9" t="str">
        <f t="shared" si="1307"/>
        <v/>
      </c>
      <c r="L948" s="9" t="str">
        <f t="shared" si="1308"/>
        <v/>
      </c>
      <c r="M948" s="9" t="str">
        <f t="shared" si="1309"/>
        <v/>
      </c>
      <c r="N948" s="9" t="str">
        <f t="shared" si="1310"/>
        <v/>
      </c>
      <c r="O948" s="9" t="str">
        <f t="shared" ref="O948:O949" si="1311">IF(AND(C948=""),"",N948-P948)</f>
        <v/>
      </c>
      <c r="P948" s="9" t="str">
        <f>IF(AND(Y947=""),"",IF(AND(N948=""),"",ROUND(N948*AA$1%,0)))</f>
        <v/>
      </c>
      <c r="Q948" s="9" t="str">
        <f>IF(AND(Y947=""),"",IF(AND(C948=""),"",IF(AND(O948=""),"",SUM(O948,P948))))</f>
        <v/>
      </c>
      <c r="R948" s="9" t="str">
        <f t="shared" ref="R948:R949" si="1312">IF(AND(N948=""),"",IF(AND(Q948=""),"",N948-Q948))</f>
        <v/>
      </c>
      <c r="S948" s="20"/>
      <c r="X948" s="4" t="str">
        <f>IF(ISNA(VLOOKUP(Y947,Master!A$8:N$127,7,FALSE)),"",VLOOKUP(Y947,Master!A$8:AH$127,7,FALSE))</f>
        <v/>
      </c>
    </row>
    <row r="949" spans="1:27" ht="21" customHeight="1">
      <c r="A949" s="8">
        <v>3</v>
      </c>
      <c r="B949" s="23">
        <v>44621</v>
      </c>
      <c r="C949" s="9" t="str">
        <f>IF(AND(Y947=""),"",C948)</f>
        <v/>
      </c>
      <c r="D949" s="9" t="str">
        <f>IF(AND(C949=""),"",IF(AND(Y947=""),"",ROUND(C949*Master!C$5%,0)))</f>
        <v/>
      </c>
      <c r="E949" s="9" t="str">
        <f>IF(AND(C949=""),"",IF(AND(Y947=""),"",ROUND(C949*Master!H$5%,0)))</f>
        <v/>
      </c>
      <c r="F949" s="9" t="str">
        <f t="shared" si="1305"/>
        <v/>
      </c>
      <c r="G949" s="9" t="str">
        <f>IF(AND(Y947=""),"",G948)</f>
        <v/>
      </c>
      <c r="H949" s="9" t="str">
        <f>IF(AND(G949=""),"",IF(AND(Y947=""),"",ROUND(G949*Master!C$4%,0)))</f>
        <v/>
      </c>
      <c r="I949" s="9" t="str">
        <f>IF(AND(G949=""),"",IF(AND(Y947=""),"",ROUND(G949*Master!H$4%,0)))</f>
        <v/>
      </c>
      <c r="J949" s="9" t="str">
        <f t="shared" si="1306"/>
        <v/>
      </c>
      <c r="K949" s="9" t="str">
        <f t="shared" si="1307"/>
        <v/>
      </c>
      <c r="L949" s="9" t="str">
        <f t="shared" si="1308"/>
        <v/>
      </c>
      <c r="M949" s="9" t="str">
        <f t="shared" si="1309"/>
        <v/>
      </c>
      <c r="N949" s="9" t="str">
        <f t="shared" si="1310"/>
        <v/>
      </c>
      <c r="O949" s="9" t="str">
        <f t="shared" si="1311"/>
        <v/>
      </c>
      <c r="P949" s="9" t="str">
        <f>IF(AND(Y947=""),"",IF(AND(N949=""),"",ROUND(N949*AA$1%,0)))</f>
        <v/>
      </c>
      <c r="Q949" s="9" t="str">
        <f>IF(AND(Y947=""),"",IF(AND(C949=""),"",IF(AND(O949=""),"",SUM(O949,P949))))</f>
        <v/>
      </c>
      <c r="R949" s="9" t="str">
        <f t="shared" si="1312"/>
        <v/>
      </c>
      <c r="S949" s="20"/>
    </row>
    <row r="950" spans="1:27" ht="30.75" customHeight="1">
      <c r="A950" s="153" t="s">
        <v>9</v>
      </c>
      <c r="B950" s="154"/>
      <c r="C950" s="63">
        <f>IF(AND(Y947=""),"",SUM(C947:C949))</f>
        <v>0</v>
      </c>
      <c r="D950" s="63">
        <f>IF(AND(Y947=""),"",SUM(D947:D949))</f>
        <v>0</v>
      </c>
      <c r="E950" s="63">
        <f>IF(AND(Y947=""),"",SUM(E947:E949))</f>
        <v>0</v>
      </c>
      <c r="F950" s="63">
        <f>IF(AND(Y947=""),"",SUM(F947:F949))</f>
        <v>0</v>
      </c>
      <c r="G950" s="63">
        <f>IF(AND(Y947=""),"",SUM(G947:G949))</f>
        <v>0</v>
      </c>
      <c r="H950" s="63">
        <f>IF(AND(Y947=""),"",SUM(H947:H949))</f>
        <v>0</v>
      </c>
      <c r="I950" s="63">
        <f>IF(AND(Y947=""),"",SUM(I947:I949))</f>
        <v>0</v>
      </c>
      <c r="J950" s="63">
        <f>IF(AND(Y947=""),"",SUM(J947:J949))</f>
        <v>0</v>
      </c>
      <c r="K950" s="63">
        <f>IF(AND(Y947=""),"",SUM(K947:K949))</f>
        <v>0</v>
      </c>
      <c r="L950" s="63">
        <f>IF(AND(Y947=""),"",SUM(L947:L949))</f>
        <v>0</v>
      </c>
      <c r="M950" s="63">
        <f>IF(AND(Y947=""),"",SUM(M947:M949))</f>
        <v>0</v>
      </c>
      <c r="N950" s="63">
        <f>IF(AND(Y947=""),"",SUM(N947:N949))</f>
        <v>0</v>
      </c>
      <c r="O950" s="63">
        <f>IF(AND(Y947=""),"",SUM(O947:O949))</f>
        <v>0</v>
      </c>
      <c r="P950" s="63">
        <f>IF(AND(Y947=""),"",SUM(P947:P949))</f>
        <v>0</v>
      </c>
      <c r="Q950" s="63">
        <f>IF(AND(Y947=""),"",SUM(Q947:Q949))</f>
        <v>0</v>
      </c>
      <c r="R950" s="63">
        <f>IF(AND(Y947=""),"",SUM(R947:R949))</f>
        <v>0</v>
      </c>
      <c r="S950" s="49"/>
    </row>
    <row r="951" spans="1:27" ht="30.75" customHeight="1">
      <c r="A951" s="73"/>
      <c r="B951" s="73"/>
      <c r="C951" s="74"/>
      <c r="D951" s="74"/>
      <c r="E951" s="74"/>
      <c r="F951" s="74"/>
      <c r="G951" s="74"/>
      <c r="H951" s="74"/>
      <c r="I951" s="74"/>
      <c r="J951" s="74"/>
      <c r="K951" s="74"/>
      <c r="L951" s="74"/>
      <c r="M951" s="74"/>
      <c r="N951" s="74"/>
      <c r="O951" s="74"/>
      <c r="P951" s="74"/>
      <c r="Q951" s="74"/>
      <c r="R951" s="74"/>
      <c r="S951" s="75"/>
    </row>
    <row r="952" spans="1:27" ht="18.75">
      <c r="A952" s="21"/>
      <c r="B952" s="58"/>
      <c r="C952" s="58"/>
      <c r="D952" s="58"/>
      <c r="E952" s="58"/>
      <c r="F952" s="58"/>
      <c r="G952" s="58"/>
      <c r="H952" s="59"/>
      <c r="I952" s="59"/>
      <c r="J952" s="59"/>
      <c r="K952" s="66"/>
      <c r="L952" s="66"/>
      <c r="M952" s="66"/>
      <c r="N952" s="66"/>
      <c r="O952" s="138" t="s">
        <v>42</v>
      </c>
      <c r="P952" s="138"/>
      <c r="Q952" s="138"/>
      <c r="R952" s="138"/>
      <c r="S952" s="138"/>
    </row>
    <row r="953" spans="1:27" ht="18.75">
      <c r="A953" s="1"/>
      <c r="B953" s="24" t="s">
        <v>19</v>
      </c>
      <c r="C953" s="139"/>
      <c r="D953" s="139"/>
      <c r="E953" s="139"/>
      <c r="F953" s="139"/>
      <c r="G953" s="139"/>
      <c r="H953" s="25"/>
      <c r="I953" s="143" t="s">
        <v>20</v>
      </c>
      <c r="J953" s="143"/>
      <c r="K953" s="141"/>
      <c r="L953" s="141"/>
      <c r="M953" s="141"/>
      <c r="O953" s="138"/>
      <c r="P953" s="138"/>
      <c r="Q953" s="138"/>
      <c r="R953" s="138"/>
      <c r="S953" s="138"/>
    </row>
    <row r="954" spans="1:27" ht="18.75">
      <c r="A954" s="1"/>
      <c r="B954" s="140" t="s">
        <v>21</v>
      </c>
      <c r="C954" s="140"/>
      <c r="D954" s="140"/>
      <c r="E954" s="140"/>
      <c r="F954" s="140"/>
      <c r="G954" s="140"/>
      <c r="H954" s="140"/>
      <c r="I954" s="27"/>
      <c r="J954" s="26"/>
      <c r="K954" s="26"/>
      <c r="L954" s="26"/>
      <c r="M954" s="26"/>
    </row>
    <row r="955" spans="1:27" ht="18.75">
      <c r="A955" s="22">
        <v>1</v>
      </c>
      <c r="B955" s="142" t="s">
        <v>22</v>
      </c>
      <c r="C955" s="142"/>
      <c r="D955" s="142"/>
      <c r="E955" s="142"/>
      <c r="F955" s="142"/>
      <c r="G955" s="142"/>
      <c r="H955" s="142"/>
      <c r="I955" s="28"/>
      <c r="J955" s="26"/>
      <c r="K955" s="26"/>
      <c r="L955" s="26"/>
      <c r="M955" s="26"/>
    </row>
    <row r="956" spans="1:27" ht="18.75">
      <c r="A956" s="2">
        <v>2</v>
      </c>
      <c r="B956" s="142" t="s">
        <v>23</v>
      </c>
      <c r="C956" s="142"/>
      <c r="D956" s="142"/>
      <c r="E956" s="142"/>
      <c r="F956" s="142"/>
      <c r="G956" s="132"/>
      <c r="H956" s="132"/>
      <c r="I956" s="132"/>
      <c r="J956" s="132"/>
      <c r="K956" s="132"/>
      <c r="L956" s="132"/>
      <c r="M956" s="132"/>
    </row>
    <row r="957" spans="1:27" ht="18.75">
      <c r="A957" s="3">
        <v>3</v>
      </c>
      <c r="B957" s="142" t="s">
        <v>24</v>
      </c>
      <c r="C957" s="142"/>
      <c r="D957" s="142"/>
      <c r="E957" s="29"/>
      <c r="F957" s="28"/>
      <c r="G957" s="28"/>
      <c r="H957" s="30"/>
      <c r="I957" s="31"/>
      <c r="J957" s="26"/>
      <c r="K957" s="26"/>
      <c r="L957" s="26"/>
      <c r="M957" s="26"/>
    </row>
    <row r="958" spans="1:27" ht="15.75">
      <c r="O958" s="138" t="s">
        <v>42</v>
      </c>
      <c r="P958" s="138"/>
      <c r="Q958" s="138"/>
      <c r="R958" s="138"/>
      <c r="S958" s="138"/>
    </row>
    <row r="960" spans="1:27" ht="18" customHeight="1">
      <c r="A960" s="148" t="str">
        <f>A926</f>
        <v xml:space="preserve">DA (46% to 50%) Drawn Statement  </v>
      </c>
      <c r="B960" s="148"/>
      <c r="C960" s="148"/>
      <c r="D960" s="148"/>
      <c r="E960" s="148"/>
      <c r="F960" s="148"/>
      <c r="G960" s="148"/>
      <c r="H960" s="148"/>
      <c r="I960" s="148"/>
      <c r="J960" s="148"/>
      <c r="K960" s="148"/>
      <c r="L960" s="148"/>
      <c r="M960" s="148"/>
      <c r="N960" s="148"/>
      <c r="O960" s="148"/>
      <c r="P960" s="148"/>
      <c r="Q960" s="148"/>
      <c r="R960" s="148"/>
      <c r="S960" s="148"/>
      <c r="W960" s="4">
        <f>IF(ISNA(VLOOKUP($Y$3,Master!A$8:N$127,4,FALSE)),"",VLOOKUP($Y$3,Master!A$8:AH$127,4,FALSE))</f>
        <v>2</v>
      </c>
      <c r="X960" s="4" t="str">
        <f>IF(ISNA(VLOOKUP($Y$3,Master!A$8:N$127,6,FALSE)),"",VLOOKUP($Y$3,Master!A$8:AH$127,6,FALSE))</f>
        <v>GPF-2004</v>
      </c>
      <c r="Y960" s="4" t="s">
        <v>45</v>
      </c>
      <c r="Z960" s="4" t="s">
        <v>18</v>
      </c>
      <c r="AA960" s="4" t="str">
        <f>IF(ISNA(VLOOKUP(Y962,Master!A$8:N$127,7,FALSE)),"",VLOOKUP(Y962,Master!A$8:AH$127,7,FALSE))</f>
        <v/>
      </c>
    </row>
    <row r="961" spans="1:25" ht="18">
      <c r="A961" s="131" t="str">
        <f>IF(AND(Master!C887=""),"",CONCATENATE("Office Of  ",Master!C887))</f>
        <v/>
      </c>
      <c r="B961" s="131"/>
      <c r="C961" s="131"/>
      <c r="D961" s="131"/>
      <c r="E961" s="131"/>
      <c r="F961" s="131"/>
      <c r="G961" s="131"/>
      <c r="H961" s="131"/>
      <c r="I961" s="131"/>
      <c r="J961" s="131"/>
      <c r="K961" s="131"/>
      <c r="L961" s="131"/>
      <c r="M961" s="131"/>
      <c r="N961" s="131"/>
      <c r="O961" s="131"/>
      <c r="P961" s="131"/>
      <c r="Q961" s="131"/>
      <c r="R961" s="131"/>
      <c r="S961" s="131"/>
      <c r="X961" s="4">
        <f>IF(ISNA(VLOOKUP($Y$3,Master!A$8:N$127,8,FALSE)),"",VLOOKUP($Y$3,Master!A$8:AH$127,8,FALSE))</f>
        <v>45292</v>
      </c>
      <c r="Y961" s="4" t="s">
        <v>43</v>
      </c>
    </row>
    <row r="962" spans="1:25" ht="18.75">
      <c r="E962" s="133" t="s">
        <v>10</v>
      </c>
      <c r="F962" s="133"/>
      <c r="G962" s="133"/>
      <c r="H962" s="133"/>
      <c r="I962" s="133"/>
      <c r="J962" s="132" t="str">
        <f>IF(ISNA(VLOOKUP(Y962,Master!A$8:N$127,2,FALSE)),"",VLOOKUP(Y962,Master!A$8:AH$127,2,FALSE))</f>
        <v/>
      </c>
      <c r="K962" s="132"/>
      <c r="L962" s="132"/>
      <c r="M962" s="132"/>
      <c r="N962" s="132"/>
      <c r="O962" s="60" t="s">
        <v>31</v>
      </c>
      <c r="P962" s="132" t="str">
        <f>IF(ISNA(VLOOKUP(Y962,Master!A$8:N$127,3,FALSE)),"",VLOOKUP(Y962,Master!A$8:AH$127,3,FALSE))</f>
        <v/>
      </c>
      <c r="Q962" s="132"/>
      <c r="R962" s="132"/>
      <c r="S962" s="132"/>
      <c r="X962" s="61" t="s">
        <v>49</v>
      </c>
      <c r="Y962" s="64">
        <v>79</v>
      </c>
    </row>
    <row r="963" spans="1:25" ht="8.25" customHeight="1">
      <c r="E963" s="19"/>
      <c r="F963" s="52"/>
      <c r="G963" s="22"/>
      <c r="H963" s="22"/>
      <c r="I963" s="22"/>
      <c r="J963" s="5"/>
      <c r="K963" s="5"/>
      <c r="L963" s="5"/>
      <c r="M963" s="5"/>
      <c r="N963" s="5"/>
      <c r="O963" s="6"/>
      <c r="P963" s="6"/>
    </row>
    <row r="964" spans="1:25" ht="24.75" customHeight="1">
      <c r="A964" s="157" t="s">
        <v>0</v>
      </c>
      <c r="B964" s="158" t="s">
        <v>3</v>
      </c>
      <c r="C964" s="159" t="s">
        <v>5</v>
      </c>
      <c r="D964" s="159"/>
      <c r="E964" s="159"/>
      <c r="F964" s="159"/>
      <c r="G964" s="159" t="s">
        <v>6</v>
      </c>
      <c r="H964" s="159"/>
      <c r="I964" s="159"/>
      <c r="J964" s="159"/>
      <c r="K964" s="159" t="s">
        <v>7</v>
      </c>
      <c r="L964" s="159"/>
      <c r="M964" s="159"/>
      <c r="N964" s="159"/>
      <c r="O964" s="149" t="s">
        <v>8</v>
      </c>
      <c r="P964" s="150"/>
      <c r="Q964" s="151"/>
      <c r="R964" s="162" t="s">
        <v>54</v>
      </c>
      <c r="S964" s="162" t="s">
        <v>40</v>
      </c>
    </row>
    <row r="965" spans="1:25" ht="69" customHeight="1">
      <c r="A965" s="157"/>
      <c r="B965" s="158"/>
      <c r="C965" s="54" t="s">
        <v>29</v>
      </c>
      <c r="D965" s="55" t="s">
        <v>1</v>
      </c>
      <c r="E965" s="56" t="s">
        <v>2</v>
      </c>
      <c r="F965" s="54" t="s">
        <v>46</v>
      </c>
      <c r="G965" s="54" t="s">
        <v>29</v>
      </c>
      <c r="H965" s="55" t="s">
        <v>1</v>
      </c>
      <c r="I965" s="56" t="s">
        <v>2</v>
      </c>
      <c r="J965" s="54" t="s">
        <v>47</v>
      </c>
      <c r="K965" s="54" t="s">
        <v>4</v>
      </c>
      <c r="L965" s="55" t="s">
        <v>1</v>
      </c>
      <c r="M965" s="56" t="s">
        <v>2</v>
      </c>
      <c r="N965" s="57" t="s">
        <v>48</v>
      </c>
      <c r="O965" s="53" t="s">
        <v>69</v>
      </c>
      <c r="P965" s="65" t="s">
        <v>41</v>
      </c>
      <c r="Q965" s="57" t="s">
        <v>53</v>
      </c>
      <c r="R965" s="162"/>
      <c r="S965" s="162"/>
    </row>
    <row r="966" spans="1:25" ht="18" customHeight="1">
      <c r="A966" s="7">
        <v>1</v>
      </c>
      <c r="B966" s="7">
        <v>2</v>
      </c>
      <c r="C966" s="7">
        <v>3</v>
      </c>
      <c r="D966" s="7">
        <v>4</v>
      </c>
      <c r="E966" s="7">
        <v>5</v>
      </c>
      <c r="F966" s="7">
        <v>6</v>
      </c>
      <c r="G966" s="7">
        <v>7</v>
      </c>
      <c r="H966" s="7">
        <v>8</v>
      </c>
      <c r="I966" s="7">
        <v>9</v>
      </c>
      <c r="J966" s="7">
        <v>10</v>
      </c>
      <c r="K966" s="7">
        <v>11</v>
      </c>
      <c r="L966" s="7">
        <v>12</v>
      </c>
      <c r="M966" s="7">
        <v>13</v>
      </c>
      <c r="N966" s="7">
        <v>14</v>
      </c>
      <c r="O966" s="7">
        <v>15</v>
      </c>
      <c r="P966" s="7">
        <v>17</v>
      </c>
      <c r="Q966" s="7">
        <v>18</v>
      </c>
      <c r="R966" s="7">
        <v>19</v>
      </c>
      <c r="S966" s="7">
        <v>20</v>
      </c>
    </row>
    <row r="967" spans="1:25" ht="21" customHeight="1">
      <c r="A967" s="8">
        <v>1</v>
      </c>
      <c r="B967" s="23">
        <v>44562</v>
      </c>
      <c r="C967" s="9" t="str">
        <f>IF(ISNA(VLOOKUP(Y962,Master!A$8:N$127,5,FALSE)),"",VLOOKUP(Y962,Master!A$8:AH$127,5,FALSE))</f>
        <v/>
      </c>
      <c r="D967" s="9" t="str">
        <f>IF(AND(C967=""),"",IF(AND(Y962=""),"",ROUND(C967*Master!C$5%,0)))</f>
        <v/>
      </c>
      <c r="E967" s="9" t="str">
        <f>IF(AND(C967=""),"",IF(AND(Y962=""),"",ROUND(C967*Master!H$5%,0)))</f>
        <v/>
      </c>
      <c r="F967" s="9" t="str">
        <f t="shared" ref="F967" si="1313">IF(AND(C967=""),"",SUM(C967:E967))</f>
        <v/>
      </c>
      <c r="G967" s="9" t="str">
        <f>IF(ISNA(VLOOKUP(Y962,Master!A$8:N$127,5,FALSE)),"",VLOOKUP(Y962,Master!A$8:AH$127,5,FALSE))</f>
        <v/>
      </c>
      <c r="H967" s="9" t="str">
        <f>IF(AND(G967=""),"",IF(AND(Y962=""),"",ROUND(G967*Master!C$4%,0)))</f>
        <v/>
      </c>
      <c r="I967" s="9" t="str">
        <f>IF(AND(G967=""),"",IF(AND(Y962=""),"",ROUND(G967*Master!H$4%,0)))</f>
        <v/>
      </c>
      <c r="J967" s="9" t="str">
        <f t="shared" ref="J967:J968" si="1314">IF(AND(C967=""),"",SUM(G967:I967))</f>
        <v/>
      </c>
      <c r="K967" s="9" t="str">
        <f t="shared" ref="K967:K969" si="1315">IF(AND(C967=""),"",IF(AND(G967=""),"",C967-G967))</f>
        <v/>
      </c>
      <c r="L967" s="9" t="str">
        <f t="shared" ref="L967:L969" si="1316">IF(AND(D967=""),"",IF(AND(H967=""),"",D967-H967))</f>
        <v/>
      </c>
      <c r="M967" s="9" t="str">
        <f t="shared" ref="M967:M968" si="1317">IF(AND(E967=""),"",IF(AND(I967=""),"",E967-I967))</f>
        <v/>
      </c>
      <c r="N967" s="9" t="str">
        <f t="shared" ref="N967:N968" si="1318">IF(AND(F967=""),"",IF(AND(J967=""),"",F967-J967))</f>
        <v/>
      </c>
      <c r="O967" s="9" t="str">
        <f>IF(AND(C967=""),"",N967-P967)</f>
        <v/>
      </c>
      <c r="P967" s="9" t="str">
        <f>IF(AND(Y962=""),"",IF(AND(N967=""),"",ROUND(N967*AA$1%,0)))</f>
        <v/>
      </c>
      <c r="Q967" s="9" t="str">
        <f>IF(AND(Y962=""),"",IF(AND(C967=""),"",IF(AND(O967=""),"",SUM(O967,P967))))</f>
        <v/>
      </c>
      <c r="R967" s="9" t="str">
        <f>IF(AND(N967=""),"",IF(AND(Q967=""),"",N967-Q967))</f>
        <v/>
      </c>
      <c r="S967" s="20"/>
    </row>
    <row r="968" spans="1:25" ht="21" customHeight="1">
      <c r="A968" s="8">
        <v>2</v>
      </c>
      <c r="B968" s="23">
        <v>44593</v>
      </c>
      <c r="C968" s="9" t="str">
        <f>IF(AND(Y962=""),"",C967)</f>
        <v/>
      </c>
      <c r="D968" s="9" t="str">
        <f>IF(AND(C968=""),"",IF(AND(Y962=""),"",ROUND(C968*Master!C$5%,0)))</f>
        <v/>
      </c>
      <c r="E968" s="9" t="str">
        <f>IF(AND(C968=""),"",IF(AND(Y962=""),"",ROUND(C968*Master!H$5%,0)))</f>
        <v/>
      </c>
      <c r="F968" s="9" t="str">
        <f>IF(AND(C968=""),"",SUM(C968:E968))</f>
        <v/>
      </c>
      <c r="G968" s="9" t="str">
        <f>IF(AND(Y962=""),"",G967)</f>
        <v/>
      </c>
      <c r="H968" s="9" t="str">
        <f>IF(AND(G968=""),"",IF(AND(Y962=""),"",ROUND(G968*Master!C$4%,0)))</f>
        <v/>
      </c>
      <c r="I968" s="9" t="str">
        <f>IF(AND(G968=""),"",IF(AND(Y962=""),"",ROUND(G968*Master!H$4%,0)))</f>
        <v/>
      </c>
      <c r="J968" s="9" t="str">
        <f t="shared" si="1314"/>
        <v/>
      </c>
      <c r="K968" s="9" t="str">
        <f t="shared" si="1315"/>
        <v/>
      </c>
      <c r="L968" s="9" t="str">
        <f t="shared" si="1316"/>
        <v/>
      </c>
      <c r="M968" s="9" t="str">
        <f t="shared" si="1317"/>
        <v/>
      </c>
      <c r="N968" s="9" t="str">
        <f t="shared" si="1318"/>
        <v/>
      </c>
      <c r="O968" s="9" t="str">
        <f t="shared" ref="O968:O969" si="1319">IF(AND(C968=""),"",N968-P968)</f>
        <v/>
      </c>
      <c r="P968" s="9" t="str">
        <f>IF(AND(Y962=""),"",IF(AND(N968=""),"",ROUND(N968*AA$1%,0)))</f>
        <v/>
      </c>
      <c r="Q968" s="9" t="str">
        <f>IF(AND(Y962=""),"",IF(AND(C968=""),"",IF(AND(O968=""),"",SUM(O968,P968))))</f>
        <v/>
      </c>
      <c r="R968" s="9" t="str">
        <f t="shared" ref="R968:R969" si="1320">IF(AND(N968=""),"",IF(AND(Q968=""),"",N968-Q968))</f>
        <v/>
      </c>
      <c r="S968" s="20"/>
    </row>
    <row r="969" spans="1:25" ht="21" customHeight="1">
      <c r="A969" s="8">
        <v>3</v>
      </c>
      <c r="B969" s="23">
        <v>44621</v>
      </c>
      <c r="C969" s="9" t="str">
        <f>IF(AND(Y962=""),"",C968)</f>
        <v/>
      </c>
      <c r="D969" s="9" t="str">
        <f>IF(AND(C969=""),"",IF(AND(Y962=""),"",ROUND(C969*Master!C$5%,0)))</f>
        <v/>
      </c>
      <c r="E969" s="9" t="str">
        <f>IF(AND(C969=""),"",IF(AND(Y962=""),"",ROUND(C969*Master!H$5%,0)))</f>
        <v/>
      </c>
      <c r="F969" s="9" t="str">
        <f t="shared" ref="F969" si="1321">IF(AND(C969=""),"",SUM(C969:E969))</f>
        <v/>
      </c>
      <c r="G969" s="9" t="str">
        <f>IF(AND(Y962=""),"",G968)</f>
        <v/>
      </c>
      <c r="H969" s="9" t="str">
        <f>IF(AND(G969=""),"",IF(AND(Y962=""),"",ROUND(G969*Master!C$4%,0)))</f>
        <v/>
      </c>
      <c r="I969" s="9" t="str">
        <f>IF(AND(G969=""),"",IF(AND(Y962=""),"",ROUND(G969*Master!H$4%,0)))</f>
        <v/>
      </c>
      <c r="J969" s="9" t="str">
        <f>IF(AND(C969=""),"",SUM(G969:I969))</f>
        <v/>
      </c>
      <c r="K969" s="9" t="str">
        <f t="shared" si="1315"/>
        <v/>
      </c>
      <c r="L969" s="9" t="str">
        <f t="shared" si="1316"/>
        <v/>
      </c>
      <c r="M969" s="9" t="str">
        <f>IF(AND(E969=""),"",IF(AND(I969=""),"",E969-I969))</f>
        <v/>
      </c>
      <c r="N969" s="9" t="str">
        <f>IF(AND(F969=""),"",IF(AND(J969=""),"",F969-J969))</f>
        <v/>
      </c>
      <c r="O969" s="9" t="str">
        <f t="shared" si="1319"/>
        <v/>
      </c>
      <c r="P969" s="9" t="str">
        <f>IF(AND(Y962=""),"",IF(AND(N969=""),"",ROUND(N969*AA$1%,0)))</f>
        <v/>
      </c>
      <c r="Q969" s="9" t="str">
        <f>IF(AND(Y962=""),"",IF(AND(C969=""),"",IF(AND(O969=""),"",SUM(O969,P969))))</f>
        <v/>
      </c>
      <c r="R969" s="9" t="str">
        <f t="shared" si="1320"/>
        <v/>
      </c>
      <c r="S969" s="20"/>
    </row>
    <row r="970" spans="1:25" ht="23.25" customHeight="1">
      <c r="A970" s="153" t="s">
        <v>9</v>
      </c>
      <c r="B970" s="154"/>
      <c r="C970" s="63">
        <f>IF(AND(Y962=""),"",SUM(C967:C969))</f>
        <v>0</v>
      </c>
      <c r="D970" s="63">
        <f>IF(AND(Y962=""),"",SUM(D967:D969))</f>
        <v>0</v>
      </c>
      <c r="E970" s="63">
        <f>IF(AND(Y962=""),"",SUM(E967:E969))</f>
        <v>0</v>
      </c>
      <c r="F970" s="63">
        <f>IF(AND(Y962=""),"",SUM(F967:F969))</f>
        <v>0</v>
      </c>
      <c r="G970" s="63">
        <f>IF(AND(Y962=""),"",SUM(G967:G969))</f>
        <v>0</v>
      </c>
      <c r="H970" s="63">
        <f>IF(AND(Y962=""),"",SUM(H967:H969))</f>
        <v>0</v>
      </c>
      <c r="I970" s="63">
        <f>IF(AND(Y962=""),"",SUM(I967:I969))</f>
        <v>0</v>
      </c>
      <c r="J970" s="63">
        <f>IF(AND(Y962=""),"",SUM(J967:J969))</f>
        <v>0</v>
      </c>
      <c r="K970" s="63">
        <f>IF(AND(Y962=""),"",SUM(K967:K969))</f>
        <v>0</v>
      </c>
      <c r="L970" s="63">
        <f>IF(AND(Y962=""),"",SUM(L967:L969))</f>
        <v>0</v>
      </c>
      <c r="M970" s="63">
        <f>IF(AND(Y962=""),"",SUM(M967:M969))</f>
        <v>0</v>
      </c>
      <c r="N970" s="63">
        <f>IF(AND(Y962=""),"",SUM(N967:N969))</f>
        <v>0</v>
      </c>
      <c r="O970" s="63">
        <f>IF(AND(Y962=""),"",SUM(O967:O969))</f>
        <v>0</v>
      </c>
      <c r="P970" s="63">
        <f>IF(AND(Y962=""),"",SUM(P967:P969))</f>
        <v>0</v>
      </c>
      <c r="Q970" s="63">
        <f>IF(AND(Y962=""),"",SUM(Q967:Q969))</f>
        <v>0</v>
      </c>
      <c r="R970" s="63">
        <f>IF(AND(Y962=""),"",SUM(R967:R969))</f>
        <v>0</v>
      </c>
      <c r="S970" s="49"/>
    </row>
    <row r="971" spans="1:25" ht="10.5" customHeight="1">
      <c r="A971" s="73"/>
      <c r="B971" s="73"/>
      <c r="C971" s="74"/>
      <c r="D971" s="74"/>
      <c r="E971" s="74"/>
      <c r="F971" s="74"/>
      <c r="G971" s="74"/>
      <c r="H971" s="74"/>
      <c r="I971" s="74"/>
      <c r="J971" s="74"/>
      <c r="K971" s="74"/>
      <c r="L971" s="74"/>
      <c r="M971" s="74"/>
      <c r="N971" s="74"/>
      <c r="O971" s="74"/>
      <c r="P971" s="74"/>
      <c r="Q971" s="74"/>
      <c r="R971" s="74"/>
      <c r="S971" s="75"/>
    </row>
    <row r="972" spans="1:25" ht="23.25" customHeight="1">
      <c r="E972" s="133" t="s">
        <v>10</v>
      </c>
      <c r="F972" s="133"/>
      <c r="G972" s="133"/>
      <c r="H972" s="133"/>
      <c r="I972" s="133"/>
      <c r="J972" s="132" t="str">
        <f>IF(ISNA(VLOOKUP(Y974,Master!A$8:N$127,2,FALSE)),"",VLOOKUP(Y974,Master!A$8:AH$127,2,FALSE))</f>
        <v/>
      </c>
      <c r="K972" s="132"/>
      <c r="L972" s="132"/>
      <c r="M972" s="132"/>
      <c r="N972" s="132"/>
      <c r="O972" s="60" t="s">
        <v>31</v>
      </c>
      <c r="P972" s="132" t="str">
        <f>IF(ISNA(VLOOKUP(Y974,Master!A$8:N$127,3,FALSE)),"",VLOOKUP(Y974,Master!A$8:AH$127,3,FALSE))</f>
        <v/>
      </c>
      <c r="Q972" s="132"/>
      <c r="R972" s="132"/>
      <c r="S972" s="132"/>
    </row>
    <row r="973" spans="1:25" ht="9" customHeight="1">
      <c r="E973" s="19"/>
      <c r="F973" s="52"/>
      <c r="G973" s="22"/>
      <c r="H973" s="22"/>
      <c r="I973" s="22"/>
      <c r="J973" s="5"/>
      <c r="K973" s="5"/>
      <c r="L973" s="5"/>
      <c r="M973" s="5"/>
      <c r="N973" s="5"/>
      <c r="O973" s="6"/>
      <c r="P973" s="6"/>
    </row>
    <row r="974" spans="1:25" ht="21" customHeight="1">
      <c r="A974" s="8">
        <v>1</v>
      </c>
      <c r="B974" s="23">
        <v>44562</v>
      </c>
      <c r="C974" s="9" t="str">
        <f>IF(ISNA(VLOOKUP(Y974,Master!A$8:N$127,5,FALSE)),"",VLOOKUP(Y974,Master!A$8:AH$127,5,FALSE))</f>
        <v/>
      </c>
      <c r="D974" s="9" t="str">
        <f>IF(AND(C974=""),"",IF(AND(Y974=""),"",ROUND(C974*Master!C$5%,0)))</f>
        <v/>
      </c>
      <c r="E974" s="9" t="str">
        <f>IF(AND(C974=""),"",IF(AND(Y974=""),"",ROUND(C974*Master!H$5%,0)))</f>
        <v/>
      </c>
      <c r="F974" s="9" t="str">
        <f t="shared" ref="F974:F976" si="1322">IF(AND(C974=""),"",SUM(C974:E974))</f>
        <v/>
      </c>
      <c r="G974" s="9" t="str">
        <f>IF(ISNA(VLOOKUP(Y974,Master!A$8:N$127,5,FALSE)),"",VLOOKUP(Y974,Master!A$8:AH$127,5,FALSE))</f>
        <v/>
      </c>
      <c r="H974" s="9" t="str">
        <f>IF(AND(G974=""),"",IF(AND(Y974=""),"",ROUND(G974*Master!C$4%,0)))</f>
        <v/>
      </c>
      <c r="I974" s="9" t="str">
        <f>IF(AND(G974=""),"",IF(AND(Y974=""),"",ROUND(G974*Master!H$4%,0)))</f>
        <v/>
      </c>
      <c r="J974" s="9" t="str">
        <f t="shared" ref="J974:J976" si="1323">IF(AND(C974=""),"",SUM(G974:I974))</f>
        <v/>
      </c>
      <c r="K974" s="9" t="str">
        <f t="shared" ref="K974" si="1324">IF(AND(C974=""),"",IF(AND(G974=""),"",C974-G974))</f>
        <v/>
      </c>
      <c r="L974" s="9" t="str">
        <f>IF(AND(D974=""),"",IF(AND(H974=""),"",D974-H974))</f>
        <v/>
      </c>
      <c r="M974" s="9" t="str">
        <f t="shared" ref="M974:M976" si="1325">IF(AND(E974=""),"",IF(AND(I974=""),"",E974-I974))</f>
        <v/>
      </c>
      <c r="N974" s="9" t="str">
        <f t="shared" ref="N974:N976" si="1326">IF(AND(F974=""),"",IF(AND(J974=""),"",F974-J974))</f>
        <v/>
      </c>
      <c r="O974" s="9" t="str">
        <f>IF(AND(C974=""),"",N974-P974)</f>
        <v/>
      </c>
      <c r="P974" s="9" t="str">
        <f>IF(AND(Y974=""),"",IF(AND(N974=""),"",ROUND(N974*X$17%,0)))</f>
        <v/>
      </c>
      <c r="Q974" s="9" t="str">
        <f>IF(AND(Y974=""),"",IF(AND(C974=""),"",IF(AND(O974=""),"",SUM(O974,P974))))</f>
        <v/>
      </c>
      <c r="R974" s="9" t="str">
        <f>IF(AND(N974=""),"",IF(AND(Q974=""),"",N974-Q974))</f>
        <v/>
      </c>
      <c r="S974" s="20"/>
      <c r="X974" s="61" t="s">
        <v>49</v>
      </c>
      <c r="Y974" s="64">
        <v>80</v>
      </c>
    </row>
    <row r="975" spans="1:25" ht="21" customHeight="1">
      <c r="A975" s="8">
        <v>2</v>
      </c>
      <c r="B975" s="23">
        <v>44593</v>
      </c>
      <c r="C975" s="9" t="str">
        <f>IF(AND(Y974=""),"",C974)</f>
        <v/>
      </c>
      <c r="D975" s="9" t="str">
        <f>IF(AND(C975=""),"",IF(AND(Y974=""),"",ROUND(C975*Master!C$5%,0)))</f>
        <v/>
      </c>
      <c r="E975" s="9" t="str">
        <f>IF(AND(C975=""),"",IF(AND(Y974=""),"",ROUND(C975*Master!H$5%,0)))</f>
        <v/>
      </c>
      <c r="F975" s="9" t="str">
        <f t="shared" si="1322"/>
        <v/>
      </c>
      <c r="G975" s="9" t="str">
        <f>IF(AND(Y974=""),"",G974)</f>
        <v/>
      </c>
      <c r="H975" s="9" t="str">
        <f>IF(AND(G975=""),"",IF(AND(Y974=""),"",ROUND(G975*Master!C$4%,0)))</f>
        <v/>
      </c>
      <c r="I975" s="9" t="str">
        <f>IF(AND(G975=""),"",IF(AND(Y974=""),"",ROUND(G975*Master!H$4%,0)))</f>
        <v/>
      </c>
      <c r="J975" s="9" t="str">
        <f t="shared" si="1323"/>
        <v/>
      </c>
      <c r="K975" s="9" t="str">
        <f>IF(AND(C975=""),"",IF(AND(G975=""),"",C975-G975))</f>
        <v/>
      </c>
      <c r="L975" s="9" t="str">
        <f t="shared" ref="L975:L976" si="1327">IF(AND(D975=""),"",IF(AND(H975=""),"",D975-H975))</f>
        <v/>
      </c>
      <c r="M975" s="9" t="str">
        <f t="shared" si="1325"/>
        <v/>
      </c>
      <c r="N975" s="9" t="str">
        <f t="shared" si="1326"/>
        <v/>
      </c>
      <c r="O975" s="9" t="str">
        <f t="shared" ref="O975:O976" si="1328">IF(AND(C975=""),"",N975-P975)</f>
        <v/>
      </c>
      <c r="P975" s="9" t="str">
        <f>IF(AND(Y974=""),"",IF(AND(N975=""),"",ROUND(N975*X$17%,0)))</f>
        <v/>
      </c>
      <c r="Q975" s="9" t="str">
        <f>IF(AND(Y974=""),"",IF(AND(C975=""),"",IF(AND(O975=""),"",SUM(O975,P975))))</f>
        <v/>
      </c>
      <c r="R975" s="9" t="str">
        <f t="shared" ref="R975:R976" si="1329">IF(AND(N975=""),"",IF(AND(Q975=""),"",N975-Q975))</f>
        <v/>
      </c>
      <c r="S975" s="20"/>
      <c r="X975" s="4" t="str">
        <f>IF(ISNA(VLOOKUP(Y974,Master!A$8:N$127,7,FALSE)),"",VLOOKUP(Y974,Master!A$8:AH$127,7,FALSE))</f>
        <v/>
      </c>
    </row>
    <row r="976" spans="1:25" ht="21" customHeight="1">
      <c r="A976" s="8">
        <v>3</v>
      </c>
      <c r="B976" s="23">
        <v>44621</v>
      </c>
      <c r="C976" s="9" t="str">
        <f>IF(AND(Y974=""),"",C975)</f>
        <v/>
      </c>
      <c r="D976" s="9" t="str">
        <f>IF(AND(C976=""),"",IF(AND(Y974=""),"",ROUND(C976*Master!C$5%,0)))</f>
        <v/>
      </c>
      <c r="E976" s="9" t="str">
        <f>IF(AND(C976=""),"",IF(AND(Y974=""),"",ROUND(C976*Master!H$5%,0)))</f>
        <v/>
      </c>
      <c r="F976" s="9" t="str">
        <f t="shared" si="1322"/>
        <v/>
      </c>
      <c r="G976" s="9" t="str">
        <f>IF(AND(Y974=""),"",G975)</f>
        <v/>
      </c>
      <c r="H976" s="9" t="str">
        <f>IF(AND(G976=""),"",IF(AND(Y974=""),"",ROUND(G976*Master!C$4%,0)))</f>
        <v/>
      </c>
      <c r="I976" s="9" t="str">
        <f>IF(AND(G976=""),"",IF(AND(Y974=""),"",ROUND(G976*Master!H$4%,0)))</f>
        <v/>
      </c>
      <c r="J976" s="9" t="str">
        <f t="shared" si="1323"/>
        <v/>
      </c>
      <c r="K976" s="9" t="str">
        <f t="shared" ref="K976" si="1330">IF(AND(C976=""),"",IF(AND(G976=""),"",C976-G976))</f>
        <v/>
      </c>
      <c r="L976" s="9" t="str">
        <f t="shared" si="1327"/>
        <v/>
      </c>
      <c r="M976" s="9" t="str">
        <f t="shared" si="1325"/>
        <v/>
      </c>
      <c r="N976" s="9" t="str">
        <f t="shared" si="1326"/>
        <v/>
      </c>
      <c r="O976" s="9" t="str">
        <f t="shared" si="1328"/>
        <v/>
      </c>
      <c r="P976" s="9" t="str">
        <f>IF(AND(Y974=""),"",IF(AND(N976=""),"",ROUND(N976*X$17%,0)))</f>
        <v/>
      </c>
      <c r="Q976" s="9" t="str">
        <f>IF(AND(Y974=""),"",IF(AND(C976=""),"",IF(AND(O976=""),"",SUM(O976,P976))))</f>
        <v/>
      </c>
      <c r="R976" s="9" t="str">
        <f t="shared" si="1329"/>
        <v/>
      </c>
      <c r="S976" s="20"/>
    </row>
    <row r="977" spans="1:25" ht="30.75" customHeight="1">
      <c r="A977" s="153" t="s">
        <v>9</v>
      </c>
      <c r="B977" s="154"/>
      <c r="C977" s="63">
        <f>IF(AND(Y974=""),"",SUM(C974:C976))</f>
        <v>0</v>
      </c>
      <c r="D977" s="63">
        <f>IF(AND(Y974=""),"",SUM(D974:D976))</f>
        <v>0</v>
      </c>
      <c r="E977" s="63">
        <f>IF(AND(Y974=""),"",SUM(E974:E976))</f>
        <v>0</v>
      </c>
      <c r="F977" s="63">
        <f>IF(AND(Y974=""),"",SUM(F974:F976))</f>
        <v>0</v>
      </c>
      <c r="G977" s="63">
        <f>IF(AND(Y974=""),"",SUM(G974:G976))</f>
        <v>0</v>
      </c>
      <c r="H977" s="63">
        <f>IF(AND(Y974=""),"",SUM(H974:H976))</f>
        <v>0</v>
      </c>
      <c r="I977" s="63">
        <f>IF(AND(Y974=""),"",SUM(I974:I976))</f>
        <v>0</v>
      </c>
      <c r="J977" s="63">
        <f>IF(AND(Y974=""),"",SUM(J974:J976))</f>
        <v>0</v>
      </c>
      <c r="K977" s="63">
        <f>IF(AND(Y974=""),"",SUM(K974:K976))</f>
        <v>0</v>
      </c>
      <c r="L977" s="63">
        <f>IF(AND(Y974=""),"",SUM(L974:L976))</f>
        <v>0</v>
      </c>
      <c r="M977" s="63">
        <f>IF(AND(Y974=""),"",SUM(M974:M976))</f>
        <v>0</v>
      </c>
      <c r="N977" s="63">
        <f>IF(AND(Y974=""),"",SUM(N974:N976))</f>
        <v>0</v>
      </c>
      <c r="O977" s="63">
        <f>IF(AND(Y974=""),"",SUM(O974:O976))</f>
        <v>0</v>
      </c>
      <c r="P977" s="63">
        <f>IF(AND(Y974=""),"",SUM(P974:P976))</f>
        <v>0</v>
      </c>
      <c r="Q977" s="63">
        <f>IF(AND(Y974=""),"",SUM(Q974:Q976))</f>
        <v>0</v>
      </c>
      <c r="R977" s="63">
        <f>IF(AND(Y974=""),"",SUM(R974:R976))</f>
        <v>0</v>
      </c>
      <c r="S977" s="49"/>
    </row>
    <row r="978" spans="1:25" ht="11.25" customHeight="1">
      <c r="A978" s="73"/>
      <c r="B978" s="73"/>
      <c r="C978" s="74"/>
      <c r="D978" s="74"/>
      <c r="E978" s="74"/>
      <c r="F978" s="74"/>
      <c r="G978" s="74"/>
      <c r="H978" s="74"/>
      <c r="I978" s="74"/>
      <c r="J978" s="74"/>
      <c r="K978" s="74"/>
      <c r="L978" s="74"/>
      <c r="M978" s="74"/>
      <c r="N978" s="74"/>
      <c r="O978" s="74"/>
      <c r="P978" s="74"/>
      <c r="Q978" s="74"/>
      <c r="R978" s="74"/>
      <c r="S978" s="75"/>
    </row>
    <row r="979" spans="1:25" ht="23.25" customHeight="1">
      <c r="E979" s="133" t="s">
        <v>10</v>
      </c>
      <c r="F979" s="133"/>
      <c r="G979" s="133"/>
      <c r="H979" s="133"/>
      <c r="I979" s="133"/>
      <c r="J979" s="132" t="str">
        <f>IF(ISNA(VLOOKUP(Y981,Master!A$8:N$127,2,FALSE)),"",VLOOKUP(Y981,Master!A$8:AH$127,2,FALSE))</f>
        <v/>
      </c>
      <c r="K979" s="132"/>
      <c r="L979" s="132"/>
      <c r="M979" s="132"/>
      <c r="N979" s="132"/>
      <c r="O979" s="60" t="s">
        <v>31</v>
      </c>
      <c r="P979" s="132" t="str">
        <f>IF(ISNA(VLOOKUP($Y$431,Master!A$8:N$127,3,FALSE)),"",VLOOKUP($Y$431,Master!A$8:AH$127,3,FALSE))</f>
        <v/>
      </c>
      <c r="Q979" s="132"/>
      <c r="R979" s="132"/>
      <c r="S979" s="132"/>
    </row>
    <row r="980" spans="1:25" ht="9" customHeight="1">
      <c r="E980" s="19"/>
      <c r="F980" s="52"/>
      <c r="G980" s="22"/>
      <c r="H980" s="22"/>
      <c r="I980" s="22"/>
      <c r="J980" s="5"/>
      <c r="K980" s="5"/>
      <c r="L980" s="5"/>
      <c r="M980" s="5"/>
      <c r="N980" s="5"/>
      <c r="O980" s="6"/>
      <c r="P980" s="6"/>
    </row>
    <row r="981" spans="1:25" ht="21" customHeight="1">
      <c r="A981" s="8">
        <v>1</v>
      </c>
      <c r="B981" s="23">
        <v>44562</v>
      </c>
      <c r="C981" s="9" t="str">
        <f>IF(ISNA(VLOOKUP(Y981,Master!A$8:N$127,5,FALSE)),"",VLOOKUP(Y981,Master!A$8:AH$127,5,FALSE))</f>
        <v/>
      </c>
      <c r="D981" s="9" t="str">
        <f>IF(AND(C981=""),"",IF(AND(Y981=""),"",ROUND(C981*Master!C$5%,0)))</f>
        <v/>
      </c>
      <c r="E981" s="9" t="str">
        <f>IF(AND(C981=""),"",IF(AND(Y981=""),"",ROUND(C981*Master!H$5%,0)))</f>
        <v/>
      </c>
      <c r="F981" s="9" t="str">
        <f t="shared" ref="F981:F983" si="1331">IF(AND(C981=""),"",SUM(C981:E981))</f>
        <v/>
      </c>
      <c r="G981" s="9" t="str">
        <f>IF(ISNA(VLOOKUP(Y981,Master!A$8:N$127,5,FALSE)),"",VLOOKUP(Y981,Master!A$8:AH$127,5,FALSE))</f>
        <v/>
      </c>
      <c r="H981" s="9" t="str">
        <f>IF(AND(G981=""),"",IF(AND(Y981=""),"",ROUND(G981*Master!C$4%,0)))</f>
        <v/>
      </c>
      <c r="I981" s="9" t="str">
        <f>IF(AND(G981=""),"",IF(AND(Y981=""),"",ROUND(G981*Master!H$4%,0)))</f>
        <v/>
      </c>
      <c r="J981" s="9" t="str">
        <f t="shared" ref="J981:J983" si="1332">IF(AND(C981=""),"",SUM(G981:I981))</f>
        <v/>
      </c>
      <c r="K981" s="9" t="str">
        <f t="shared" ref="K981:K983" si="1333">IF(AND(C981=""),"",IF(AND(G981=""),"",C981-G981))</f>
        <v/>
      </c>
      <c r="L981" s="9" t="str">
        <f t="shared" ref="L981:L983" si="1334">IF(AND(D981=""),"",IF(AND(H981=""),"",D981-H981))</f>
        <v/>
      </c>
      <c r="M981" s="9" t="str">
        <f t="shared" ref="M981:M983" si="1335">IF(AND(E981=""),"",IF(AND(I981=""),"",E981-I981))</f>
        <v/>
      </c>
      <c r="N981" s="9" t="str">
        <f t="shared" ref="N981:N983" si="1336">IF(AND(F981=""),"",IF(AND(J981=""),"",F981-J981))</f>
        <v/>
      </c>
      <c r="O981" s="9" t="str">
        <f>IF(AND(C981=""),"",N981-P981)</f>
        <v/>
      </c>
      <c r="P981" s="9" t="str">
        <f>IF(AND(Y981=""),"",IF(AND(N981=""),"",ROUND(N981*AA$1%,0)))</f>
        <v/>
      </c>
      <c r="Q981" s="9" t="str">
        <f>IF(AND(Y981=""),"",IF(AND(C981=""),"",IF(AND(O981=""),"",SUM(O981,P981))))</f>
        <v/>
      </c>
      <c r="R981" s="9" t="str">
        <f>IF(AND(N981=""),"",IF(AND(Q981=""),"",N981-Q981))</f>
        <v/>
      </c>
      <c r="S981" s="20"/>
      <c r="X981" s="61" t="s">
        <v>49</v>
      </c>
      <c r="Y981" s="64">
        <v>81</v>
      </c>
    </row>
    <row r="982" spans="1:25" ht="21" customHeight="1">
      <c r="A982" s="8">
        <v>2</v>
      </c>
      <c r="B982" s="23">
        <v>44593</v>
      </c>
      <c r="C982" s="9" t="str">
        <f>IF(AND(Y981=""),"",C981)</f>
        <v/>
      </c>
      <c r="D982" s="9" t="str">
        <f>IF(AND(C982=""),"",IF(AND(Y981=""),"",ROUND(C982*Master!C$5%,0)))</f>
        <v/>
      </c>
      <c r="E982" s="9" t="str">
        <f>IF(AND(C982=""),"",IF(AND(Y981=""),"",ROUND(C982*Master!H$5%,0)))</f>
        <v/>
      </c>
      <c r="F982" s="9" t="str">
        <f t="shared" si="1331"/>
        <v/>
      </c>
      <c r="G982" s="9" t="str">
        <f>IF(AND(Y981=""),"",G981)</f>
        <v/>
      </c>
      <c r="H982" s="9" t="str">
        <f>IF(AND(G982=""),"",IF(AND(Y981=""),"",ROUND(G982*Master!C$4%,0)))</f>
        <v/>
      </c>
      <c r="I982" s="9" t="str">
        <f>IF(AND(G982=""),"",IF(AND(Y981=""),"",ROUND(G982*Master!H$4%,0)))</f>
        <v/>
      </c>
      <c r="J982" s="9" t="str">
        <f t="shared" si="1332"/>
        <v/>
      </c>
      <c r="K982" s="9" t="str">
        <f t="shared" si="1333"/>
        <v/>
      </c>
      <c r="L982" s="9" t="str">
        <f t="shared" si="1334"/>
        <v/>
      </c>
      <c r="M982" s="9" t="str">
        <f t="shared" si="1335"/>
        <v/>
      </c>
      <c r="N982" s="9" t="str">
        <f t="shared" si="1336"/>
        <v/>
      </c>
      <c r="O982" s="9" t="str">
        <f t="shared" ref="O982:O983" si="1337">IF(AND(C982=""),"",N982-P982)</f>
        <v/>
      </c>
      <c r="P982" s="9" t="str">
        <f>IF(AND(Y981=""),"",IF(AND(N982=""),"",ROUND(N982*AA$1%,0)))</f>
        <v/>
      </c>
      <c r="Q982" s="9" t="str">
        <f>IF(AND(Y981=""),"",IF(AND(C982=""),"",IF(AND(O982=""),"",SUM(O982,P982))))</f>
        <v/>
      </c>
      <c r="R982" s="9" t="str">
        <f t="shared" ref="R982:R983" si="1338">IF(AND(N982=""),"",IF(AND(Q982=""),"",N982-Q982))</f>
        <v/>
      </c>
      <c r="S982" s="20"/>
      <c r="X982" s="4" t="str">
        <f>IF(ISNA(VLOOKUP(Y981,Master!A$8:N$127,7,FALSE)),"",VLOOKUP(Y981,Master!A$8:AH$127,7,FALSE))</f>
        <v/>
      </c>
    </row>
    <row r="983" spans="1:25" ht="21" customHeight="1">
      <c r="A983" s="8">
        <v>3</v>
      </c>
      <c r="B983" s="23">
        <v>44621</v>
      </c>
      <c r="C983" s="9" t="str">
        <f>IF(AND(Y981=""),"",C982)</f>
        <v/>
      </c>
      <c r="D983" s="9" t="str">
        <f>IF(AND(C983=""),"",IF(AND(Y981=""),"",ROUND(C983*Master!C$5%,0)))</f>
        <v/>
      </c>
      <c r="E983" s="9" t="str">
        <f>IF(AND(C983=""),"",IF(AND(Y981=""),"",ROUND(C983*Master!H$5%,0)))</f>
        <v/>
      </c>
      <c r="F983" s="9" t="str">
        <f t="shared" si="1331"/>
        <v/>
      </c>
      <c r="G983" s="9" t="str">
        <f>IF(AND(Y981=""),"",G982)</f>
        <v/>
      </c>
      <c r="H983" s="9" t="str">
        <f>IF(AND(G983=""),"",IF(AND(Y981=""),"",ROUND(G983*Master!C$4%,0)))</f>
        <v/>
      </c>
      <c r="I983" s="9" t="str">
        <f>IF(AND(G983=""),"",IF(AND(Y981=""),"",ROUND(G983*Master!H$4%,0)))</f>
        <v/>
      </c>
      <c r="J983" s="9" t="str">
        <f t="shared" si="1332"/>
        <v/>
      </c>
      <c r="K983" s="9" t="str">
        <f t="shared" si="1333"/>
        <v/>
      </c>
      <c r="L983" s="9" t="str">
        <f t="shared" si="1334"/>
        <v/>
      </c>
      <c r="M983" s="9" t="str">
        <f t="shared" si="1335"/>
        <v/>
      </c>
      <c r="N983" s="9" t="str">
        <f t="shared" si="1336"/>
        <v/>
      </c>
      <c r="O983" s="9" t="str">
        <f t="shared" si="1337"/>
        <v/>
      </c>
      <c r="P983" s="9" t="str">
        <f>IF(AND(Y981=""),"",IF(AND(N983=""),"",ROUND(N983*AA$1%,0)))</f>
        <v/>
      </c>
      <c r="Q983" s="9" t="str">
        <f>IF(AND(Y981=""),"",IF(AND(C983=""),"",IF(AND(O983=""),"",SUM(O983,P983))))</f>
        <v/>
      </c>
      <c r="R983" s="9" t="str">
        <f t="shared" si="1338"/>
        <v/>
      </c>
      <c r="S983" s="20"/>
    </row>
    <row r="984" spans="1:25" ht="30.75" customHeight="1">
      <c r="A984" s="153" t="s">
        <v>9</v>
      </c>
      <c r="B984" s="154"/>
      <c r="C984" s="63">
        <f>IF(AND(Y981=""),"",SUM(C981:C983))</f>
        <v>0</v>
      </c>
      <c r="D984" s="63">
        <f>IF(AND(Y981=""),"",SUM(D981:D983))</f>
        <v>0</v>
      </c>
      <c r="E984" s="63">
        <f>IF(AND(Y981=""),"",SUM(E981:E983))</f>
        <v>0</v>
      </c>
      <c r="F984" s="63">
        <f>IF(AND(Y981=""),"",SUM(F981:F983))</f>
        <v>0</v>
      </c>
      <c r="G984" s="63">
        <f>IF(AND(Y981=""),"",SUM(G981:G983))</f>
        <v>0</v>
      </c>
      <c r="H984" s="63">
        <f>IF(AND(Y981=""),"",SUM(H981:H983))</f>
        <v>0</v>
      </c>
      <c r="I984" s="63">
        <f>IF(AND(Y981=""),"",SUM(I981:I983))</f>
        <v>0</v>
      </c>
      <c r="J984" s="63">
        <f>IF(AND(Y981=""),"",SUM(J981:J983))</f>
        <v>0</v>
      </c>
      <c r="K984" s="63">
        <f>IF(AND(Y981=""),"",SUM(K981:K983))</f>
        <v>0</v>
      </c>
      <c r="L984" s="63">
        <f>IF(AND(Y981=""),"",SUM(L981:L983))</f>
        <v>0</v>
      </c>
      <c r="M984" s="63">
        <f>IF(AND(Y981=""),"",SUM(M981:M983))</f>
        <v>0</v>
      </c>
      <c r="N984" s="63">
        <f>IF(AND(Y981=""),"",SUM(N981:N983))</f>
        <v>0</v>
      </c>
      <c r="O984" s="63">
        <f>IF(AND(Y981=""),"",SUM(O981:O983))</f>
        <v>0</v>
      </c>
      <c r="P984" s="63">
        <f>IF(AND(Y981=""),"",SUM(P981:P983))</f>
        <v>0</v>
      </c>
      <c r="Q984" s="63">
        <f>IF(AND(Y981=""),"",SUM(Q981:Q983))</f>
        <v>0</v>
      </c>
      <c r="R984" s="63">
        <f>IF(AND(Y981=""),"",SUM(R981:R983))</f>
        <v>0</v>
      </c>
      <c r="S984" s="49"/>
    </row>
    <row r="985" spans="1:25" ht="30.75" customHeight="1">
      <c r="A985" s="73"/>
      <c r="B985" s="73"/>
      <c r="C985" s="74"/>
      <c r="D985" s="74"/>
      <c r="E985" s="74"/>
      <c r="F985" s="74"/>
      <c r="G985" s="74"/>
      <c r="H985" s="74"/>
      <c r="I985" s="74"/>
      <c r="J985" s="74"/>
      <c r="K985" s="74"/>
      <c r="L985" s="74"/>
      <c r="M985" s="74"/>
      <c r="N985" s="74"/>
      <c r="O985" s="74"/>
      <c r="P985" s="74"/>
      <c r="Q985" s="74"/>
      <c r="R985" s="74"/>
      <c r="S985" s="75"/>
    </row>
    <row r="986" spans="1:25" ht="18.75">
      <c r="A986" s="21"/>
      <c r="B986" s="58"/>
      <c r="C986" s="58"/>
      <c r="D986" s="58"/>
      <c r="E986" s="58"/>
      <c r="F986" s="58"/>
      <c r="G986" s="58"/>
      <c r="H986" s="59"/>
      <c r="I986" s="59"/>
      <c r="J986" s="59"/>
      <c r="K986" s="66"/>
      <c r="L986" s="66"/>
      <c r="M986" s="66"/>
      <c r="N986" s="66"/>
      <c r="O986" s="138" t="s">
        <v>42</v>
      </c>
      <c r="P986" s="138"/>
      <c r="Q986" s="138"/>
      <c r="R986" s="138"/>
      <c r="S986" s="138"/>
    </row>
    <row r="987" spans="1:25" ht="18.75">
      <c r="A987" s="1"/>
      <c r="B987" s="24" t="s">
        <v>19</v>
      </c>
      <c r="C987" s="139"/>
      <c r="D987" s="139"/>
      <c r="E987" s="139"/>
      <c r="F987" s="139"/>
      <c r="G987" s="139"/>
      <c r="H987" s="25"/>
      <c r="I987" s="143" t="s">
        <v>20</v>
      </c>
      <c r="J987" s="143"/>
      <c r="K987" s="141"/>
      <c r="L987" s="141"/>
      <c r="M987" s="141"/>
      <c r="O987" s="138"/>
      <c r="P987" s="138"/>
      <c r="Q987" s="138"/>
      <c r="R987" s="138"/>
      <c r="S987" s="138"/>
    </row>
    <row r="988" spans="1:25" ht="18.75">
      <c r="A988" s="1"/>
      <c r="B988" s="140" t="s">
        <v>21</v>
      </c>
      <c r="C988" s="140"/>
      <c r="D988" s="140"/>
      <c r="E988" s="140"/>
      <c r="F988" s="140"/>
      <c r="G988" s="140"/>
      <c r="H988" s="140"/>
      <c r="I988" s="27"/>
      <c r="J988" s="26"/>
      <c r="K988" s="26"/>
      <c r="L988" s="26"/>
      <c r="M988" s="26"/>
    </row>
    <row r="989" spans="1:25" ht="18.75">
      <c r="A989" s="22">
        <v>1</v>
      </c>
      <c r="B989" s="142" t="s">
        <v>22</v>
      </c>
      <c r="C989" s="142"/>
      <c r="D989" s="142"/>
      <c r="E989" s="142"/>
      <c r="F989" s="142"/>
      <c r="G989" s="142"/>
      <c r="H989" s="142"/>
      <c r="I989" s="28"/>
      <c r="J989" s="26"/>
      <c r="K989" s="26"/>
      <c r="L989" s="26"/>
      <c r="M989" s="26"/>
    </row>
    <row r="990" spans="1:25" ht="18.75">
      <c r="A990" s="2">
        <v>2</v>
      </c>
      <c r="B990" s="142" t="s">
        <v>23</v>
      </c>
      <c r="C990" s="142"/>
      <c r="D990" s="142"/>
      <c r="E990" s="142"/>
      <c r="F990" s="142"/>
      <c r="G990" s="132"/>
      <c r="H990" s="132"/>
      <c r="I990" s="132"/>
      <c r="J990" s="132"/>
      <c r="K990" s="132"/>
      <c r="L990" s="132"/>
      <c r="M990" s="132"/>
    </row>
    <row r="991" spans="1:25" ht="18.75">
      <c r="A991" s="3">
        <v>3</v>
      </c>
      <c r="B991" s="142" t="s">
        <v>24</v>
      </c>
      <c r="C991" s="142"/>
      <c r="D991" s="142"/>
      <c r="E991" s="29"/>
      <c r="F991" s="28"/>
      <c r="G991" s="28"/>
      <c r="H991" s="30"/>
      <c r="I991" s="31"/>
      <c r="J991" s="26"/>
      <c r="K991" s="26"/>
      <c r="L991" s="26"/>
      <c r="M991" s="26"/>
    </row>
    <row r="992" spans="1:25" ht="15.75">
      <c r="O992" s="138" t="s">
        <v>42</v>
      </c>
      <c r="P992" s="138"/>
      <c r="Q992" s="138"/>
      <c r="R992" s="138"/>
      <c r="S992" s="138"/>
    </row>
    <row r="994" spans="1:27" ht="18" customHeight="1">
      <c r="A994" s="148" t="str">
        <f>A960</f>
        <v xml:space="preserve">DA (46% to 50%) Drawn Statement  </v>
      </c>
      <c r="B994" s="148"/>
      <c r="C994" s="148"/>
      <c r="D994" s="148"/>
      <c r="E994" s="148"/>
      <c r="F994" s="148"/>
      <c r="G994" s="148"/>
      <c r="H994" s="148"/>
      <c r="I994" s="148"/>
      <c r="J994" s="148"/>
      <c r="K994" s="148"/>
      <c r="L994" s="148"/>
      <c r="M994" s="148"/>
      <c r="N994" s="148"/>
      <c r="O994" s="148"/>
      <c r="P994" s="148"/>
      <c r="Q994" s="148"/>
      <c r="R994" s="148"/>
      <c r="S994" s="148"/>
      <c r="W994" s="4">
        <f>IF(ISNA(VLOOKUP($Y$3,Master!A$8:N$127,4,FALSE)),"",VLOOKUP($Y$3,Master!A$8:AH$127,4,FALSE))</f>
        <v>2</v>
      </c>
      <c r="X994" s="4" t="str">
        <f>IF(ISNA(VLOOKUP($Y$3,Master!A$8:N$127,6,FALSE)),"",VLOOKUP($Y$3,Master!A$8:AH$127,6,FALSE))</f>
        <v>GPF-2004</v>
      </c>
      <c r="Y994" s="4" t="s">
        <v>45</v>
      </c>
      <c r="Z994" s="4" t="s">
        <v>18</v>
      </c>
      <c r="AA994" s="4" t="str">
        <f>IF(ISNA(VLOOKUP(Y996,Master!A$8:N$127,7,FALSE)),"",VLOOKUP(Y996,Master!A$8:AH$127,7,FALSE))</f>
        <v/>
      </c>
    </row>
    <row r="995" spans="1:27" ht="18">
      <c r="A995" s="131" t="str">
        <f>IF(AND(Master!C921=""),"",CONCATENATE("Office Of  ",Master!C921))</f>
        <v/>
      </c>
      <c r="B995" s="131"/>
      <c r="C995" s="131"/>
      <c r="D995" s="131"/>
      <c r="E995" s="131"/>
      <c r="F995" s="131"/>
      <c r="G995" s="131"/>
      <c r="H995" s="131"/>
      <c r="I995" s="131"/>
      <c r="J995" s="131"/>
      <c r="K995" s="131"/>
      <c r="L995" s="131"/>
      <c r="M995" s="131"/>
      <c r="N995" s="131"/>
      <c r="O995" s="131"/>
      <c r="P995" s="131"/>
      <c r="Q995" s="131"/>
      <c r="R995" s="131"/>
      <c r="S995" s="131"/>
      <c r="X995" s="4">
        <f>IF(ISNA(VLOOKUP($Y$3,Master!A$8:N$127,8,FALSE)),"",VLOOKUP($Y$3,Master!A$8:AH$127,8,FALSE))</f>
        <v>45292</v>
      </c>
      <c r="Y995" s="4" t="s">
        <v>43</v>
      </c>
    </row>
    <row r="996" spans="1:27" ht="18.75">
      <c r="E996" s="133" t="s">
        <v>10</v>
      </c>
      <c r="F996" s="133"/>
      <c r="G996" s="133"/>
      <c r="H996" s="133"/>
      <c r="I996" s="133"/>
      <c r="J996" s="132" t="str">
        <f>IF(ISNA(VLOOKUP(Y996,Master!A$8:N$127,2,FALSE)),"",VLOOKUP(Y996,Master!A$8:AH$127,2,FALSE))</f>
        <v/>
      </c>
      <c r="K996" s="132"/>
      <c r="L996" s="132"/>
      <c r="M996" s="132"/>
      <c r="N996" s="132"/>
      <c r="O996" s="60" t="s">
        <v>31</v>
      </c>
      <c r="P996" s="132" t="str">
        <f>IF(ISNA(VLOOKUP(Y996,Master!A$8:N$127,3,FALSE)),"",VLOOKUP(Y996,Master!A$8:AH$127,3,FALSE))</f>
        <v/>
      </c>
      <c r="Q996" s="132"/>
      <c r="R996" s="132"/>
      <c r="S996" s="132"/>
      <c r="X996" s="61" t="s">
        <v>49</v>
      </c>
      <c r="Y996" s="64">
        <v>82</v>
      </c>
    </row>
    <row r="997" spans="1:27" ht="8.25" customHeight="1">
      <c r="E997" s="19"/>
      <c r="F997" s="52"/>
      <c r="G997" s="22"/>
      <c r="H997" s="22"/>
      <c r="I997" s="22"/>
      <c r="J997" s="5"/>
      <c r="K997" s="5"/>
      <c r="L997" s="5"/>
      <c r="M997" s="5"/>
      <c r="N997" s="5"/>
      <c r="O997" s="6"/>
      <c r="P997" s="6"/>
    </row>
    <row r="998" spans="1:27" ht="24.75" customHeight="1">
      <c r="A998" s="157" t="s">
        <v>0</v>
      </c>
      <c r="B998" s="158" t="s">
        <v>3</v>
      </c>
      <c r="C998" s="159" t="s">
        <v>5</v>
      </c>
      <c r="D998" s="159"/>
      <c r="E998" s="159"/>
      <c r="F998" s="159"/>
      <c r="G998" s="159" t="s">
        <v>6</v>
      </c>
      <c r="H998" s="159"/>
      <c r="I998" s="159"/>
      <c r="J998" s="159"/>
      <c r="K998" s="159" t="s">
        <v>7</v>
      </c>
      <c r="L998" s="159"/>
      <c r="M998" s="159"/>
      <c r="N998" s="159"/>
      <c r="O998" s="149" t="s">
        <v>8</v>
      </c>
      <c r="P998" s="150"/>
      <c r="Q998" s="151"/>
      <c r="R998" s="162" t="s">
        <v>54</v>
      </c>
      <c r="S998" s="162" t="s">
        <v>40</v>
      </c>
    </row>
    <row r="999" spans="1:27" ht="69" customHeight="1">
      <c r="A999" s="157"/>
      <c r="B999" s="158"/>
      <c r="C999" s="54" t="s">
        <v>29</v>
      </c>
      <c r="D999" s="55" t="s">
        <v>1</v>
      </c>
      <c r="E999" s="56" t="s">
        <v>2</v>
      </c>
      <c r="F999" s="54" t="s">
        <v>46</v>
      </c>
      <c r="G999" s="54" t="s">
        <v>29</v>
      </c>
      <c r="H999" s="55" t="s">
        <v>1</v>
      </c>
      <c r="I999" s="56" t="s">
        <v>2</v>
      </c>
      <c r="J999" s="54" t="s">
        <v>47</v>
      </c>
      <c r="K999" s="54" t="s">
        <v>4</v>
      </c>
      <c r="L999" s="55" t="s">
        <v>1</v>
      </c>
      <c r="M999" s="56" t="s">
        <v>2</v>
      </c>
      <c r="N999" s="57" t="s">
        <v>48</v>
      </c>
      <c r="O999" s="53" t="s">
        <v>69</v>
      </c>
      <c r="P999" s="65" t="s">
        <v>41</v>
      </c>
      <c r="Q999" s="57" t="s">
        <v>53</v>
      </c>
      <c r="R999" s="162"/>
      <c r="S999" s="162"/>
    </row>
    <row r="1000" spans="1:27" ht="18" customHeight="1">
      <c r="A1000" s="7">
        <v>1</v>
      </c>
      <c r="B1000" s="7">
        <v>2</v>
      </c>
      <c r="C1000" s="7">
        <v>3</v>
      </c>
      <c r="D1000" s="7">
        <v>4</v>
      </c>
      <c r="E1000" s="7">
        <v>5</v>
      </c>
      <c r="F1000" s="7">
        <v>6</v>
      </c>
      <c r="G1000" s="7">
        <v>7</v>
      </c>
      <c r="H1000" s="7">
        <v>8</v>
      </c>
      <c r="I1000" s="7">
        <v>9</v>
      </c>
      <c r="J1000" s="7">
        <v>10</v>
      </c>
      <c r="K1000" s="7">
        <v>11</v>
      </c>
      <c r="L1000" s="7">
        <v>12</v>
      </c>
      <c r="M1000" s="7">
        <v>13</v>
      </c>
      <c r="N1000" s="7">
        <v>14</v>
      </c>
      <c r="O1000" s="7">
        <v>15</v>
      </c>
      <c r="P1000" s="7">
        <v>17</v>
      </c>
      <c r="Q1000" s="7">
        <v>18</v>
      </c>
      <c r="R1000" s="7">
        <v>19</v>
      </c>
      <c r="S1000" s="7">
        <v>20</v>
      </c>
    </row>
    <row r="1001" spans="1:27" ht="21" customHeight="1">
      <c r="A1001" s="8">
        <v>1</v>
      </c>
      <c r="B1001" s="23">
        <v>44562</v>
      </c>
      <c r="C1001" s="9" t="str">
        <f>IF(ISNA(VLOOKUP(Y996,Master!A$8:N$127,5,FALSE)),"",VLOOKUP(Y996,Master!A$8:AH$127,5,FALSE))</f>
        <v/>
      </c>
      <c r="D1001" s="9" t="str">
        <f>IF(AND(C1001=""),"",IF(AND(Y996=""),"",ROUND(C1001*Master!C$5%,0)))</f>
        <v/>
      </c>
      <c r="E1001" s="9" t="str">
        <f>IF(AND(C1001=""),"",IF(AND(Y996=""),"",ROUND(C1001*Master!H$5%,0)))</f>
        <v/>
      </c>
      <c r="F1001" s="9" t="str">
        <f t="shared" ref="F1001" si="1339">IF(AND(C1001=""),"",SUM(C1001:E1001))</f>
        <v/>
      </c>
      <c r="G1001" s="9" t="str">
        <f>IF(ISNA(VLOOKUP(Y996,Master!A$8:N$127,5,FALSE)),"",VLOOKUP(Y996,Master!A$8:AH$127,5,FALSE))</f>
        <v/>
      </c>
      <c r="H1001" s="9" t="str">
        <f>IF(AND(G1001=""),"",IF(AND(Y996=""),"",ROUND(G1001*Master!C$4%,0)))</f>
        <v/>
      </c>
      <c r="I1001" s="9" t="str">
        <f>IF(AND(G1001=""),"",IF(AND(Y996=""),"",ROUND(G1001*Master!H$4%,0)))</f>
        <v/>
      </c>
      <c r="J1001" s="9" t="str">
        <f t="shared" ref="J1001:J1002" si="1340">IF(AND(C1001=""),"",SUM(G1001:I1001))</f>
        <v/>
      </c>
      <c r="K1001" s="9" t="str">
        <f t="shared" ref="K1001:K1003" si="1341">IF(AND(C1001=""),"",IF(AND(G1001=""),"",C1001-G1001))</f>
        <v/>
      </c>
      <c r="L1001" s="9" t="str">
        <f t="shared" ref="L1001:L1003" si="1342">IF(AND(D1001=""),"",IF(AND(H1001=""),"",D1001-H1001))</f>
        <v/>
      </c>
      <c r="M1001" s="9" t="str">
        <f t="shared" ref="M1001:M1002" si="1343">IF(AND(E1001=""),"",IF(AND(I1001=""),"",E1001-I1001))</f>
        <v/>
      </c>
      <c r="N1001" s="9" t="str">
        <f t="shared" ref="N1001:N1002" si="1344">IF(AND(F1001=""),"",IF(AND(J1001=""),"",F1001-J1001))</f>
        <v/>
      </c>
      <c r="O1001" s="9" t="str">
        <f>IF(AND(C1001=""),"",N1001-P1001)</f>
        <v/>
      </c>
      <c r="P1001" s="9" t="str">
        <f>IF(AND(Y996=""),"",IF(AND(N1001=""),"",ROUND(N1001*AA$1%,0)))</f>
        <v/>
      </c>
      <c r="Q1001" s="9" t="str">
        <f>IF(AND(Y996=""),"",IF(AND(C1001=""),"",IF(AND(O1001=""),"",SUM(O1001,P1001))))</f>
        <v/>
      </c>
      <c r="R1001" s="9" t="str">
        <f>IF(AND(N1001=""),"",IF(AND(Q1001=""),"",N1001-Q1001))</f>
        <v/>
      </c>
      <c r="S1001" s="20"/>
    </row>
    <row r="1002" spans="1:27" ht="21" customHeight="1">
      <c r="A1002" s="8">
        <v>2</v>
      </c>
      <c r="B1002" s="23">
        <v>44593</v>
      </c>
      <c r="C1002" s="9" t="str">
        <f>IF(AND(Y996=""),"",C1001)</f>
        <v/>
      </c>
      <c r="D1002" s="9" t="str">
        <f>IF(AND(C1002=""),"",IF(AND(Y996=""),"",ROUND(C1002*Master!C$5%,0)))</f>
        <v/>
      </c>
      <c r="E1002" s="9" t="str">
        <f>IF(AND(C1002=""),"",IF(AND(Y996=""),"",ROUND(C1002*Master!H$5%,0)))</f>
        <v/>
      </c>
      <c r="F1002" s="9" t="str">
        <f>IF(AND(C1002=""),"",SUM(C1002:E1002))</f>
        <v/>
      </c>
      <c r="G1002" s="9" t="str">
        <f>IF(AND(Y996=""),"",G1001)</f>
        <v/>
      </c>
      <c r="H1002" s="9" t="str">
        <f>IF(AND(G1002=""),"",IF(AND(Y996=""),"",ROUND(G1002*Master!C$4%,0)))</f>
        <v/>
      </c>
      <c r="I1002" s="9" t="str">
        <f>IF(AND(G1002=""),"",IF(AND(Y996=""),"",ROUND(G1002*Master!H$4%,0)))</f>
        <v/>
      </c>
      <c r="J1002" s="9" t="str">
        <f t="shared" si="1340"/>
        <v/>
      </c>
      <c r="K1002" s="9" t="str">
        <f t="shared" si="1341"/>
        <v/>
      </c>
      <c r="L1002" s="9" t="str">
        <f t="shared" si="1342"/>
        <v/>
      </c>
      <c r="M1002" s="9" t="str">
        <f t="shared" si="1343"/>
        <v/>
      </c>
      <c r="N1002" s="9" t="str">
        <f t="shared" si="1344"/>
        <v/>
      </c>
      <c r="O1002" s="9" t="str">
        <f t="shared" ref="O1002:O1003" si="1345">IF(AND(C1002=""),"",N1002-P1002)</f>
        <v/>
      </c>
      <c r="P1002" s="9" t="str">
        <f>IF(AND(Y996=""),"",IF(AND(N1002=""),"",ROUND(N1002*AA$1%,0)))</f>
        <v/>
      </c>
      <c r="Q1002" s="9" t="str">
        <f>IF(AND(Y996=""),"",IF(AND(C1002=""),"",IF(AND(O1002=""),"",SUM(O1002,P1002))))</f>
        <v/>
      </c>
      <c r="R1002" s="9" t="str">
        <f t="shared" ref="R1002:R1003" si="1346">IF(AND(N1002=""),"",IF(AND(Q1002=""),"",N1002-Q1002))</f>
        <v/>
      </c>
      <c r="S1002" s="20"/>
    </row>
    <row r="1003" spans="1:27" ht="21" customHeight="1">
      <c r="A1003" s="8">
        <v>3</v>
      </c>
      <c r="B1003" s="23">
        <v>44621</v>
      </c>
      <c r="C1003" s="9" t="str">
        <f>IF(AND(Y996=""),"",C1002)</f>
        <v/>
      </c>
      <c r="D1003" s="9" t="str">
        <f>IF(AND(C1003=""),"",IF(AND(Y996=""),"",ROUND(C1003*Master!C$5%,0)))</f>
        <v/>
      </c>
      <c r="E1003" s="9" t="str">
        <f>IF(AND(C1003=""),"",IF(AND(Y996=""),"",ROUND(C1003*Master!H$5%,0)))</f>
        <v/>
      </c>
      <c r="F1003" s="9" t="str">
        <f t="shared" ref="F1003" si="1347">IF(AND(C1003=""),"",SUM(C1003:E1003))</f>
        <v/>
      </c>
      <c r="G1003" s="9" t="str">
        <f>IF(AND(Y996=""),"",G1002)</f>
        <v/>
      </c>
      <c r="H1003" s="9" t="str">
        <f>IF(AND(G1003=""),"",IF(AND(Y996=""),"",ROUND(G1003*Master!C$4%,0)))</f>
        <v/>
      </c>
      <c r="I1003" s="9" t="str">
        <f>IF(AND(G1003=""),"",IF(AND(Y996=""),"",ROUND(G1003*Master!H$4%,0)))</f>
        <v/>
      </c>
      <c r="J1003" s="9" t="str">
        <f>IF(AND(C1003=""),"",SUM(G1003:I1003))</f>
        <v/>
      </c>
      <c r="K1003" s="9" t="str">
        <f t="shared" si="1341"/>
        <v/>
      </c>
      <c r="L1003" s="9" t="str">
        <f t="shared" si="1342"/>
        <v/>
      </c>
      <c r="M1003" s="9" t="str">
        <f>IF(AND(E1003=""),"",IF(AND(I1003=""),"",E1003-I1003))</f>
        <v/>
      </c>
      <c r="N1003" s="9" t="str">
        <f>IF(AND(F1003=""),"",IF(AND(J1003=""),"",F1003-J1003))</f>
        <v/>
      </c>
      <c r="O1003" s="9" t="str">
        <f t="shared" si="1345"/>
        <v/>
      </c>
      <c r="P1003" s="9" t="str">
        <f>IF(AND(Y996=""),"",IF(AND(N1003=""),"",ROUND(N1003*AA$1%,0)))</f>
        <v/>
      </c>
      <c r="Q1003" s="9" t="str">
        <f>IF(AND(Y996=""),"",IF(AND(C1003=""),"",IF(AND(O1003=""),"",SUM(O1003,P1003))))</f>
        <v/>
      </c>
      <c r="R1003" s="9" t="str">
        <f t="shared" si="1346"/>
        <v/>
      </c>
      <c r="S1003" s="20"/>
    </row>
    <row r="1004" spans="1:27" ht="23.25" customHeight="1">
      <c r="A1004" s="153" t="s">
        <v>9</v>
      </c>
      <c r="B1004" s="154"/>
      <c r="C1004" s="63">
        <f>IF(AND(Y996=""),"",SUM(C1001:C1003))</f>
        <v>0</v>
      </c>
      <c r="D1004" s="63">
        <f>IF(AND(Y996=""),"",SUM(D1001:D1003))</f>
        <v>0</v>
      </c>
      <c r="E1004" s="63">
        <f>IF(AND(Y996=""),"",SUM(E1001:E1003))</f>
        <v>0</v>
      </c>
      <c r="F1004" s="63">
        <f>IF(AND(Y996=""),"",SUM(F1001:F1003))</f>
        <v>0</v>
      </c>
      <c r="G1004" s="63">
        <f>IF(AND(Y996=""),"",SUM(G1001:G1003))</f>
        <v>0</v>
      </c>
      <c r="H1004" s="63">
        <f>IF(AND(Y996=""),"",SUM(H1001:H1003))</f>
        <v>0</v>
      </c>
      <c r="I1004" s="63">
        <f>IF(AND(Y996=""),"",SUM(I1001:I1003))</f>
        <v>0</v>
      </c>
      <c r="J1004" s="63">
        <f>IF(AND(Y996=""),"",SUM(J1001:J1003))</f>
        <v>0</v>
      </c>
      <c r="K1004" s="63">
        <f>IF(AND(Y996=""),"",SUM(K1001:K1003))</f>
        <v>0</v>
      </c>
      <c r="L1004" s="63">
        <f>IF(AND(Y996=""),"",SUM(L1001:L1003))</f>
        <v>0</v>
      </c>
      <c r="M1004" s="63">
        <f>IF(AND(Y996=""),"",SUM(M1001:M1003))</f>
        <v>0</v>
      </c>
      <c r="N1004" s="63">
        <f>IF(AND(Y996=""),"",SUM(N1001:N1003))</f>
        <v>0</v>
      </c>
      <c r="O1004" s="63">
        <f>IF(AND(Y996=""),"",SUM(O1001:O1003))</f>
        <v>0</v>
      </c>
      <c r="P1004" s="63">
        <f>IF(AND(Y996=""),"",SUM(P1001:P1003))</f>
        <v>0</v>
      </c>
      <c r="Q1004" s="63">
        <f>IF(AND(Y996=""),"",SUM(Q1001:Q1003))</f>
        <v>0</v>
      </c>
      <c r="R1004" s="63">
        <f>IF(AND(Y996=""),"",SUM(R1001:R1003))</f>
        <v>0</v>
      </c>
      <c r="S1004" s="49"/>
    </row>
    <row r="1005" spans="1:27" ht="10.5" customHeight="1">
      <c r="A1005" s="73"/>
      <c r="B1005" s="73"/>
      <c r="C1005" s="74"/>
      <c r="D1005" s="74"/>
      <c r="E1005" s="74"/>
      <c r="F1005" s="74"/>
      <c r="G1005" s="74"/>
      <c r="H1005" s="74"/>
      <c r="I1005" s="74"/>
      <c r="J1005" s="74"/>
      <c r="K1005" s="74"/>
      <c r="L1005" s="74"/>
      <c r="M1005" s="74"/>
      <c r="N1005" s="74"/>
      <c r="O1005" s="74"/>
      <c r="P1005" s="74"/>
      <c r="Q1005" s="74"/>
      <c r="R1005" s="74"/>
      <c r="S1005" s="75"/>
    </row>
    <row r="1006" spans="1:27" ht="23.25" customHeight="1">
      <c r="E1006" s="133" t="s">
        <v>10</v>
      </c>
      <c r="F1006" s="133"/>
      <c r="G1006" s="133"/>
      <c r="H1006" s="133"/>
      <c r="I1006" s="133"/>
      <c r="J1006" s="132" t="str">
        <f>IF(ISNA(VLOOKUP(Y1008,Master!A$8:N$127,2,FALSE)),"",VLOOKUP(Y1008,Master!A$8:AH$127,2,FALSE))</f>
        <v/>
      </c>
      <c r="K1006" s="132"/>
      <c r="L1006" s="132"/>
      <c r="M1006" s="132"/>
      <c r="N1006" s="132"/>
      <c r="O1006" s="60" t="s">
        <v>31</v>
      </c>
      <c r="P1006" s="132" t="str">
        <f>IF(ISNA(VLOOKUP(Y1008,Master!A$8:N$127,3,FALSE)),"",VLOOKUP(Y1008,Master!A$8:AH$127,3,FALSE))</f>
        <v/>
      </c>
      <c r="Q1006" s="132"/>
      <c r="R1006" s="132"/>
      <c r="S1006" s="132"/>
    </row>
    <row r="1007" spans="1:27" ht="9" customHeight="1">
      <c r="E1007" s="19"/>
      <c r="F1007" s="52"/>
      <c r="G1007" s="22"/>
      <c r="H1007" s="22"/>
      <c r="I1007" s="22"/>
      <c r="J1007" s="5"/>
      <c r="K1007" s="5"/>
      <c r="L1007" s="5"/>
      <c r="M1007" s="5"/>
      <c r="N1007" s="5"/>
      <c r="O1007" s="6"/>
      <c r="P1007" s="6"/>
    </row>
    <row r="1008" spans="1:27" ht="21" customHeight="1">
      <c r="A1008" s="8">
        <v>1</v>
      </c>
      <c r="B1008" s="23">
        <v>44562</v>
      </c>
      <c r="C1008" s="9" t="str">
        <f>IF(ISNA(VLOOKUP(Y1008,Master!A$8:N$127,5,FALSE)),"",VLOOKUP(Y1008,Master!A$8:AH$127,5,FALSE))</f>
        <v/>
      </c>
      <c r="D1008" s="9" t="str">
        <f>IF(AND(C1008=""),"",IF(AND(Y1008=""),"",ROUND(C1008*Master!C$5%,0)))</f>
        <v/>
      </c>
      <c r="E1008" s="9" t="str">
        <f>IF(AND(C1008=""),"",IF(AND(Y1008=""),"",ROUND(C1008*Master!H$5%,0)))</f>
        <v/>
      </c>
      <c r="F1008" s="9" t="str">
        <f t="shared" ref="F1008:F1009" si="1348">IF(AND(C1008=""),"",SUM(C1008:E1008))</f>
        <v/>
      </c>
      <c r="G1008" s="9" t="str">
        <f>IF(ISNA(VLOOKUP(Y1008,Master!A$8:N$127,5,FALSE)),"",VLOOKUP(Y1008,Master!A$8:AH$127,5,FALSE))</f>
        <v/>
      </c>
      <c r="H1008" s="9" t="str">
        <f>IF(AND(G1008=""),"",IF(AND(Y1008=""),"",ROUND(G1008*Master!C$4%,0)))</f>
        <v/>
      </c>
      <c r="I1008" s="9" t="str">
        <f>IF(AND(G1008=""),"",IF(AND(Y1008=""),"",ROUND(G1008*Master!H$4%,0)))</f>
        <v/>
      </c>
      <c r="J1008" s="9" t="str">
        <f t="shared" ref="J1008:J1010" si="1349">IF(AND(C1008=""),"",SUM(G1008:I1008))</f>
        <v/>
      </c>
      <c r="K1008" s="9" t="str">
        <f t="shared" ref="K1008" si="1350">IF(AND(C1008=""),"",IF(AND(G1008=""),"",C1008-G1008))</f>
        <v/>
      </c>
      <c r="L1008" s="9" t="str">
        <f>IF(AND(D1008=""),"",IF(AND(H1008=""),"",D1008-H1008))</f>
        <v/>
      </c>
      <c r="M1008" s="9" t="str">
        <f t="shared" ref="M1008:M1010" si="1351">IF(AND(E1008=""),"",IF(AND(I1008=""),"",E1008-I1008))</f>
        <v/>
      </c>
      <c r="N1008" s="9" t="str">
        <f t="shared" ref="N1008:N1010" si="1352">IF(AND(F1008=""),"",IF(AND(J1008=""),"",F1008-J1008))</f>
        <v/>
      </c>
      <c r="O1008" s="9" t="str">
        <f>IF(AND(C1008=""),"",N1008-P1008)</f>
        <v/>
      </c>
      <c r="P1008" s="9" t="str">
        <f>IF(AND(Y1008=""),"",IF(AND(N1008=""),"",ROUND(N1008*X$17%,0)))</f>
        <v/>
      </c>
      <c r="Q1008" s="9" t="str">
        <f>IF(AND(Y1008=""),"",IF(AND(C1008=""),"",IF(AND(O1008=""),"",SUM(O1008,P1008))))</f>
        <v/>
      </c>
      <c r="R1008" s="9" t="str">
        <f>IF(AND(N1008=""),"",IF(AND(Q1008=""),"",N1008-Q1008))</f>
        <v/>
      </c>
      <c r="S1008" s="20"/>
      <c r="X1008" s="61" t="s">
        <v>49</v>
      </c>
      <c r="Y1008" s="64">
        <v>83</v>
      </c>
    </row>
    <row r="1009" spans="1:25" ht="21" customHeight="1">
      <c r="A1009" s="8">
        <v>2</v>
      </c>
      <c r="B1009" s="23">
        <v>44593</v>
      </c>
      <c r="C1009" s="9" t="str">
        <f>IF(AND(Y1008=""),"",C1008)</f>
        <v/>
      </c>
      <c r="D1009" s="9" t="str">
        <f>IF(AND(C1009=""),"",IF(AND(Y1008=""),"",ROUND(C1009*Master!C$5%,0)))</f>
        <v/>
      </c>
      <c r="E1009" s="9" t="str">
        <f>IF(AND(C1009=""),"",IF(AND(Y1008=""),"",ROUND(C1009*Master!H$5%,0)))</f>
        <v/>
      </c>
      <c r="F1009" s="9" t="str">
        <f t="shared" si="1348"/>
        <v/>
      </c>
      <c r="G1009" s="9" t="str">
        <f>IF(AND(Y1008=""),"",G1008)</f>
        <v/>
      </c>
      <c r="H1009" s="9" t="str">
        <f>IF(AND(G1009=""),"",IF(AND(Y1008=""),"",ROUND(G1009*Master!C$4%,0)))</f>
        <v/>
      </c>
      <c r="I1009" s="9" t="str">
        <f>IF(AND(G1009=""),"",IF(AND(Y1008=""),"",ROUND(G1009*Master!H$4%,0)))</f>
        <v/>
      </c>
      <c r="J1009" s="9" t="str">
        <f t="shared" si="1349"/>
        <v/>
      </c>
      <c r="K1009" s="9" t="str">
        <f>IF(AND(C1009=""),"",IF(AND(G1009=""),"",C1009-G1009))</f>
        <v/>
      </c>
      <c r="L1009" s="9" t="str">
        <f t="shared" ref="L1009:L1010" si="1353">IF(AND(D1009=""),"",IF(AND(H1009=""),"",D1009-H1009))</f>
        <v/>
      </c>
      <c r="M1009" s="9" t="str">
        <f t="shared" si="1351"/>
        <v/>
      </c>
      <c r="N1009" s="9" t="str">
        <f>IF(AND(F1009=""),"",IF(AND(J1009=""),"",F1009-J1009))</f>
        <v/>
      </c>
      <c r="O1009" s="9" t="str">
        <f t="shared" ref="O1009:O1010" si="1354">IF(AND(C1009=""),"",N1009-P1009)</f>
        <v/>
      </c>
      <c r="P1009" s="9" t="str">
        <f>IF(AND(Y1008=""),"",IF(AND(N1009=""),"",ROUND(N1009*X$17%,0)))</f>
        <v/>
      </c>
      <c r="Q1009" s="9" t="str">
        <f>IF(AND(Y1008=""),"",IF(AND(C1009=""),"",IF(AND(O1009=""),"",SUM(O1009,P1009))))</f>
        <v/>
      </c>
      <c r="R1009" s="9" t="str">
        <f t="shared" ref="R1009:R1010" si="1355">IF(AND(N1009=""),"",IF(AND(Q1009=""),"",N1009-Q1009))</f>
        <v/>
      </c>
      <c r="S1009" s="20"/>
      <c r="X1009" s="4" t="str">
        <f>IF(ISNA(VLOOKUP(Y1008,Master!A$8:N$127,7,FALSE)),"",VLOOKUP(Y1008,Master!A$8:AH$127,7,FALSE))</f>
        <v/>
      </c>
    </row>
    <row r="1010" spans="1:25" ht="21" customHeight="1">
      <c r="A1010" s="8">
        <v>3</v>
      </c>
      <c r="B1010" s="23">
        <v>44621</v>
      </c>
      <c r="C1010" s="9" t="str">
        <f>IF(AND(Y1008=""),"",C1009)</f>
        <v/>
      </c>
      <c r="D1010" s="9" t="str">
        <f>IF(AND(C1010=""),"",IF(AND(Y1008=""),"",ROUND(C1010*Master!C$5%,0)))</f>
        <v/>
      </c>
      <c r="E1010" s="9" t="str">
        <f>IF(AND(C1010=""),"",IF(AND(Y1008=""),"",ROUND(C1010*Master!H$5%,0)))</f>
        <v/>
      </c>
      <c r="F1010" s="9" t="str">
        <f>IF(AND(C1010=""),"",SUM(C1010:E1010))</f>
        <v/>
      </c>
      <c r="G1010" s="9" t="str">
        <f>IF(AND(Y1008=""),"",G1009)</f>
        <v/>
      </c>
      <c r="H1010" s="9" t="str">
        <f>IF(AND(G1010=""),"",IF(AND(Y1008=""),"",ROUND(G1010*Master!C$4%,0)))</f>
        <v/>
      </c>
      <c r="I1010" s="9" t="str">
        <f>IF(AND(G1010=""),"",IF(AND(Y1008=""),"",ROUND(G1010*Master!H$4%,0)))</f>
        <v/>
      </c>
      <c r="J1010" s="9" t="str">
        <f t="shared" si="1349"/>
        <v/>
      </c>
      <c r="K1010" s="9" t="str">
        <f t="shared" ref="K1010" si="1356">IF(AND(C1010=""),"",IF(AND(G1010=""),"",C1010-G1010))</f>
        <v/>
      </c>
      <c r="L1010" s="9" t="str">
        <f t="shared" si="1353"/>
        <v/>
      </c>
      <c r="M1010" s="9" t="str">
        <f t="shared" si="1351"/>
        <v/>
      </c>
      <c r="N1010" s="9" t="str">
        <f t="shared" si="1352"/>
        <v/>
      </c>
      <c r="O1010" s="9" t="str">
        <f t="shared" si="1354"/>
        <v/>
      </c>
      <c r="P1010" s="9" t="str">
        <f>IF(AND(Y1008=""),"",IF(AND(N1010=""),"",ROUND(N1010*X$17%,0)))</f>
        <v/>
      </c>
      <c r="Q1010" s="9" t="str">
        <f>IF(AND(Y1008=""),"",IF(AND(C1010=""),"",IF(AND(O1010=""),"",SUM(O1010,P1010))))</f>
        <v/>
      </c>
      <c r="R1010" s="9" t="str">
        <f t="shared" si="1355"/>
        <v/>
      </c>
      <c r="S1010" s="20"/>
    </row>
    <row r="1011" spans="1:25" ht="30.75" customHeight="1">
      <c r="A1011" s="153" t="s">
        <v>9</v>
      </c>
      <c r="B1011" s="154"/>
      <c r="C1011" s="63">
        <f>IF(AND(Y1008=""),"",SUM(C1008:C1010))</f>
        <v>0</v>
      </c>
      <c r="D1011" s="63">
        <f>IF(AND(Y1008=""),"",SUM(D1008:D1010))</f>
        <v>0</v>
      </c>
      <c r="E1011" s="63">
        <f>IF(AND(Y1008=""),"",SUM(E1008:E1010))</f>
        <v>0</v>
      </c>
      <c r="F1011" s="63">
        <f>IF(AND(Y1008=""),"",SUM(F1008:F1010))</f>
        <v>0</v>
      </c>
      <c r="G1011" s="63">
        <f>IF(AND(Y1008=""),"",SUM(G1008:G1010))</f>
        <v>0</v>
      </c>
      <c r="H1011" s="63">
        <f>IF(AND(Y1008=""),"",SUM(H1008:H1010))</f>
        <v>0</v>
      </c>
      <c r="I1011" s="63">
        <f>IF(AND(Y1008=""),"",SUM(I1008:I1010))</f>
        <v>0</v>
      </c>
      <c r="J1011" s="63">
        <f>IF(AND(Y1008=""),"",SUM(J1008:J1010))</f>
        <v>0</v>
      </c>
      <c r="K1011" s="63">
        <f>IF(AND(Y1008=""),"",SUM(K1008:K1010))</f>
        <v>0</v>
      </c>
      <c r="L1011" s="63">
        <f>IF(AND(Y1008=""),"",SUM(L1008:L1010))</f>
        <v>0</v>
      </c>
      <c r="M1011" s="63">
        <f>IF(AND(Y1008=""),"",SUM(M1008:M1010))</f>
        <v>0</v>
      </c>
      <c r="N1011" s="63">
        <f>IF(AND(Y1008=""),"",SUM(N1008:N1010))</f>
        <v>0</v>
      </c>
      <c r="O1011" s="63">
        <f>IF(AND(Y1008=""),"",SUM(O1008:O1010))</f>
        <v>0</v>
      </c>
      <c r="P1011" s="63">
        <f>IF(AND(Y1008=""),"",SUM(P1008:P1010))</f>
        <v>0</v>
      </c>
      <c r="Q1011" s="63">
        <f>IF(AND(Y1008=""),"",SUM(Q1008:Q1010))</f>
        <v>0</v>
      </c>
      <c r="R1011" s="63">
        <f>IF(AND(Y1008=""),"",SUM(R1008:R1010))</f>
        <v>0</v>
      </c>
      <c r="S1011" s="49"/>
    </row>
    <row r="1012" spans="1:25" ht="11.25" customHeight="1">
      <c r="A1012" s="73"/>
      <c r="B1012" s="73"/>
      <c r="C1012" s="74"/>
      <c r="D1012" s="74"/>
      <c r="E1012" s="74"/>
      <c r="F1012" s="74"/>
      <c r="G1012" s="74"/>
      <c r="H1012" s="74"/>
      <c r="I1012" s="74"/>
      <c r="J1012" s="74"/>
      <c r="K1012" s="74"/>
      <c r="L1012" s="74"/>
      <c r="M1012" s="74"/>
      <c r="N1012" s="74"/>
      <c r="O1012" s="74"/>
      <c r="P1012" s="74"/>
      <c r="Q1012" s="74"/>
      <c r="R1012" s="74"/>
      <c r="S1012" s="75"/>
    </row>
    <row r="1013" spans="1:25" ht="23.25" customHeight="1">
      <c r="E1013" s="133" t="s">
        <v>10</v>
      </c>
      <c r="F1013" s="133"/>
      <c r="G1013" s="133"/>
      <c r="H1013" s="133"/>
      <c r="I1013" s="133"/>
      <c r="J1013" s="132" t="str">
        <f>IF(ISNA(VLOOKUP(Y1015,Master!A$8:N$127,2,FALSE)),"",VLOOKUP(Y1015,Master!A$8:AH$127,2,FALSE))</f>
        <v/>
      </c>
      <c r="K1013" s="132"/>
      <c r="L1013" s="132"/>
      <c r="M1013" s="132"/>
      <c r="N1013" s="132"/>
      <c r="O1013" s="60" t="s">
        <v>31</v>
      </c>
      <c r="P1013" s="132" t="str">
        <f>IF(ISNA(VLOOKUP($Y$431,Master!A$8:N$127,3,FALSE)),"",VLOOKUP($Y$431,Master!A$8:AH$127,3,FALSE))</f>
        <v/>
      </c>
      <c r="Q1013" s="132"/>
      <c r="R1013" s="132"/>
      <c r="S1013" s="132"/>
    </row>
    <row r="1014" spans="1:25" ht="9" customHeight="1">
      <c r="E1014" s="19"/>
      <c r="F1014" s="52"/>
      <c r="G1014" s="22"/>
      <c r="H1014" s="22"/>
      <c r="I1014" s="22"/>
      <c r="J1014" s="5"/>
      <c r="K1014" s="5"/>
      <c r="L1014" s="5"/>
      <c r="M1014" s="5"/>
      <c r="N1014" s="5"/>
      <c r="O1014" s="6"/>
      <c r="P1014" s="6"/>
    </row>
    <row r="1015" spans="1:25" ht="21" customHeight="1">
      <c r="A1015" s="8">
        <v>1</v>
      </c>
      <c r="B1015" s="23">
        <v>44562</v>
      </c>
      <c r="C1015" s="9" t="str">
        <f>IF(ISNA(VLOOKUP(Y1015,Master!A$8:N$127,5,FALSE)),"",VLOOKUP(Y1015,Master!A$8:AH$127,5,FALSE))</f>
        <v/>
      </c>
      <c r="D1015" s="9" t="str">
        <f>IF(AND(C1015=""),"",IF(AND(Y1015=""),"",ROUND(C1015*Master!C$5%,0)))</f>
        <v/>
      </c>
      <c r="E1015" s="9" t="str">
        <f>IF(AND(C1015=""),"",IF(AND(Y1015=""),"",ROUND(C1015*Master!H$5%,0)))</f>
        <v/>
      </c>
      <c r="F1015" s="9" t="str">
        <f t="shared" ref="F1015:F1017" si="1357">IF(AND(C1015=""),"",SUM(C1015:E1015))</f>
        <v/>
      </c>
      <c r="G1015" s="9" t="str">
        <f>IF(ISNA(VLOOKUP(Y1015,Master!A$8:N$127,5,FALSE)),"",VLOOKUP(Y1015,Master!A$8:AH$127,5,FALSE))</f>
        <v/>
      </c>
      <c r="H1015" s="9" t="str">
        <f>IF(AND(G1015=""),"",IF(AND(Y1015=""),"",ROUND(G1015*Master!C$4%,0)))</f>
        <v/>
      </c>
      <c r="I1015" s="9" t="str">
        <f>IF(AND(G1015=""),"",IF(AND(Y1015=""),"",ROUND(G1015*Master!H$4%,0)))</f>
        <v/>
      </c>
      <c r="J1015" s="9" t="str">
        <f t="shared" ref="J1015:J1017" si="1358">IF(AND(C1015=""),"",SUM(G1015:I1015))</f>
        <v/>
      </c>
      <c r="K1015" s="9" t="str">
        <f t="shared" ref="K1015:K1017" si="1359">IF(AND(C1015=""),"",IF(AND(G1015=""),"",C1015-G1015))</f>
        <v/>
      </c>
      <c r="L1015" s="9" t="str">
        <f t="shared" ref="L1015:L1017" si="1360">IF(AND(D1015=""),"",IF(AND(H1015=""),"",D1015-H1015))</f>
        <v/>
      </c>
      <c r="M1015" s="9" t="str">
        <f t="shared" ref="M1015:M1017" si="1361">IF(AND(E1015=""),"",IF(AND(I1015=""),"",E1015-I1015))</f>
        <v/>
      </c>
      <c r="N1015" s="9" t="str">
        <f t="shared" ref="N1015:N1017" si="1362">IF(AND(F1015=""),"",IF(AND(J1015=""),"",F1015-J1015))</f>
        <v/>
      </c>
      <c r="O1015" s="9" t="str">
        <f>IF(AND(C1015=""),"",N1015-P1015)</f>
        <v/>
      </c>
      <c r="P1015" s="9" t="str">
        <f>IF(AND(Y1015=""),"",IF(AND(N1015=""),"",ROUND(N1015*AA$1%,0)))</f>
        <v/>
      </c>
      <c r="Q1015" s="9" t="str">
        <f>IF(AND(Y1015=""),"",IF(AND(C1015=""),"",IF(AND(O1015=""),"",SUM(O1015,P1015))))</f>
        <v/>
      </c>
      <c r="R1015" s="9" t="str">
        <f>IF(AND(N1015=""),"",IF(AND(Q1015=""),"",N1015-Q1015))</f>
        <v/>
      </c>
      <c r="S1015" s="20"/>
      <c r="X1015" s="61" t="s">
        <v>49</v>
      </c>
      <c r="Y1015" s="64">
        <v>84</v>
      </c>
    </row>
    <row r="1016" spans="1:25" ht="21" customHeight="1">
      <c r="A1016" s="8">
        <v>2</v>
      </c>
      <c r="B1016" s="23">
        <v>44593</v>
      </c>
      <c r="C1016" s="9" t="str">
        <f>IF(AND(Y1015=""),"",C1015)</f>
        <v/>
      </c>
      <c r="D1016" s="9" t="str">
        <f>IF(AND(C1016=""),"",IF(AND(Y1015=""),"",ROUND(C1016*Master!C$5%,0)))</f>
        <v/>
      </c>
      <c r="E1016" s="9" t="str">
        <f>IF(AND(C1016=""),"",IF(AND(Y1015=""),"",ROUND(C1016*Master!H$5%,0)))</f>
        <v/>
      </c>
      <c r="F1016" s="9" t="str">
        <f t="shared" si="1357"/>
        <v/>
      </c>
      <c r="G1016" s="9" t="str">
        <f>IF(AND(Y1015=""),"",G1015)</f>
        <v/>
      </c>
      <c r="H1016" s="9" t="str">
        <f>IF(AND(G1016=""),"",IF(AND(Y1015=""),"",ROUND(G1016*Master!C$4%,0)))</f>
        <v/>
      </c>
      <c r="I1016" s="9" t="str">
        <f>IF(AND(G1016=""),"",IF(AND(Y1015=""),"",ROUND(G1016*Master!H$4%,0)))</f>
        <v/>
      </c>
      <c r="J1016" s="9" t="str">
        <f t="shared" si="1358"/>
        <v/>
      </c>
      <c r="K1016" s="9" t="str">
        <f t="shared" si="1359"/>
        <v/>
      </c>
      <c r="L1016" s="9" t="str">
        <f t="shared" si="1360"/>
        <v/>
      </c>
      <c r="M1016" s="9" t="str">
        <f t="shared" si="1361"/>
        <v/>
      </c>
      <c r="N1016" s="9" t="str">
        <f t="shared" si="1362"/>
        <v/>
      </c>
      <c r="O1016" s="9" t="str">
        <f t="shared" ref="O1016:O1017" si="1363">IF(AND(C1016=""),"",N1016-P1016)</f>
        <v/>
      </c>
      <c r="P1016" s="9" t="str">
        <f>IF(AND(Y1015=""),"",IF(AND(N1016=""),"",ROUND(N1016*AA$1%,0)))</f>
        <v/>
      </c>
      <c r="Q1016" s="9" t="str">
        <f>IF(AND(Y1015=""),"",IF(AND(C1016=""),"",IF(AND(O1016=""),"",SUM(O1016,P1016))))</f>
        <v/>
      </c>
      <c r="R1016" s="9" t="str">
        <f t="shared" ref="R1016:R1017" si="1364">IF(AND(N1016=""),"",IF(AND(Q1016=""),"",N1016-Q1016))</f>
        <v/>
      </c>
      <c r="S1016" s="20"/>
      <c r="X1016" s="4" t="str">
        <f>IF(ISNA(VLOOKUP(Y1015,Master!A$8:N$127,7,FALSE)),"",VLOOKUP(Y1015,Master!A$8:AH$127,7,FALSE))</f>
        <v/>
      </c>
    </row>
    <row r="1017" spans="1:25" ht="21" customHeight="1">
      <c r="A1017" s="8">
        <v>3</v>
      </c>
      <c r="B1017" s="23">
        <v>44621</v>
      </c>
      <c r="C1017" s="9" t="str">
        <f>IF(AND(Y1015=""),"",C1016)</f>
        <v/>
      </c>
      <c r="D1017" s="9" t="str">
        <f>IF(AND(C1017=""),"",IF(AND(Y1015=""),"",ROUND(C1017*Master!C$5%,0)))</f>
        <v/>
      </c>
      <c r="E1017" s="9" t="str">
        <f>IF(AND(C1017=""),"",IF(AND(Y1015=""),"",ROUND(C1017*Master!H$5%,0)))</f>
        <v/>
      </c>
      <c r="F1017" s="9" t="str">
        <f t="shared" si="1357"/>
        <v/>
      </c>
      <c r="G1017" s="9" t="str">
        <f>IF(AND(Y1015=""),"",G1016)</f>
        <v/>
      </c>
      <c r="H1017" s="9" t="str">
        <f>IF(AND(G1017=""),"",IF(AND(Y1015=""),"",ROUND(G1017*Master!C$4%,0)))</f>
        <v/>
      </c>
      <c r="I1017" s="9" t="str">
        <f>IF(AND(G1017=""),"",IF(AND(Y1015=""),"",ROUND(G1017*Master!H$4%,0)))</f>
        <v/>
      </c>
      <c r="J1017" s="9" t="str">
        <f t="shared" si="1358"/>
        <v/>
      </c>
      <c r="K1017" s="9" t="str">
        <f t="shared" si="1359"/>
        <v/>
      </c>
      <c r="L1017" s="9" t="str">
        <f t="shared" si="1360"/>
        <v/>
      </c>
      <c r="M1017" s="9" t="str">
        <f t="shared" si="1361"/>
        <v/>
      </c>
      <c r="N1017" s="9" t="str">
        <f t="shared" si="1362"/>
        <v/>
      </c>
      <c r="O1017" s="9" t="str">
        <f t="shared" si="1363"/>
        <v/>
      </c>
      <c r="P1017" s="9" t="str">
        <f>IF(AND(Y1015=""),"",IF(AND(N1017=""),"",ROUND(N1017*AA$1%,0)))</f>
        <v/>
      </c>
      <c r="Q1017" s="9" t="str">
        <f>IF(AND(Y1015=""),"",IF(AND(C1017=""),"",IF(AND(O1017=""),"",SUM(O1017,P1017))))</f>
        <v/>
      </c>
      <c r="R1017" s="9" t="str">
        <f t="shared" si="1364"/>
        <v/>
      </c>
      <c r="S1017" s="20"/>
    </row>
    <row r="1018" spans="1:25" ht="30.75" customHeight="1">
      <c r="A1018" s="153" t="s">
        <v>9</v>
      </c>
      <c r="B1018" s="154"/>
      <c r="C1018" s="63">
        <f>IF(AND(Y1015=""),"",SUM(C1015:C1017))</f>
        <v>0</v>
      </c>
      <c r="D1018" s="63">
        <f>IF(AND(Y1015=""),"",SUM(D1015:D1017))</f>
        <v>0</v>
      </c>
      <c r="E1018" s="63">
        <f>IF(AND(Y1015=""),"",SUM(E1015:E1017))</f>
        <v>0</v>
      </c>
      <c r="F1018" s="63">
        <f>IF(AND(Y1015=""),"",SUM(F1015:F1017))</f>
        <v>0</v>
      </c>
      <c r="G1018" s="63">
        <f>IF(AND(Y1015=""),"",SUM(G1015:G1017))</f>
        <v>0</v>
      </c>
      <c r="H1018" s="63">
        <f>IF(AND(Y1015=""),"",SUM(H1015:H1017))</f>
        <v>0</v>
      </c>
      <c r="I1018" s="63">
        <f>IF(AND(Y1015=""),"",SUM(I1015:I1017))</f>
        <v>0</v>
      </c>
      <c r="J1018" s="63">
        <f>IF(AND(Y1015=""),"",SUM(J1015:J1017))</f>
        <v>0</v>
      </c>
      <c r="K1018" s="63">
        <f>IF(AND(Y1015=""),"",SUM(K1015:K1017))</f>
        <v>0</v>
      </c>
      <c r="L1018" s="63">
        <f>IF(AND(Y1015=""),"",SUM(L1015:L1017))</f>
        <v>0</v>
      </c>
      <c r="M1018" s="63">
        <f>IF(AND(Y1015=""),"",SUM(M1015:M1017))</f>
        <v>0</v>
      </c>
      <c r="N1018" s="63">
        <f>IF(AND(Y1015=""),"",SUM(N1015:N1017))</f>
        <v>0</v>
      </c>
      <c r="O1018" s="63">
        <f>IF(AND(Y1015=""),"",SUM(O1015:O1017))</f>
        <v>0</v>
      </c>
      <c r="P1018" s="63">
        <f>IF(AND(Y1015=""),"",SUM(P1015:P1017))</f>
        <v>0</v>
      </c>
      <c r="Q1018" s="63">
        <f>IF(AND(Y1015=""),"",SUM(Q1015:Q1017))</f>
        <v>0</v>
      </c>
      <c r="R1018" s="63">
        <f>IF(AND(Y1015=""),"",SUM(R1015:R1017))</f>
        <v>0</v>
      </c>
      <c r="S1018" s="49"/>
    </row>
    <row r="1019" spans="1:25" ht="30.75" customHeight="1">
      <c r="A1019" s="73"/>
      <c r="B1019" s="73"/>
      <c r="C1019" s="74"/>
      <c r="D1019" s="74"/>
      <c r="E1019" s="74"/>
      <c r="F1019" s="74"/>
      <c r="G1019" s="74"/>
      <c r="H1019" s="74"/>
      <c r="I1019" s="74"/>
      <c r="J1019" s="74"/>
      <c r="K1019" s="74"/>
      <c r="L1019" s="74"/>
      <c r="M1019" s="74"/>
      <c r="N1019" s="74"/>
      <c r="O1019" s="74"/>
      <c r="P1019" s="74"/>
      <c r="Q1019" s="74"/>
      <c r="R1019" s="74"/>
      <c r="S1019" s="75"/>
    </row>
    <row r="1020" spans="1:25" ht="18.75">
      <c r="A1020" s="21"/>
      <c r="B1020" s="58"/>
      <c r="C1020" s="58"/>
      <c r="D1020" s="58"/>
      <c r="E1020" s="58"/>
      <c r="F1020" s="58"/>
      <c r="G1020" s="58"/>
      <c r="H1020" s="59"/>
      <c r="I1020" s="59"/>
      <c r="J1020" s="59"/>
      <c r="K1020" s="66"/>
      <c r="L1020" s="66"/>
      <c r="M1020" s="66"/>
      <c r="N1020" s="66"/>
      <c r="O1020" s="138" t="s">
        <v>42</v>
      </c>
      <c r="P1020" s="138"/>
      <c r="Q1020" s="138"/>
      <c r="R1020" s="138"/>
      <c r="S1020" s="138"/>
    </row>
    <row r="1021" spans="1:25" ht="18.75">
      <c r="A1021" s="1"/>
      <c r="B1021" s="24" t="s">
        <v>19</v>
      </c>
      <c r="C1021" s="139"/>
      <c r="D1021" s="139"/>
      <c r="E1021" s="139"/>
      <c r="F1021" s="139"/>
      <c r="G1021" s="139"/>
      <c r="H1021" s="25"/>
      <c r="I1021" s="143" t="s">
        <v>20</v>
      </c>
      <c r="J1021" s="143"/>
      <c r="K1021" s="141"/>
      <c r="L1021" s="141"/>
      <c r="M1021" s="141"/>
      <c r="O1021" s="138"/>
      <c r="P1021" s="138"/>
      <c r="Q1021" s="138"/>
      <c r="R1021" s="138"/>
      <c r="S1021" s="138"/>
    </row>
    <row r="1022" spans="1:25" ht="18.75">
      <c r="A1022" s="1"/>
      <c r="B1022" s="140" t="s">
        <v>21</v>
      </c>
      <c r="C1022" s="140"/>
      <c r="D1022" s="140"/>
      <c r="E1022" s="140"/>
      <c r="F1022" s="140"/>
      <c r="G1022" s="140"/>
      <c r="H1022" s="140"/>
      <c r="I1022" s="27"/>
      <c r="J1022" s="26"/>
      <c r="K1022" s="26"/>
      <c r="L1022" s="26"/>
      <c r="M1022" s="26"/>
    </row>
    <row r="1023" spans="1:25" ht="18.75">
      <c r="A1023" s="22">
        <v>1</v>
      </c>
      <c r="B1023" s="142" t="s">
        <v>22</v>
      </c>
      <c r="C1023" s="142"/>
      <c r="D1023" s="142"/>
      <c r="E1023" s="142"/>
      <c r="F1023" s="142"/>
      <c r="G1023" s="142"/>
      <c r="H1023" s="142"/>
      <c r="I1023" s="28"/>
      <c r="J1023" s="26"/>
      <c r="K1023" s="26"/>
      <c r="L1023" s="26"/>
      <c r="M1023" s="26"/>
    </row>
    <row r="1024" spans="1:25" ht="18.75">
      <c r="A1024" s="2">
        <v>2</v>
      </c>
      <c r="B1024" s="142" t="s">
        <v>23</v>
      </c>
      <c r="C1024" s="142"/>
      <c r="D1024" s="142"/>
      <c r="E1024" s="142"/>
      <c r="F1024" s="142"/>
      <c r="G1024" s="132"/>
      <c r="H1024" s="132"/>
      <c r="I1024" s="132"/>
      <c r="J1024" s="132"/>
      <c r="K1024" s="132"/>
      <c r="L1024" s="132"/>
      <c r="M1024" s="132"/>
    </row>
    <row r="1025" spans="1:27" ht="18.75">
      <c r="A1025" s="3">
        <v>3</v>
      </c>
      <c r="B1025" s="142" t="s">
        <v>24</v>
      </c>
      <c r="C1025" s="142"/>
      <c r="D1025" s="142"/>
      <c r="E1025" s="29"/>
      <c r="F1025" s="28"/>
      <c r="G1025" s="28"/>
      <c r="H1025" s="30"/>
      <c r="I1025" s="31"/>
      <c r="J1025" s="26"/>
      <c r="K1025" s="26"/>
      <c r="L1025" s="26"/>
      <c r="M1025" s="26"/>
    </row>
    <row r="1026" spans="1:27" ht="15.75">
      <c r="O1026" s="138" t="s">
        <v>42</v>
      </c>
      <c r="P1026" s="138"/>
      <c r="Q1026" s="138"/>
      <c r="R1026" s="138"/>
      <c r="S1026" s="138"/>
    </row>
    <row r="1028" spans="1:27" ht="18" customHeight="1">
      <c r="A1028" s="148" t="str">
        <f>A994</f>
        <v xml:space="preserve">DA (46% to 50%) Drawn Statement  </v>
      </c>
      <c r="B1028" s="148"/>
      <c r="C1028" s="148"/>
      <c r="D1028" s="148"/>
      <c r="E1028" s="148"/>
      <c r="F1028" s="148"/>
      <c r="G1028" s="148"/>
      <c r="H1028" s="148"/>
      <c r="I1028" s="148"/>
      <c r="J1028" s="148"/>
      <c r="K1028" s="148"/>
      <c r="L1028" s="148"/>
      <c r="M1028" s="148"/>
      <c r="N1028" s="148"/>
      <c r="O1028" s="148"/>
      <c r="P1028" s="148"/>
      <c r="Q1028" s="148"/>
      <c r="R1028" s="148"/>
      <c r="S1028" s="148"/>
      <c r="W1028" s="4">
        <f>IF(ISNA(VLOOKUP($Y$3,Master!A$8:N$127,4,FALSE)),"",VLOOKUP($Y$3,Master!A$8:AH$127,4,FALSE))</f>
        <v>2</v>
      </c>
      <c r="X1028" s="4" t="str">
        <f>IF(ISNA(VLOOKUP($Y$3,Master!A$8:N$127,6,FALSE)),"",VLOOKUP($Y$3,Master!A$8:AH$127,6,FALSE))</f>
        <v>GPF-2004</v>
      </c>
      <c r="Y1028" s="4" t="s">
        <v>45</v>
      </c>
      <c r="Z1028" s="4" t="s">
        <v>18</v>
      </c>
      <c r="AA1028" s="4" t="str">
        <f>IF(ISNA(VLOOKUP(Y1030,Master!A$8:N$127,7,FALSE)),"",VLOOKUP(Y1030,Master!A$8:AH$127,7,FALSE))</f>
        <v/>
      </c>
    </row>
    <row r="1029" spans="1:27" ht="18">
      <c r="A1029" s="131" t="str">
        <f>IF(AND(Master!C955=""),"",CONCATENATE("Office Of  ",Master!C955))</f>
        <v/>
      </c>
      <c r="B1029" s="131"/>
      <c r="C1029" s="131"/>
      <c r="D1029" s="131"/>
      <c r="E1029" s="131"/>
      <c r="F1029" s="131"/>
      <c r="G1029" s="131"/>
      <c r="H1029" s="131"/>
      <c r="I1029" s="131"/>
      <c r="J1029" s="131"/>
      <c r="K1029" s="131"/>
      <c r="L1029" s="131"/>
      <c r="M1029" s="131"/>
      <c r="N1029" s="131"/>
      <c r="O1029" s="131"/>
      <c r="P1029" s="131"/>
      <c r="Q1029" s="131"/>
      <c r="R1029" s="131"/>
      <c r="S1029" s="131"/>
      <c r="X1029" s="4">
        <f>IF(ISNA(VLOOKUP($Y$3,Master!A$8:N$127,8,FALSE)),"",VLOOKUP($Y$3,Master!A$8:AH$127,8,FALSE))</f>
        <v>45292</v>
      </c>
      <c r="Y1029" s="4" t="s">
        <v>43</v>
      </c>
    </row>
    <row r="1030" spans="1:27" ht="18.75">
      <c r="E1030" s="133" t="s">
        <v>10</v>
      </c>
      <c r="F1030" s="133"/>
      <c r="G1030" s="133"/>
      <c r="H1030" s="133"/>
      <c r="I1030" s="133"/>
      <c r="J1030" s="132" t="str">
        <f>IF(ISNA(VLOOKUP(Y1030,Master!A$8:N$127,2,FALSE)),"",VLOOKUP(Y1030,Master!A$8:AH$127,2,FALSE))</f>
        <v/>
      </c>
      <c r="K1030" s="132"/>
      <c r="L1030" s="132"/>
      <c r="M1030" s="132"/>
      <c r="N1030" s="132"/>
      <c r="O1030" s="60" t="s">
        <v>31</v>
      </c>
      <c r="P1030" s="132" t="str">
        <f>IF(ISNA(VLOOKUP(Y1030,Master!A$8:N$127,3,FALSE)),"",VLOOKUP(Y1030,Master!A$8:AH$127,3,FALSE))</f>
        <v/>
      </c>
      <c r="Q1030" s="132"/>
      <c r="R1030" s="132"/>
      <c r="S1030" s="132"/>
      <c r="X1030" s="61" t="s">
        <v>49</v>
      </c>
      <c r="Y1030" s="64">
        <v>85</v>
      </c>
    </row>
    <row r="1031" spans="1:27" ht="8.25" customHeight="1">
      <c r="E1031" s="19"/>
      <c r="F1031" s="52"/>
      <c r="G1031" s="22"/>
      <c r="H1031" s="22"/>
      <c r="I1031" s="22"/>
      <c r="J1031" s="5"/>
      <c r="K1031" s="5"/>
      <c r="L1031" s="5"/>
      <c r="M1031" s="5"/>
      <c r="N1031" s="5"/>
      <c r="O1031" s="6"/>
      <c r="P1031" s="6"/>
    </row>
    <row r="1032" spans="1:27" ht="24.75" customHeight="1">
      <c r="A1032" s="157" t="s">
        <v>0</v>
      </c>
      <c r="B1032" s="158" t="s">
        <v>3</v>
      </c>
      <c r="C1032" s="159" t="s">
        <v>5</v>
      </c>
      <c r="D1032" s="159"/>
      <c r="E1032" s="159"/>
      <c r="F1032" s="159"/>
      <c r="G1032" s="159" t="s">
        <v>6</v>
      </c>
      <c r="H1032" s="159"/>
      <c r="I1032" s="159"/>
      <c r="J1032" s="159"/>
      <c r="K1032" s="159" t="s">
        <v>7</v>
      </c>
      <c r="L1032" s="159"/>
      <c r="M1032" s="159"/>
      <c r="N1032" s="159"/>
      <c r="O1032" s="149" t="s">
        <v>8</v>
      </c>
      <c r="P1032" s="150"/>
      <c r="Q1032" s="151"/>
      <c r="R1032" s="162" t="s">
        <v>54</v>
      </c>
      <c r="S1032" s="162" t="s">
        <v>40</v>
      </c>
    </row>
    <row r="1033" spans="1:27" ht="69" customHeight="1">
      <c r="A1033" s="157"/>
      <c r="B1033" s="158"/>
      <c r="C1033" s="54" t="s">
        <v>29</v>
      </c>
      <c r="D1033" s="55" t="s">
        <v>1</v>
      </c>
      <c r="E1033" s="56" t="s">
        <v>2</v>
      </c>
      <c r="F1033" s="54" t="s">
        <v>46</v>
      </c>
      <c r="G1033" s="54" t="s">
        <v>29</v>
      </c>
      <c r="H1033" s="55" t="s">
        <v>1</v>
      </c>
      <c r="I1033" s="56" t="s">
        <v>2</v>
      </c>
      <c r="J1033" s="54" t="s">
        <v>47</v>
      </c>
      <c r="K1033" s="54" t="s">
        <v>4</v>
      </c>
      <c r="L1033" s="55" t="s">
        <v>1</v>
      </c>
      <c r="M1033" s="56" t="s">
        <v>2</v>
      </c>
      <c r="N1033" s="57" t="s">
        <v>48</v>
      </c>
      <c r="O1033" s="53" t="s">
        <v>69</v>
      </c>
      <c r="P1033" s="65" t="s">
        <v>41</v>
      </c>
      <c r="Q1033" s="57" t="s">
        <v>53</v>
      </c>
      <c r="R1033" s="162"/>
      <c r="S1033" s="162"/>
    </row>
    <row r="1034" spans="1:27" ht="18" customHeight="1">
      <c r="A1034" s="7">
        <v>1</v>
      </c>
      <c r="B1034" s="7">
        <v>2</v>
      </c>
      <c r="C1034" s="7">
        <v>3</v>
      </c>
      <c r="D1034" s="7">
        <v>4</v>
      </c>
      <c r="E1034" s="7">
        <v>5</v>
      </c>
      <c r="F1034" s="7">
        <v>6</v>
      </c>
      <c r="G1034" s="7">
        <v>7</v>
      </c>
      <c r="H1034" s="7">
        <v>8</v>
      </c>
      <c r="I1034" s="7">
        <v>9</v>
      </c>
      <c r="J1034" s="7">
        <v>10</v>
      </c>
      <c r="K1034" s="7">
        <v>11</v>
      </c>
      <c r="L1034" s="7">
        <v>12</v>
      </c>
      <c r="M1034" s="7">
        <v>13</v>
      </c>
      <c r="N1034" s="7">
        <v>14</v>
      </c>
      <c r="O1034" s="7">
        <v>15</v>
      </c>
      <c r="P1034" s="7">
        <v>17</v>
      </c>
      <c r="Q1034" s="7">
        <v>18</v>
      </c>
      <c r="R1034" s="7">
        <v>19</v>
      </c>
      <c r="S1034" s="7">
        <v>20</v>
      </c>
    </row>
    <row r="1035" spans="1:27" ht="21" customHeight="1">
      <c r="A1035" s="8">
        <v>1</v>
      </c>
      <c r="B1035" s="23">
        <v>44562</v>
      </c>
      <c r="C1035" s="9" t="str">
        <f>IF(ISNA(VLOOKUP(Y1030,Master!A$8:N$127,5,FALSE)),"",VLOOKUP(Y1030,Master!A$8:AH$127,5,FALSE))</f>
        <v/>
      </c>
      <c r="D1035" s="9" t="str">
        <f>IF(AND(C1035=""),"",IF(AND(Y1030=""),"",ROUND(C1035*Master!C$5%,0)))</f>
        <v/>
      </c>
      <c r="E1035" s="9" t="str">
        <f>IF(AND(C1035=""),"",IF(AND(Y1030=""),"",ROUND(C1035*Master!H$5%,0)))</f>
        <v/>
      </c>
      <c r="F1035" s="9" t="str">
        <f t="shared" ref="F1035" si="1365">IF(AND(C1035=""),"",SUM(C1035:E1035))</f>
        <v/>
      </c>
      <c r="G1035" s="9" t="str">
        <f>IF(ISNA(VLOOKUP(Y1030,Master!A$8:N$127,5,FALSE)),"",VLOOKUP(Y1030,Master!A$8:AH$127,5,FALSE))</f>
        <v/>
      </c>
      <c r="H1035" s="9" t="str">
        <f>IF(AND(G1035=""),"",IF(AND(Y1030=""),"",ROUND(G1035*Master!C$4%,0)))</f>
        <v/>
      </c>
      <c r="I1035" s="9" t="str">
        <f>IF(AND(G1035=""),"",IF(AND(Y1030=""),"",ROUND(G1035*Master!H$4%,0)))</f>
        <v/>
      </c>
      <c r="J1035" s="9" t="str">
        <f t="shared" ref="J1035:J1036" si="1366">IF(AND(C1035=""),"",SUM(G1035:I1035))</f>
        <v/>
      </c>
      <c r="K1035" s="9" t="str">
        <f t="shared" ref="K1035:K1037" si="1367">IF(AND(C1035=""),"",IF(AND(G1035=""),"",C1035-G1035))</f>
        <v/>
      </c>
      <c r="L1035" s="9" t="str">
        <f t="shared" ref="L1035:L1037" si="1368">IF(AND(D1035=""),"",IF(AND(H1035=""),"",D1035-H1035))</f>
        <v/>
      </c>
      <c r="M1035" s="9" t="str">
        <f t="shared" ref="M1035:M1036" si="1369">IF(AND(E1035=""),"",IF(AND(I1035=""),"",E1035-I1035))</f>
        <v/>
      </c>
      <c r="N1035" s="9" t="str">
        <f t="shared" ref="N1035:N1036" si="1370">IF(AND(F1035=""),"",IF(AND(J1035=""),"",F1035-J1035))</f>
        <v/>
      </c>
      <c r="O1035" s="9" t="str">
        <f>IF(AND(C1035=""),"",N1035-P1035)</f>
        <v/>
      </c>
      <c r="P1035" s="9" t="str">
        <f>IF(AND(Y1030=""),"",IF(AND(N1035=""),"",ROUND(N1035*AA$1%,0)))</f>
        <v/>
      </c>
      <c r="Q1035" s="9" t="str">
        <f>IF(AND(Y1030=""),"",IF(AND(C1035=""),"",IF(AND(O1035=""),"",SUM(O1035,P1035))))</f>
        <v/>
      </c>
      <c r="R1035" s="9" t="str">
        <f>IF(AND(N1035=""),"",IF(AND(Q1035=""),"",N1035-Q1035))</f>
        <v/>
      </c>
      <c r="S1035" s="20"/>
    </row>
    <row r="1036" spans="1:27" ht="21" customHeight="1">
      <c r="A1036" s="8">
        <v>2</v>
      </c>
      <c r="B1036" s="23">
        <v>44593</v>
      </c>
      <c r="C1036" s="9" t="str">
        <f>IF(AND(Y1030=""),"",C1035)</f>
        <v/>
      </c>
      <c r="D1036" s="9" t="str">
        <f>IF(AND(C1036=""),"",IF(AND(Y1030=""),"",ROUND(C1036*Master!C$5%,0)))</f>
        <v/>
      </c>
      <c r="E1036" s="9" t="str">
        <f>IF(AND(C1036=""),"",IF(AND(Y1030=""),"",ROUND(C1036*Master!H$5%,0)))</f>
        <v/>
      </c>
      <c r="F1036" s="9" t="str">
        <f>IF(AND(C1036=""),"",SUM(C1036:E1036))</f>
        <v/>
      </c>
      <c r="G1036" s="9" t="str">
        <f>IF(AND(Y1030=""),"",G1035)</f>
        <v/>
      </c>
      <c r="H1036" s="9" t="str">
        <f>IF(AND(G1036=""),"",IF(AND(Y1030=""),"",ROUND(G1036*Master!C$4%,0)))</f>
        <v/>
      </c>
      <c r="I1036" s="9" t="str">
        <f>IF(AND(G1036=""),"",IF(AND(Y1030=""),"",ROUND(G1036*Master!H$4%,0)))</f>
        <v/>
      </c>
      <c r="J1036" s="9" t="str">
        <f t="shared" si="1366"/>
        <v/>
      </c>
      <c r="K1036" s="9" t="str">
        <f t="shared" si="1367"/>
        <v/>
      </c>
      <c r="L1036" s="9" t="str">
        <f t="shared" si="1368"/>
        <v/>
      </c>
      <c r="M1036" s="9" t="str">
        <f t="shared" si="1369"/>
        <v/>
      </c>
      <c r="N1036" s="9" t="str">
        <f t="shared" si="1370"/>
        <v/>
      </c>
      <c r="O1036" s="9" t="str">
        <f t="shared" ref="O1036:O1037" si="1371">IF(AND(C1036=""),"",N1036-P1036)</f>
        <v/>
      </c>
      <c r="P1036" s="9" t="str">
        <f>IF(AND(Y1030=""),"",IF(AND(N1036=""),"",ROUND(N1036*AA$1%,0)))</f>
        <v/>
      </c>
      <c r="Q1036" s="9" t="str">
        <f>IF(AND(Y1030=""),"",IF(AND(C1036=""),"",IF(AND(O1036=""),"",SUM(O1036,P1036))))</f>
        <v/>
      </c>
      <c r="R1036" s="9" t="str">
        <f t="shared" ref="R1036:R1037" si="1372">IF(AND(N1036=""),"",IF(AND(Q1036=""),"",N1036-Q1036))</f>
        <v/>
      </c>
      <c r="S1036" s="20"/>
    </row>
    <row r="1037" spans="1:27" ht="21" customHeight="1">
      <c r="A1037" s="8">
        <v>3</v>
      </c>
      <c r="B1037" s="23">
        <v>44621</v>
      </c>
      <c r="C1037" s="9" t="str">
        <f>IF(AND(Y1030=""),"",C1036)</f>
        <v/>
      </c>
      <c r="D1037" s="9" t="str">
        <f>IF(AND(C1037=""),"",IF(AND(Y1030=""),"",ROUND(C1037*Master!C$5%,0)))</f>
        <v/>
      </c>
      <c r="E1037" s="9" t="str">
        <f>IF(AND(C1037=""),"",IF(AND(Y1030=""),"",ROUND(C1037*Master!H$5%,0)))</f>
        <v/>
      </c>
      <c r="F1037" s="9" t="str">
        <f t="shared" ref="F1037" si="1373">IF(AND(C1037=""),"",SUM(C1037:E1037))</f>
        <v/>
      </c>
      <c r="G1037" s="9" t="str">
        <f>IF(AND(Y1030=""),"",G1036)</f>
        <v/>
      </c>
      <c r="H1037" s="9" t="str">
        <f>IF(AND(G1037=""),"",IF(AND(Y1030=""),"",ROUND(G1037*Master!C$4%,0)))</f>
        <v/>
      </c>
      <c r="I1037" s="9" t="str">
        <f>IF(AND(G1037=""),"",IF(AND(Y1030=""),"",ROUND(G1037*Master!H$4%,0)))</f>
        <v/>
      </c>
      <c r="J1037" s="9" t="str">
        <f>IF(AND(C1037=""),"",SUM(G1037:I1037))</f>
        <v/>
      </c>
      <c r="K1037" s="9" t="str">
        <f t="shared" si="1367"/>
        <v/>
      </c>
      <c r="L1037" s="9" t="str">
        <f t="shared" si="1368"/>
        <v/>
      </c>
      <c r="M1037" s="9" t="str">
        <f>IF(AND(E1037=""),"",IF(AND(I1037=""),"",E1037-I1037))</f>
        <v/>
      </c>
      <c r="N1037" s="9" t="str">
        <f>IF(AND(F1037=""),"",IF(AND(J1037=""),"",F1037-J1037))</f>
        <v/>
      </c>
      <c r="O1037" s="9" t="str">
        <f t="shared" si="1371"/>
        <v/>
      </c>
      <c r="P1037" s="9" t="str">
        <f>IF(AND(Y1030=""),"",IF(AND(N1037=""),"",ROUND(N1037*AA$1%,0)))</f>
        <v/>
      </c>
      <c r="Q1037" s="9" t="str">
        <f>IF(AND(Y1030=""),"",IF(AND(C1037=""),"",IF(AND(O1037=""),"",SUM(O1037,P1037))))</f>
        <v/>
      </c>
      <c r="R1037" s="9" t="str">
        <f t="shared" si="1372"/>
        <v/>
      </c>
      <c r="S1037" s="20"/>
    </row>
    <row r="1038" spans="1:27" ht="23.25" customHeight="1">
      <c r="A1038" s="153" t="s">
        <v>9</v>
      </c>
      <c r="B1038" s="154"/>
      <c r="C1038" s="63">
        <f>IF(AND(Y1030=""),"",SUM(C1035:C1037))</f>
        <v>0</v>
      </c>
      <c r="D1038" s="63">
        <f>IF(AND(Y1030=""),"",SUM(D1035:D1037))</f>
        <v>0</v>
      </c>
      <c r="E1038" s="63">
        <f>IF(AND(Y1030=""),"",SUM(E1035:E1037))</f>
        <v>0</v>
      </c>
      <c r="F1038" s="63">
        <f>IF(AND(Y1030=""),"",SUM(F1035:F1037))</f>
        <v>0</v>
      </c>
      <c r="G1038" s="63">
        <f>IF(AND(Y1030=""),"",SUM(G1035:G1037))</f>
        <v>0</v>
      </c>
      <c r="H1038" s="63">
        <f>IF(AND(Y1030=""),"",SUM(H1035:H1037))</f>
        <v>0</v>
      </c>
      <c r="I1038" s="63">
        <f>IF(AND(Y1030=""),"",SUM(I1035:I1037))</f>
        <v>0</v>
      </c>
      <c r="J1038" s="63">
        <f>IF(AND(Y1030=""),"",SUM(J1035:J1037))</f>
        <v>0</v>
      </c>
      <c r="K1038" s="63">
        <f>IF(AND(Y1030=""),"",SUM(K1035:K1037))</f>
        <v>0</v>
      </c>
      <c r="L1038" s="63">
        <f>IF(AND(Y1030=""),"",SUM(L1035:L1037))</f>
        <v>0</v>
      </c>
      <c r="M1038" s="63">
        <f>IF(AND(Y1030=""),"",SUM(M1035:M1037))</f>
        <v>0</v>
      </c>
      <c r="N1038" s="63">
        <f>IF(AND(Y1030=""),"",SUM(N1035:N1037))</f>
        <v>0</v>
      </c>
      <c r="O1038" s="63">
        <f>IF(AND(Y1030=""),"",SUM(O1035:O1037))</f>
        <v>0</v>
      </c>
      <c r="P1038" s="63">
        <f>IF(AND(Y1030=""),"",SUM(P1035:P1037))</f>
        <v>0</v>
      </c>
      <c r="Q1038" s="63">
        <f>IF(AND(Y1030=""),"",SUM(Q1035:Q1037))</f>
        <v>0</v>
      </c>
      <c r="R1038" s="63">
        <f>IF(AND(Y1030=""),"",SUM(R1035:R1037))</f>
        <v>0</v>
      </c>
      <c r="S1038" s="49"/>
    </row>
    <row r="1039" spans="1:27" ht="10.5" customHeight="1">
      <c r="A1039" s="73"/>
      <c r="B1039" s="73"/>
      <c r="C1039" s="74"/>
      <c r="D1039" s="74"/>
      <c r="E1039" s="74"/>
      <c r="F1039" s="74"/>
      <c r="G1039" s="74"/>
      <c r="H1039" s="74"/>
      <c r="I1039" s="74"/>
      <c r="J1039" s="74"/>
      <c r="K1039" s="74"/>
      <c r="L1039" s="74"/>
      <c r="M1039" s="74"/>
      <c r="N1039" s="74"/>
      <c r="O1039" s="74"/>
      <c r="P1039" s="74"/>
      <c r="Q1039" s="74"/>
      <c r="R1039" s="74"/>
      <c r="S1039" s="75"/>
    </row>
    <row r="1040" spans="1:27" ht="23.25" customHeight="1">
      <c r="E1040" s="133" t="s">
        <v>10</v>
      </c>
      <c r="F1040" s="133"/>
      <c r="G1040" s="133"/>
      <c r="H1040" s="133"/>
      <c r="I1040" s="133"/>
      <c r="J1040" s="132" t="str">
        <f>IF(ISNA(VLOOKUP(Y1042,Master!A$8:N$127,2,FALSE)),"",VLOOKUP(Y1042,Master!A$8:AH$127,2,FALSE))</f>
        <v/>
      </c>
      <c r="K1040" s="132"/>
      <c r="L1040" s="132"/>
      <c r="M1040" s="132"/>
      <c r="N1040" s="132"/>
      <c r="O1040" s="60" t="s">
        <v>31</v>
      </c>
      <c r="P1040" s="132" t="str">
        <f>IF(ISNA(VLOOKUP(Y1042,Master!A$8:N$127,3,FALSE)),"",VLOOKUP(Y1042,Master!A$8:AH$127,3,FALSE))</f>
        <v/>
      </c>
      <c r="Q1040" s="132"/>
      <c r="R1040" s="132"/>
      <c r="S1040" s="132"/>
    </row>
    <row r="1041" spans="1:25" ht="9" customHeight="1">
      <c r="E1041" s="19"/>
      <c r="F1041" s="52"/>
      <c r="G1041" s="22"/>
      <c r="H1041" s="22"/>
      <c r="I1041" s="22"/>
      <c r="J1041" s="5"/>
      <c r="K1041" s="5"/>
      <c r="L1041" s="5"/>
      <c r="M1041" s="5"/>
      <c r="N1041" s="5"/>
      <c r="O1041" s="6"/>
      <c r="P1041" s="6"/>
    </row>
    <row r="1042" spans="1:25" ht="21" customHeight="1">
      <c r="A1042" s="8">
        <v>1</v>
      </c>
      <c r="B1042" s="23">
        <v>44562</v>
      </c>
      <c r="C1042" s="9" t="str">
        <f>IF(ISNA(VLOOKUP(Y1042,Master!A$8:N$127,5,FALSE)),"",VLOOKUP(Y1042,Master!A$8:AH$127,5,FALSE))</f>
        <v/>
      </c>
      <c r="D1042" s="9" t="str">
        <f>IF(AND(C1042=""),"",IF(AND(Y1042=""),"",ROUND(C1042*Master!C$5%,0)))</f>
        <v/>
      </c>
      <c r="E1042" s="9" t="str">
        <f>IF(AND(C1042=""),"",IF(AND(Y1042=""),"",ROUND(C1042*Master!H$5%,0)))</f>
        <v/>
      </c>
      <c r="F1042" s="9" t="str">
        <f t="shared" ref="F1042:F1043" si="1374">IF(AND(C1042=""),"",SUM(C1042:E1042))</f>
        <v/>
      </c>
      <c r="G1042" s="9" t="str">
        <f>IF(ISNA(VLOOKUP(Y1042,Master!A$8:N$127,5,FALSE)),"",VLOOKUP(Y1042,Master!A$8:AH$127,5,FALSE))</f>
        <v/>
      </c>
      <c r="H1042" s="9" t="str">
        <f>IF(AND(G1042=""),"",IF(AND(Y1042=""),"",ROUND(G1042*Master!C$4%,0)))</f>
        <v/>
      </c>
      <c r="I1042" s="9" t="str">
        <f>IF(AND(G1042=""),"",IF(AND(Y1042=""),"",ROUND(G1042*Master!H$4%,0)))</f>
        <v/>
      </c>
      <c r="J1042" s="9" t="str">
        <f t="shared" ref="J1042:J1044" si="1375">IF(AND(C1042=""),"",SUM(G1042:I1042))</f>
        <v/>
      </c>
      <c r="K1042" s="9" t="str">
        <f t="shared" ref="K1042" si="1376">IF(AND(C1042=""),"",IF(AND(G1042=""),"",C1042-G1042))</f>
        <v/>
      </c>
      <c r="L1042" s="9" t="str">
        <f>IF(AND(D1042=""),"",IF(AND(H1042=""),"",D1042-H1042))</f>
        <v/>
      </c>
      <c r="M1042" s="9" t="str">
        <f t="shared" ref="M1042:M1044" si="1377">IF(AND(E1042=""),"",IF(AND(I1042=""),"",E1042-I1042))</f>
        <v/>
      </c>
      <c r="N1042" s="9" t="str">
        <f t="shared" ref="N1042" si="1378">IF(AND(F1042=""),"",IF(AND(J1042=""),"",F1042-J1042))</f>
        <v/>
      </c>
      <c r="O1042" s="9" t="str">
        <f>IF(AND(C1042=""),"",N1042-P1042)</f>
        <v/>
      </c>
      <c r="P1042" s="9" t="str">
        <f>IF(AND(Y1042=""),"",IF(AND(N1042=""),"",ROUND(N1042*X$17%,0)))</f>
        <v/>
      </c>
      <c r="Q1042" s="9" t="str">
        <f>IF(AND(Y1042=""),"",IF(AND(C1042=""),"",IF(AND(O1042=""),"",SUM(O1042,P1042))))</f>
        <v/>
      </c>
      <c r="R1042" s="9" t="str">
        <f>IF(AND(N1042=""),"",IF(AND(Q1042=""),"",N1042-Q1042))</f>
        <v/>
      </c>
      <c r="S1042" s="20"/>
      <c r="X1042" s="61" t="s">
        <v>49</v>
      </c>
      <c r="Y1042" s="64">
        <v>86</v>
      </c>
    </row>
    <row r="1043" spans="1:25" ht="21" customHeight="1">
      <c r="A1043" s="8">
        <v>2</v>
      </c>
      <c r="B1043" s="23">
        <v>44593</v>
      </c>
      <c r="C1043" s="9" t="str">
        <f>IF(AND(Y1042=""),"",C1042)</f>
        <v/>
      </c>
      <c r="D1043" s="9" t="str">
        <f>IF(AND(C1043=""),"",IF(AND(Y1042=""),"",ROUND(C1043*Master!C$5%,0)))</f>
        <v/>
      </c>
      <c r="E1043" s="9" t="str">
        <f>IF(AND(C1043=""),"",IF(AND(Y1042=""),"",ROUND(C1043*Master!H$5%,0)))</f>
        <v/>
      </c>
      <c r="F1043" s="9" t="str">
        <f t="shared" si="1374"/>
        <v/>
      </c>
      <c r="G1043" s="9" t="str">
        <f>IF(AND(Y1042=""),"",G1042)</f>
        <v/>
      </c>
      <c r="H1043" s="9" t="str">
        <f>IF(AND(G1043=""),"",IF(AND(Y1042=""),"",ROUND(G1043*Master!C$4%,0)))</f>
        <v/>
      </c>
      <c r="I1043" s="9" t="str">
        <f>IF(AND(G1043=""),"",IF(AND(Y1042=""),"",ROUND(G1043*Master!H$4%,0)))</f>
        <v/>
      </c>
      <c r="J1043" s="9" t="str">
        <f t="shared" si="1375"/>
        <v/>
      </c>
      <c r="K1043" s="9" t="str">
        <f>IF(AND(C1043=""),"",IF(AND(G1043=""),"",C1043-G1043))</f>
        <v/>
      </c>
      <c r="L1043" s="9" t="str">
        <f t="shared" ref="L1043:L1044" si="1379">IF(AND(D1043=""),"",IF(AND(H1043=""),"",D1043-H1043))</f>
        <v/>
      </c>
      <c r="M1043" s="9" t="str">
        <f t="shared" si="1377"/>
        <v/>
      </c>
      <c r="N1043" s="9" t="str">
        <f>IF(AND(F1043=""),"",IF(AND(J1043=""),"",F1043-J1043))</f>
        <v/>
      </c>
      <c r="O1043" s="9" t="str">
        <f t="shared" ref="O1043:O1044" si="1380">IF(AND(C1043=""),"",N1043-P1043)</f>
        <v/>
      </c>
      <c r="P1043" s="9" t="str">
        <f>IF(AND(Y1042=""),"",IF(AND(N1043=""),"",ROUND(N1043*X$17%,0)))</f>
        <v/>
      </c>
      <c r="Q1043" s="9" t="str">
        <f>IF(AND(Y1042=""),"",IF(AND(C1043=""),"",IF(AND(O1043=""),"",SUM(O1043,P1043))))</f>
        <v/>
      </c>
      <c r="R1043" s="9" t="str">
        <f t="shared" ref="R1043:R1044" si="1381">IF(AND(N1043=""),"",IF(AND(Q1043=""),"",N1043-Q1043))</f>
        <v/>
      </c>
      <c r="S1043" s="20"/>
      <c r="X1043" s="4" t="str">
        <f>IF(ISNA(VLOOKUP(Y1042,Master!A$8:N$127,7,FALSE)),"",VLOOKUP(Y1042,Master!A$8:AH$127,7,FALSE))</f>
        <v/>
      </c>
    </row>
    <row r="1044" spans="1:25" ht="21" customHeight="1">
      <c r="A1044" s="8">
        <v>3</v>
      </c>
      <c r="B1044" s="23">
        <v>44621</v>
      </c>
      <c r="C1044" s="9" t="str">
        <f>IF(AND(Y1042=""),"",C1043)</f>
        <v/>
      </c>
      <c r="D1044" s="9" t="str">
        <f>IF(AND(C1044=""),"",IF(AND(Y1042=""),"",ROUND(C1044*Master!C$5%,0)))</f>
        <v/>
      </c>
      <c r="E1044" s="9" t="str">
        <f>IF(AND(C1044=""),"",IF(AND(Y1042=""),"",ROUND(C1044*Master!H$5%,0)))</f>
        <v/>
      </c>
      <c r="F1044" s="9" t="str">
        <f>IF(AND(C1044=""),"",SUM(C1044:E1044))</f>
        <v/>
      </c>
      <c r="G1044" s="9" t="str">
        <f>IF(AND(Y1042=""),"",G1043)</f>
        <v/>
      </c>
      <c r="H1044" s="9" t="str">
        <f>IF(AND(G1044=""),"",IF(AND(Y1042=""),"",ROUND(G1044*Master!C$4%,0)))</f>
        <v/>
      </c>
      <c r="I1044" s="9" t="str">
        <f>IF(AND(G1044=""),"",IF(AND(Y1042=""),"",ROUND(G1044*Master!H$4%,0)))</f>
        <v/>
      </c>
      <c r="J1044" s="9" t="str">
        <f t="shared" si="1375"/>
        <v/>
      </c>
      <c r="K1044" s="9" t="str">
        <f t="shared" ref="K1044" si="1382">IF(AND(C1044=""),"",IF(AND(G1044=""),"",C1044-G1044))</f>
        <v/>
      </c>
      <c r="L1044" s="9" t="str">
        <f t="shared" si="1379"/>
        <v/>
      </c>
      <c r="M1044" s="9" t="str">
        <f t="shared" si="1377"/>
        <v/>
      </c>
      <c r="N1044" s="9" t="str">
        <f t="shared" ref="N1044" si="1383">IF(AND(F1044=""),"",IF(AND(J1044=""),"",F1044-J1044))</f>
        <v/>
      </c>
      <c r="O1044" s="9" t="str">
        <f t="shared" si="1380"/>
        <v/>
      </c>
      <c r="P1044" s="9" t="str">
        <f>IF(AND(Y1042=""),"",IF(AND(N1044=""),"",ROUND(N1044*X$17%,0)))</f>
        <v/>
      </c>
      <c r="Q1044" s="9" t="str">
        <f>IF(AND(Y1042=""),"",IF(AND(C1044=""),"",IF(AND(O1044=""),"",SUM(O1044,P1044))))</f>
        <v/>
      </c>
      <c r="R1044" s="9" t="str">
        <f t="shared" si="1381"/>
        <v/>
      </c>
      <c r="S1044" s="20"/>
    </row>
    <row r="1045" spans="1:25" ht="30.75" customHeight="1">
      <c r="A1045" s="153" t="s">
        <v>9</v>
      </c>
      <c r="B1045" s="154"/>
      <c r="C1045" s="63">
        <f>IF(AND(Y1042=""),"",SUM(C1042:C1044))</f>
        <v>0</v>
      </c>
      <c r="D1045" s="63">
        <f>IF(AND(Y1042=""),"",SUM(D1042:D1044))</f>
        <v>0</v>
      </c>
      <c r="E1045" s="63">
        <f>IF(AND(Y1042=""),"",SUM(E1042:E1044))</f>
        <v>0</v>
      </c>
      <c r="F1045" s="63">
        <f>IF(AND(Y1042=""),"",SUM(F1042:F1044))</f>
        <v>0</v>
      </c>
      <c r="G1045" s="63">
        <f>IF(AND(Y1042=""),"",SUM(G1042:G1044))</f>
        <v>0</v>
      </c>
      <c r="H1045" s="63">
        <f>IF(AND(Y1042=""),"",SUM(H1042:H1044))</f>
        <v>0</v>
      </c>
      <c r="I1045" s="63">
        <f>IF(AND(Y1042=""),"",SUM(I1042:I1044))</f>
        <v>0</v>
      </c>
      <c r="J1045" s="63">
        <f>IF(AND(Y1042=""),"",SUM(J1042:J1044))</f>
        <v>0</v>
      </c>
      <c r="K1045" s="63">
        <f>IF(AND(Y1042=""),"",SUM(K1042:K1044))</f>
        <v>0</v>
      </c>
      <c r="L1045" s="63">
        <f>IF(AND(Y1042=""),"",SUM(L1042:L1044))</f>
        <v>0</v>
      </c>
      <c r="M1045" s="63">
        <f>IF(AND(Y1042=""),"",SUM(M1042:M1044))</f>
        <v>0</v>
      </c>
      <c r="N1045" s="63">
        <f>IF(AND(Y1042=""),"",SUM(N1042:N1044))</f>
        <v>0</v>
      </c>
      <c r="O1045" s="63">
        <f>IF(AND(Y1042=""),"",SUM(O1042:O1044))</f>
        <v>0</v>
      </c>
      <c r="P1045" s="63">
        <f>IF(AND(Y1042=""),"",SUM(P1042:P1044))</f>
        <v>0</v>
      </c>
      <c r="Q1045" s="63">
        <f>IF(AND(Y1042=""),"",SUM(Q1042:Q1044))</f>
        <v>0</v>
      </c>
      <c r="R1045" s="63">
        <f>IF(AND(Y1042=""),"",SUM(R1042:R1044))</f>
        <v>0</v>
      </c>
      <c r="S1045" s="49"/>
    </row>
    <row r="1046" spans="1:25" ht="11.25" customHeight="1">
      <c r="A1046" s="73"/>
      <c r="B1046" s="73"/>
      <c r="C1046" s="74"/>
      <c r="D1046" s="74"/>
      <c r="E1046" s="74"/>
      <c r="F1046" s="74"/>
      <c r="G1046" s="74"/>
      <c r="H1046" s="74"/>
      <c r="I1046" s="74"/>
      <c r="J1046" s="74"/>
      <c r="K1046" s="74"/>
      <c r="L1046" s="74"/>
      <c r="M1046" s="74"/>
      <c r="N1046" s="74"/>
      <c r="O1046" s="74"/>
      <c r="P1046" s="74"/>
      <c r="Q1046" s="74"/>
      <c r="R1046" s="74"/>
      <c r="S1046" s="75"/>
    </row>
    <row r="1047" spans="1:25" ht="23.25" customHeight="1">
      <c r="E1047" s="133" t="s">
        <v>10</v>
      </c>
      <c r="F1047" s="133"/>
      <c r="G1047" s="133"/>
      <c r="H1047" s="133"/>
      <c r="I1047" s="133"/>
      <c r="J1047" s="132" t="str">
        <f>IF(ISNA(VLOOKUP(Y1049,Master!A$8:N$127,2,FALSE)),"",VLOOKUP(Y1049,Master!A$8:AH$127,2,FALSE))</f>
        <v/>
      </c>
      <c r="K1047" s="132"/>
      <c r="L1047" s="132"/>
      <c r="M1047" s="132"/>
      <c r="N1047" s="132"/>
      <c r="O1047" s="60" t="s">
        <v>31</v>
      </c>
      <c r="P1047" s="132" t="str">
        <f>IF(ISNA(VLOOKUP($Y$431,Master!A$8:N$127,3,FALSE)),"",VLOOKUP($Y$431,Master!A$8:AH$127,3,FALSE))</f>
        <v/>
      </c>
      <c r="Q1047" s="132"/>
      <c r="R1047" s="132"/>
      <c r="S1047" s="132"/>
    </row>
    <row r="1048" spans="1:25" ht="9" customHeight="1">
      <c r="E1048" s="19"/>
      <c r="F1048" s="52"/>
      <c r="G1048" s="22"/>
      <c r="H1048" s="22"/>
      <c r="I1048" s="22"/>
      <c r="J1048" s="5"/>
      <c r="K1048" s="5"/>
      <c r="L1048" s="5"/>
      <c r="M1048" s="5"/>
      <c r="N1048" s="5"/>
      <c r="O1048" s="6"/>
      <c r="P1048" s="6"/>
    </row>
    <row r="1049" spans="1:25" ht="21" customHeight="1">
      <c r="A1049" s="8">
        <v>1</v>
      </c>
      <c r="B1049" s="23">
        <v>44562</v>
      </c>
      <c r="C1049" s="9" t="str">
        <f>IF(ISNA(VLOOKUP(Y1049,Master!A$8:N$127,5,FALSE)),"",VLOOKUP(Y1049,Master!A$8:AH$127,5,FALSE))</f>
        <v/>
      </c>
      <c r="D1049" s="9" t="str">
        <f>IF(AND(C1049=""),"",IF(AND(Y1049=""),"",ROUND(C1049*Master!C$5%,0)))</f>
        <v/>
      </c>
      <c r="E1049" s="9" t="str">
        <f>IF(AND(C1049=""),"",IF(AND(Y1049=""),"",ROUND(C1049*Master!H$5%,0)))</f>
        <v/>
      </c>
      <c r="F1049" s="9" t="str">
        <f t="shared" ref="F1049:F1051" si="1384">IF(AND(C1049=""),"",SUM(C1049:E1049))</f>
        <v/>
      </c>
      <c r="G1049" s="9" t="str">
        <f>IF(ISNA(VLOOKUP(Y1049,Master!A$8:N$127,5,FALSE)),"",VLOOKUP(Y1049,Master!A$8:AH$127,5,FALSE))</f>
        <v/>
      </c>
      <c r="H1049" s="9" t="str">
        <f>IF(AND(G1049=""),"",IF(AND(Y1049=""),"",ROUND(G1049*Master!C$4%,0)))</f>
        <v/>
      </c>
      <c r="I1049" s="9" t="str">
        <f>IF(AND(G1049=""),"",IF(AND(Y1049=""),"",ROUND(G1049*Master!H$4%,0)))</f>
        <v/>
      </c>
      <c r="J1049" s="9" t="str">
        <f t="shared" ref="J1049:J1051" si="1385">IF(AND(C1049=""),"",SUM(G1049:I1049))</f>
        <v/>
      </c>
      <c r="K1049" s="9" t="str">
        <f t="shared" ref="K1049:K1051" si="1386">IF(AND(C1049=""),"",IF(AND(G1049=""),"",C1049-G1049))</f>
        <v/>
      </c>
      <c r="L1049" s="9" t="str">
        <f t="shared" ref="L1049:L1051" si="1387">IF(AND(D1049=""),"",IF(AND(H1049=""),"",D1049-H1049))</f>
        <v/>
      </c>
      <c r="M1049" s="9" t="str">
        <f t="shared" ref="M1049:M1051" si="1388">IF(AND(E1049=""),"",IF(AND(I1049=""),"",E1049-I1049))</f>
        <v/>
      </c>
      <c r="N1049" s="9" t="str">
        <f t="shared" ref="N1049:N1051" si="1389">IF(AND(F1049=""),"",IF(AND(J1049=""),"",F1049-J1049))</f>
        <v/>
      </c>
      <c r="O1049" s="9" t="str">
        <f>IF(AND(C1049=""),"",N1049-P1049)</f>
        <v/>
      </c>
      <c r="P1049" s="9" t="str">
        <f>IF(AND(Y1049=""),"",IF(AND(N1049=""),"",ROUND(N1049*AA$1%,0)))</f>
        <v/>
      </c>
      <c r="Q1049" s="9" t="str">
        <f>IF(AND(Y1049=""),"",IF(AND(C1049=""),"",IF(AND(O1049=""),"",SUM(O1049,P1049))))</f>
        <v/>
      </c>
      <c r="R1049" s="9" t="str">
        <f>IF(AND(N1049=""),"",IF(AND(Q1049=""),"",N1049-Q1049))</f>
        <v/>
      </c>
      <c r="S1049" s="20"/>
      <c r="X1049" s="61" t="s">
        <v>49</v>
      </c>
      <c r="Y1049" s="64">
        <v>87</v>
      </c>
    </row>
    <row r="1050" spans="1:25" ht="21" customHeight="1">
      <c r="A1050" s="8">
        <v>2</v>
      </c>
      <c r="B1050" s="23">
        <v>44593</v>
      </c>
      <c r="C1050" s="9" t="str">
        <f>IF(AND(Y1049=""),"",C1049)</f>
        <v/>
      </c>
      <c r="D1050" s="9" t="str">
        <f>IF(AND(C1050=""),"",IF(AND(Y1049=""),"",ROUND(C1050*Master!C$5%,0)))</f>
        <v/>
      </c>
      <c r="E1050" s="9" t="str">
        <f>IF(AND(C1050=""),"",IF(AND(Y1049=""),"",ROUND(C1050*Master!H$5%,0)))</f>
        <v/>
      </c>
      <c r="F1050" s="9" t="str">
        <f t="shared" si="1384"/>
        <v/>
      </c>
      <c r="G1050" s="9" t="str">
        <f>IF(AND(Y1049=""),"",G1049)</f>
        <v/>
      </c>
      <c r="H1050" s="9" t="str">
        <f>IF(AND(G1050=""),"",IF(AND(Y1049=""),"",ROUND(G1050*Master!C$4%,0)))</f>
        <v/>
      </c>
      <c r="I1050" s="9" t="str">
        <f>IF(AND(G1050=""),"",IF(AND(Y1049=""),"",ROUND(G1050*Master!H$4%,0)))</f>
        <v/>
      </c>
      <c r="J1050" s="9" t="str">
        <f t="shared" si="1385"/>
        <v/>
      </c>
      <c r="K1050" s="9" t="str">
        <f t="shared" si="1386"/>
        <v/>
      </c>
      <c r="L1050" s="9" t="str">
        <f t="shared" si="1387"/>
        <v/>
      </c>
      <c r="M1050" s="9" t="str">
        <f t="shared" si="1388"/>
        <v/>
      </c>
      <c r="N1050" s="9" t="str">
        <f t="shared" si="1389"/>
        <v/>
      </c>
      <c r="O1050" s="9" t="str">
        <f t="shared" ref="O1050:O1051" si="1390">IF(AND(C1050=""),"",N1050-P1050)</f>
        <v/>
      </c>
      <c r="P1050" s="9" t="str">
        <f>IF(AND(Y1049=""),"",IF(AND(N1050=""),"",ROUND(N1050*AA$1%,0)))</f>
        <v/>
      </c>
      <c r="Q1050" s="9" t="str">
        <f>IF(AND(Y1049=""),"",IF(AND(C1050=""),"",IF(AND(O1050=""),"",SUM(O1050,P1050))))</f>
        <v/>
      </c>
      <c r="R1050" s="9" t="str">
        <f t="shared" ref="R1050:R1051" si="1391">IF(AND(N1050=""),"",IF(AND(Q1050=""),"",N1050-Q1050))</f>
        <v/>
      </c>
      <c r="S1050" s="20"/>
      <c r="X1050" s="4" t="str">
        <f>IF(ISNA(VLOOKUP(Y1049,Master!A$8:N$127,7,FALSE)),"",VLOOKUP(Y1049,Master!A$8:AH$127,7,FALSE))</f>
        <v/>
      </c>
    </row>
    <row r="1051" spans="1:25" ht="21" customHeight="1">
      <c r="A1051" s="8">
        <v>3</v>
      </c>
      <c r="B1051" s="23">
        <v>44621</v>
      </c>
      <c r="C1051" s="9" t="str">
        <f>IF(AND(Y1049=""),"",C1050)</f>
        <v/>
      </c>
      <c r="D1051" s="9" t="str">
        <f>IF(AND(C1051=""),"",IF(AND(Y1049=""),"",ROUND(C1051*Master!C$5%,0)))</f>
        <v/>
      </c>
      <c r="E1051" s="9" t="str">
        <f>IF(AND(C1051=""),"",IF(AND(Y1049=""),"",ROUND(C1051*Master!H$5%,0)))</f>
        <v/>
      </c>
      <c r="F1051" s="9" t="str">
        <f t="shared" si="1384"/>
        <v/>
      </c>
      <c r="G1051" s="9" t="str">
        <f>IF(AND(Y1049=""),"",G1050)</f>
        <v/>
      </c>
      <c r="H1051" s="9" t="str">
        <f>IF(AND(G1051=""),"",IF(AND(Y1049=""),"",ROUND(G1051*Master!C$4%,0)))</f>
        <v/>
      </c>
      <c r="I1051" s="9" t="str">
        <f>IF(AND(G1051=""),"",IF(AND(Y1049=""),"",ROUND(G1051*Master!H$4%,0)))</f>
        <v/>
      </c>
      <c r="J1051" s="9" t="str">
        <f t="shared" si="1385"/>
        <v/>
      </c>
      <c r="K1051" s="9" t="str">
        <f t="shared" si="1386"/>
        <v/>
      </c>
      <c r="L1051" s="9" t="str">
        <f t="shared" si="1387"/>
        <v/>
      </c>
      <c r="M1051" s="9" t="str">
        <f t="shared" si="1388"/>
        <v/>
      </c>
      <c r="N1051" s="9" t="str">
        <f t="shared" si="1389"/>
        <v/>
      </c>
      <c r="O1051" s="9" t="str">
        <f t="shared" si="1390"/>
        <v/>
      </c>
      <c r="P1051" s="9" t="str">
        <f>IF(AND(Y1049=""),"",IF(AND(N1051=""),"",ROUND(N1051*AA$1%,0)))</f>
        <v/>
      </c>
      <c r="Q1051" s="9" t="str">
        <f>IF(AND(Y1049=""),"",IF(AND(C1051=""),"",IF(AND(O1051=""),"",SUM(O1051,P1051))))</f>
        <v/>
      </c>
      <c r="R1051" s="9" t="str">
        <f t="shared" si="1391"/>
        <v/>
      </c>
      <c r="S1051" s="20"/>
    </row>
    <row r="1052" spans="1:25" ht="30.75" customHeight="1">
      <c r="A1052" s="153" t="s">
        <v>9</v>
      </c>
      <c r="B1052" s="154"/>
      <c r="C1052" s="63">
        <f>IF(AND(Y1049=""),"",SUM(C1049:C1051))</f>
        <v>0</v>
      </c>
      <c r="D1052" s="63">
        <f>IF(AND(Y1049=""),"",SUM(D1049:D1051))</f>
        <v>0</v>
      </c>
      <c r="E1052" s="63">
        <f>IF(AND(Y1049=""),"",SUM(E1049:E1051))</f>
        <v>0</v>
      </c>
      <c r="F1052" s="63">
        <f>IF(AND(Y1049=""),"",SUM(F1049:F1051))</f>
        <v>0</v>
      </c>
      <c r="G1052" s="63">
        <f>IF(AND(Y1049=""),"",SUM(G1049:G1051))</f>
        <v>0</v>
      </c>
      <c r="H1052" s="63">
        <f>IF(AND(Y1049=""),"",SUM(H1049:H1051))</f>
        <v>0</v>
      </c>
      <c r="I1052" s="63">
        <f>IF(AND(Y1049=""),"",SUM(I1049:I1051))</f>
        <v>0</v>
      </c>
      <c r="J1052" s="63">
        <f>IF(AND(Y1049=""),"",SUM(J1049:J1051))</f>
        <v>0</v>
      </c>
      <c r="K1052" s="63">
        <f>IF(AND(Y1049=""),"",SUM(K1049:K1051))</f>
        <v>0</v>
      </c>
      <c r="L1052" s="63">
        <f>IF(AND(Y1049=""),"",SUM(L1049:L1051))</f>
        <v>0</v>
      </c>
      <c r="M1052" s="63">
        <f>IF(AND(Y1049=""),"",SUM(M1049:M1051))</f>
        <v>0</v>
      </c>
      <c r="N1052" s="63">
        <f>IF(AND(Y1049=""),"",SUM(N1049:N1051))</f>
        <v>0</v>
      </c>
      <c r="O1052" s="63">
        <f>IF(AND(Y1049=""),"",SUM(O1049:O1051))</f>
        <v>0</v>
      </c>
      <c r="P1052" s="63">
        <f>IF(AND(Y1049=""),"",SUM(P1049:P1051))</f>
        <v>0</v>
      </c>
      <c r="Q1052" s="63">
        <f>IF(AND(Y1049=""),"",SUM(Q1049:Q1051))</f>
        <v>0</v>
      </c>
      <c r="R1052" s="63">
        <f>IF(AND(Y1049=""),"",SUM(R1049:R1051))</f>
        <v>0</v>
      </c>
      <c r="S1052" s="49"/>
    </row>
    <row r="1053" spans="1:25" ht="30.75" customHeight="1">
      <c r="A1053" s="73"/>
      <c r="B1053" s="73"/>
      <c r="C1053" s="74"/>
      <c r="D1053" s="74"/>
      <c r="E1053" s="74"/>
      <c r="F1053" s="74"/>
      <c r="G1053" s="74"/>
      <c r="H1053" s="74"/>
      <c r="I1053" s="74"/>
      <c r="J1053" s="74"/>
      <c r="K1053" s="74"/>
      <c r="L1053" s="74"/>
      <c r="M1053" s="74"/>
      <c r="N1053" s="74"/>
      <c r="O1053" s="74"/>
      <c r="P1053" s="74"/>
      <c r="Q1053" s="74"/>
      <c r="R1053" s="74"/>
      <c r="S1053" s="75"/>
    </row>
    <row r="1054" spans="1:25" ht="18.75">
      <c r="A1054" s="21"/>
      <c r="B1054" s="58"/>
      <c r="C1054" s="58"/>
      <c r="D1054" s="58"/>
      <c r="E1054" s="58"/>
      <c r="F1054" s="58"/>
      <c r="G1054" s="58"/>
      <c r="H1054" s="59"/>
      <c r="I1054" s="59"/>
      <c r="J1054" s="59"/>
      <c r="K1054" s="66"/>
      <c r="L1054" s="66"/>
      <c r="M1054" s="66"/>
      <c r="N1054" s="66"/>
      <c r="O1054" s="138" t="s">
        <v>42</v>
      </c>
      <c r="P1054" s="138"/>
      <c r="Q1054" s="138"/>
      <c r="R1054" s="138"/>
      <c r="S1054" s="138"/>
    </row>
    <row r="1055" spans="1:25" ht="18.75">
      <c r="A1055" s="1"/>
      <c r="B1055" s="24" t="s">
        <v>19</v>
      </c>
      <c r="C1055" s="139"/>
      <c r="D1055" s="139"/>
      <c r="E1055" s="139"/>
      <c r="F1055" s="139"/>
      <c r="G1055" s="139"/>
      <c r="H1055" s="25"/>
      <c r="I1055" s="143" t="s">
        <v>20</v>
      </c>
      <c r="J1055" s="143"/>
      <c r="K1055" s="141"/>
      <c r="L1055" s="141"/>
      <c r="M1055" s="141"/>
      <c r="O1055" s="138"/>
      <c r="P1055" s="138"/>
      <c r="Q1055" s="138"/>
      <c r="R1055" s="138"/>
      <c r="S1055" s="138"/>
    </row>
    <row r="1056" spans="1:25" ht="18.75">
      <c r="A1056" s="1"/>
      <c r="B1056" s="140" t="s">
        <v>21</v>
      </c>
      <c r="C1056" s="140"/>
      <c r="D1056" s="140"/>
      <c r="E1056" s="140"/>
      <c r="F1056" s="140"/>
      <c r="G1056" s="140"/>
      <c r="H1056" s="140"/>
      <c r="I1056" s="27"/>
      <c r="J1056" s="26"/>
      <c r="K1056" s="26"/>
      <c r="L1056" s="26"/>
      <c r="M1056" s="26"/>
    </row>
    <row r="1057" spans="1:27" ht="18.75">
      <c r="A1057" s="22">
        <v>1</v>
      </c>
      <c r="B1057" s="142" t="s">
        <v>22</v>
      </c>
      <c r="C1057" s="142"/>
      <c r="D1057" s="142"/>
      <c r="E1057" s="142"/>
      <c r="F1057" s="142"/>
      <c r="G1057" s="142"/>
      <c r="H1057" s="142"/>
      <c r="I1057" s="28"/>
      <c r="J1057" s="26"/>
      <c r="K1057" s="26"/>
      <c r="L1057" s="26"/>
      <c r="M1057" s="26"/>
    </row>
    <row r="1058" spans="1:27" ht="18.75">
      <c r="A1058" s="2">
        <v>2</v>
      </c>
      <c r="B1058" s="142" t="s">
        <v>23</v>
      </c>
      <c r="C1058" s="142"/>
      <c r="D1058" s="142"/>
      <c r="E1058" s="142"/>
      <c r="F1058" s="142"/>
      <c r="G1058" s="132"/>
      <c r="H1058" s="132"/>
      <c r="I1058" s="132"/>
      <c r="J1058" s="132"/>
      <c r="K1058" s="132"/>
      <c r="L1058" s="132"/>
      <c r="M1058" s="132"/>
    </row>
    <row r="1059" spans="1:27" ht="18.75">
      <c r="A1059" s="3">
        <v>3</v>
      </c>
      <c r="B1059" s="142" t="s">
        <v>24</v>
      </c>
      <c r="C1059" s="142"/>
      <c r="D1059" s="142"/>
      <c r="E1059" s="29"/>
      <c r="F1059" s="28"/>
      <c r="G1059" s="28"/>
      <c r="H1059" s="30"/>
      <c r="I1059" s="31"/>
      <c r="J1059" s="26"/>
      <c r="K1059" s="26"/>
      <c r="L1059" s="26"/>
      <c r="M1059" s="26"/>
    </row>
    <row r="1060" spans="1:27" ht="15.75">
      <c r="O1060" s="138" t="s">
        <v>42</v>
      </c>
      <c r="P1060" s="138"/>
      <c r="Q1060" s="138"/>
      <c r="R1060" s="138"/>
      <c r="S1060" s="138"/>
    </row>
    <row r="1062" spans="1:27" ht="18" customHeight="1">
      <c r="A1062" s="148" t="str">
        <f>A1028</f>
        <v xml:space="preserve">DA (46% to 50%) Drawn Statement  </v>
      </c>
      <c r="B1062" s="148"/>
      <c r="C1062" s="148"/>
      <c r="D1062" s="148"/>
      <c r="E1062" s="148"/>
      <c r="F1062" s="148"/>
      <c r="G1062" s="148"/>
      <c r="H1062" s="148"/>
      <c r="I1062" s="148"/>
      <c r="J1062" s="148"/>
      <c r="K1062" s="148"/>
      <c r="L1062" s="148"/>
      <c r="M1062" s="148"/>
      <c r="N1062" s="148"/>
      <c r="O1062" s="148"/>
      <c r="P1062" s="148"/>
      <c r="Q1062" s="148"/>
      <c r="R1062" s="148"/>
      <c r="S1062" s="148"/>
      <c r="W1062" s="4">
        <f>IF(ISNA(VLOOKUP($Y$3,Master!A$8:N$127,4,FALSE)),"",VLOOKUP($Y$3,Master!A$8:AH$127,4,FALSE))</f>
        <v>2</v>
      </c>
      <c r="X1062" s="4" t="str">
        <f>IF(ISNA(VLOOKUP($Y$3,Master!A$8:N$127,6,FALSE)),"",VLOOKUP($Y$3,Master!A$8:AH$127,6,FALSE))</f>
        <v>GPF-2004</v>
      </c>
      <c r="Y1062" s="4" t="s">
        <v>45</v>
      </c>
      <c r="Z1062" s="4" t="s">
        <v>18</v>
      </c>
      <c r="AA1062" s="4" t="str">
        <f>IF(ISNA(VLOOKUP(Y1064,Master!A$8:N$127,7,FALSE)),"",VLOOKUP(Y1064,Master!A$8:AH$127,7,FALSE))</f>
        <v/>
      </c>
    </row>
    <row r="1063" spans="1:27" ht="18">
      <c r="A1063" s="131" t="str">
        <f>IF(AND(Master!C989=""),"",CONCATENATE("Office Of  ",Master!C989))</f>
        <v/>
      </c>
      <c r="B1063" s="131"/>
      <c r="C1063" s="131"/>
      <c r="D1063" s="131"/>
      <c r="E1063" s="131"/>
      <c r="F1063" s="131"/>
      <c r="G1063" s="131"/>
      <c r="H1063" s="131"/>
      <c r="I1063" s="131"/>
      <c r="J1063" s="131"/>
      <c r="K1063" s="131"/>
      <c r="L1063" s="131"/>
      <c r="M1063" s="131"/>
      <c r="N1063" s="131"/>
      <c r="O1063" s="131"/>
      <c r="P1063" s="131"/>
      <c r="Q1063" s="131"/>
      <c r="R1063" s="131"/>
      <c r="S1063" s="131"/>
      <c r="X1063" s="4">
        <f>IF(ISNA(VLOOKUP($Y$3,Master!A$8:N$127,8,FALSE)),"",VLOOKUP($Y$3,Master!A$8:AH$127,8,FALSE))</f>
        <v>45292</v>
      </c>
      <c r="Y1063" s="4" t="s">
        <v>43</v>
      </c>
    </row>
    <row r="1064" spans="1:27" ht="18.75">
      <c r="E1064" s="133" t="s">
        <v>10</v>
      </c>
      <c r="F1064" s="133"/>
      <c r="G1064" s="133"/>
      <c r="H1064" s="133"/>
      <c r="I1064" s="133"/>
      <c r="J1064" s="132" t="str">
        <f>IF(ISNA(VLOOKUP(Y1064,Master!A$8:N$127,2,FALSE)),"",VLOOKUP(Y1064,Master!A$8:AH$127,2,FALSE))</f>
        <v/>
      </c>
      <c r="K1064" s="132"/>
      <c r="L1064" s="132"/>
      <c r="M1064" s="132"/>
      <c r="N1064" s="132"/>
      <c r="O1064" s="60" t="s">
        <v>31</v>
      </c>
      <c r="P1064" s="132" t="str">
        <f>IF(ISNA(VLOOKUP(Y1064,Master!A$8:N$127,3,FALSE)),"",VLOOKUP(Y1064,Master!A$8:AH$127,3,FALSE))</f>
        <v/>
      </c>
      <c r="Q1064" s="132"/>
      <c r="R1064" s="132"/>
      <c r="S1064" s="132"/>
      <c r="X1064" s="61" t="s">
        <v>49</v>
      </c>
      <c r="Y1064" s="64">
        <v>88</v>
      </c>
    </row>
    <row r="1065" spans="1:27" ht="8.25" customHeight="1">
      <c r="E1065" s="19"/>
      <c r="F1065" s="52"/>
      <c r="G1065" s="22"/>
      <c r="H1065" s="22"/>
      <c r="I1065" s="22"/>
      <c r="J1065" s="5"/>
      <c r="K1065" s="5"/>
      <c r="L1065" s="5"/>
      <c r="M1065" s="5"/>
      <c r="N1065" s="5"/>
      <c r="O1065" s="6"/>
      <c r="P1065" s="6"/>
    </row>
    <row r="1066" spans="1:27" ht="24.75" customHeight="1">
      <c r="A1066" s="157" t="s">
        <v>0</v>
      </c>
      <c r="B1066" s="158" t="s">
        <v>3</v>
      </c>
      <c r="C1066" s="159" t="s">
        <v>5</v>
      </c>
      <c r="D1066" s="159"/>
      <c r="E1066" s="159"/>
      <c r="F1066" s="159"/>
      <c r="G1066" s="159" t="s">
        <v>6</v>
      </c>
      <c r="H1066" s="159"/>
      <c r="I1066" s="159"/>
      <c r="J1066" s="159"/>
      <c r="K1066" s="159" t="s">
        <v>7</v>
      </c>
      <c r="L1066" s="159"/>
      <c r="M1066" s="159"/>
      <c r="N1066" s="159"/>
      <c r="O1066" s="149" t="s">
        <v>8</v>
      </c>
      <c r="P1066" s="150"/>
      <c r="Q1066" s="151"/>
      <c r="R1066" s="162" t="s">
        <v>54</v>
      </c>
      <c r="S1066" s="162" t="s">
        <v>40</v>
      </c>
    </row>
    <row r="1067" spans="1:27" ht="69" customHeight="1">
      <c r="A1067" s="157"/>
      <c r="B1067" s="158"/>
      <c r="C1067" s="54" t="s">
        <v>29</v>
      </c>
      <c r="D1067" s="55" t="s">
        <v>1</v>
      </c>
      <c r="E1067" s="56" t="s">
        <v>2</v>
      </c>
      <c r="F1067" s="54" t="s">
        <v>46</v>
      </c>
      <c r="G1067" s="54" t="s">
        <v>29</v>
      </c>
      <c r="H1067" s="55" t="s">
        <v>1</v>
      </c>
      <c r="I1067" s="56" t="s">
        <v>2</v>
      </c>
      <c r="J1067" s="54" t="s">
        <v>47</v>
      </c>
      <c r="K1067" s="54" t="s">
        <v>4</v>
      </c>
      <c r="L1067" s="55" t="s">
        <v>1</v>
      </c>
      <c r="M1067" s="56" t="s">
        <v>2</v>
      </c>
      <c r="N1067" s="57" t="s">
        <v>48</v>
      </c>
      <c r="O1067" s="53" t="s">
        <v>69</v>
      </c>
      <c r="P1067" s="65" t="s">
        <v>41</v>
      </c>
      <c r="Q1067" s="57" t="s">
        <v>53</v>
      </c>
      <c r="R1067" s="162"/>
      <c r="S1067" s="162"/>
    </row>
    <row r="1068" spans="1:27" ht="18" customHeight="1">
      <c r="A1068" s="7">
        <v>1</v>
      </c>
      <c r="B1068" s="7">
        <v>2</v>
      </c>
      <c r="C1068" s="7">
        <v>3</v>
      </c>
      <c r="D1068" s="7">
        <v>4</v>
      </c>
      <c r="E1068" s="7">
        <v>5</v>
      </c>
      <c r="F1068" s="7">
        <v>6</v>
      </c>
      <c r="G1068" s="7">
        <v>7</v>
      </c>
      <c r="H1068" s="7">
        <v>8</v>
      </c>
      <c r="I1068" s="7">
        <v>9</v>
      </c>
      <c r="J1068" s="7">
        <v>10</v>
      </c>
      <c r="K1068" s="7">
        <v>11</v>
      </c>
      <c r="L1068" s="7">
        <v>12</v>
      </c>
      <c r="M1068" s="7">
        <v>13</v>
      </c>
      <c r="N1068" s="7">
        <v>14</v>
      </c>
      <c r="O1068" s="7">
        <v>15</v>
      </c>
      <c r="P1068" s="7">
        <v>17</v>
      </c>
      <c r="Q1068" s="7">
        <v>18</v>
      </c>
      <c r="R1068" s="7">
        <v>19</v>
      </c>
      <c r="S1068" s="7">
        <v>20</v>
      </c>
    </row>
    <row r="1069" spans="1:27" ht="21" customHeight="1">
      <c r="A1069" s="8">
        <v>1</v>
      </c>
      <c r="B1069" s="23">
        <v>44562</v>
      </c>
      <c r="C1069" s="9" t="str">
        <f>IF(ISNA(VLOOKUP(Y1064,Master!A$8:N$127,5,FALSE)),"",VLOOKUP(Y1064,Master!A$8:AH$127,5,FALSE))</f>
        <v/>
      </c>
      <c r="D1069" s="9" t="str">
        <f>IF(AND(C1069=""),"",IF(AND(Y1064=""),"",ROUND(C1069*Master!C$5%,0)))</f>
        <v/>
      </c>
      <c r="E1069" s="9" t="str">
        <f>IF(AND(C1069=""),"",IF(AND(Y1064=""),"",ROUND(C1069*Master!H$5%,0)))</f>
        <v/>
      </c>
      <c r="F1069" s="9" t="str">
        <f t="shared" ref="F1069" si="1392">IF(AND(C1069=""),"",SUM(C1069:E1069))</f>
        <v/>
      </c>
      <c r="G1069" s="9" t="str">
        <f>IF(ISNA(VLOOKUP(Y1064,Master!A$8:N$127,5,FALSE)),"",VLOOKUP(Y1064,Master!A$8:AH$127,5,FALSE))</f>
        <v/>
      </c>
      <c r="H1069" s="9" t="str">
        <f>IF(AND(G1069=""),"",IF(AND(Y1064=""),"",ROUND(G1069*Master!C$4%,0)))</f>
        <v/>
      </c>
      <c r="I1069" s="9" t="str">
        <f>IF(AND(G1069=""),"",IF(AND(Y1064=""),"",ROUND(G1069*Master!H$4%,0)))</f>
        <v/>
      </c>
      <c r="J1069" s="9" t="str">
        <f t="shared" ref="J1069:J1070" si="1393">IF(AND(C1069=""),"",SUM(G1069:I1069))</f>
        <v/>
      </c>
      <c r="K1069" s="9" t="str">
        <f t="shared" ref="K1069:K1071" si="1394">IF(AND(C1069=""),"",IF(AND(G1069=""),"",C1069-G1069))</f>
        <v/>
      </c>
      <c r="L1069" s="9" t="str">
        <f t="shared" ref="L1069:L1071" si="1395">IF(AND(D1069=""),"",IF(AND(H1069=""),"",D1069-H1069))</f>
        <v/>
      </c>
      <c r="M1069" s="9" t="str">
        <f t="shared" ref="M1069:M1070" si="1396">IF(AND(E1069=""),"",IF(AND(I1069=""),"",E1069-I1069))</f>
        <v/>
      </c>
      <c r="N1069" s="9" t="str">
        <f t="shared" ref="N1069:N1070" si="1397">IF(AND(F1069=""),"",IF(AND(J1069=""),"",F1069-J1069))</f>
        <v/>
      </c>
      <c r="O1069" s="9" t="str">
        <f>IF(AND(C1069=""),"",N1069-P1069)</f>
        <v/>
      </c>
      <c r="P1069" s="9" t="str">
        <f>IF(AND(Y1064=""),"",IF(AND(N1069=""),"",ROUND(N1069*AA$1%,0)))</f>
        <v/>
      </c>
      <c r="Q1069" s="9" t="str">
        <f>IF(AND(Y1064=""),"",IF(AND(C1069=""),"",IF(AND(O1069=""),"",SUM(O1069,P1069))))</f>
        <v/>
      </c>
      <c r="R1069" s="9" t="str">
        <f>IF(AND(N1069=""),"",IF(AND(Q1069=""),"",N1069-Q1069))</f>
        <v/>
      </c>
      <c r="S1069" s="20"/>
    </row>
    <row r="1070" spans="1:27" ht="21" customHeight="1">
      <c r="A1070" s="8">
        <v>2</v>
      </c>
      <c r="B1070" s="23">
        <v>44593</v>
      </c>
      <c r="C1070" s="9" t="str">
        <f>IF(AND(Y1064=""),"",C1069)</f>
        <v/>
      </c>
      <c r="D1070" s="9" t="str">
        <f>IF(AND(C1070=""),"",IF(AND(Y1064=""),"",ROUND(C1070*Master!C$5%,0)))</f>
        <v/>
      </c>
      <c r="E1070" s="9" t="str">
        <f>IF(AND(C1070=""),"",IF(AND(Y1064=""),"",ROUND(C1070*Master!H$5%,0)))</f>
        <v/>
      </c>
      <c r="F1070" s="9" t="str">
        <f>IF(AND(C1070=""),"",SUM(C1070:E1070))</f>
        <v/>
      </c>
      <c r="G1070" s="9" t="str">
        <f>IF(AND(Y1064=""),"",G1069)</f>
        <v/>
      </c>
      <c r="H1070" s="9" t="str">
        <f>IF(AND(G1070=""),"",IF(AND(Y1064=""),"",ROUND(G1070*Master!C$4%,0)))</f>
        <v/>
      </c>
      <c r="I1070" s="9" t="str">
        <f>IF(AND(G1070=""),"",IF(AND(Y1064=""),"",ROUND(G1070*Master!H$4%,0)))</f>
        <v/>
      </c>
      <c r="J1070" s="9" t="str">
        <f t="shared" si="1393"/>
        <v/>
      </c>
      <c r="K1070" s="9" t="str">
        <f t="shared" si="1394"/>
        <v/>
      </c>
      <c r="L1070" s="9" t="str">
        <f t="shared" si="1395"/>
        <v/>
      </c>
      <c r="M1070" s="9" t="str">
        <f t="shared" si="1396"/>
        <v/>
      </c>
      <c r="N1070" s="9" t="str">
        <f t="shared" si="1397"/>
        <v/>
      </c>
      <c r="O1070" s="9" t="str">
        <f t="shared" ref="O1070:O1071" si="1398">IF(AND(C1070=""),"",N1070-P1070)</f>
        <v/>
      </c>
      <c r="P1070" s="9" t="str">
        <f>IF(AND(Y1064=""),"",IF(AND(N1070=""),"",ROUND(N1070*AA$1%,0)))</f>
        <v/>
      </c>
      <c r="Q1070" s="9" t="str">
        <f>IF(AND(Y1064=""),"",IF(AND(C1070=""),"",IF(AND(O1070=""),"",SUM(O1070,P1070))))</f>
        <v/>
      </c>
      <c r="R1070" s="9" t="str">
        <f t="shared" ref="R1070:R1071" si="1399">IF(AND(N1070=""),"",IF(AND(Q1070=""),"",N1070-Q1070))</f>
        <v/>
      </c>
      <c r="S1070" s="20"/>
    </row>
    <row r="1071" spans="1:27" ht="21" customHeight="1">
      <c r="A1071" s="8">
        <v>3</v>
      </c>
      <c r="B1071" s="23">
        <v>44621</v>
      </c>
      <c r="C1071" s="9" t="str">
        <f>IF(AND(Y1064=""),"",C1070)</f>
        <v/>
      </c>
      <c r="D1071" s="9" t="str">
        <f>IF(AND(C1071=""),"",IF(AND(Y1064=""),"",ROUND(C1071*Master!C$5%,0)))</f>
        <v/>
      </c>
      <c r="E1071" s="9" t="str">
        <f>IF(AND(C1071=""),"",IF(AND(Y1064=""),"",ROUND(C1071*Master!H$5%,0)))</f>
        <v/>
      </c>
      <c r="F1071" s="9" t="str">
        <f t="shared" ref="F1071" si="1400">IF(AND(C1071=""),"",SUM(C1071:E1071))</f>
        <v/>
      </c>
      <c r="G1071" s="9" t="str">
        <f>IF(AND(Y1064=""),"",G1070)</f>
        <v/>
      </c>
      <c r="H1071" s="9" t="str">
        <f>IF(AND(G1071=""),"",IF(AND(Y1064=""),"",ROUND(G1071*Master!C$4%,0)))</f>
        <v/>
      </c>
      <c r="I1071" s="9" t="str">
        <f>IF(AND(G1071=""),"",IF(AND(Y1064=""),"",ROUND(G1071*Master!H$4%,0)))</f>
        <v/>
      </c>
      <c r="J1071" s="9" t="str">
        <f>IF(AND(C1071=""),"",SUM(G1071:I1071))</f>
        <v/>
      </c>
      <c r="K1071" s="9" t="str">
        <f t="shared" si="1394"/>
        <v/>
      </c>
      <c r="L1071" s="9" t="str">
        <f t="shared" si="1395"/>
        <v/>
      </c>
      <c r="M1071" s="9" t="str">
        <f>IF(AND(E1071=""),"",IF(AND(I1071=""),"",E1071-I1071))</f>
        <v/>
      </c>
      <c r="N1071" s="9" t="str">
        <f>IF(AND(F1071=""),"",IF(AND(J1071=""),"",F1071-J1071))</f>
        <v/>
      </c>
      <c r="O1071" s="9" t="str">
        <f t="shared" si="1398"/>
        <v/>
      </c>
      <c r="P1071" s="9" t="str">
        <f>IF(AND(Y1064=""),"",IF(AND(N1071=""),"",ROUND(N1071*AA$1%,0)))</f>
        <v/>
      </c>
      <c r="Q1071" s="9" t="str">
        <f>IF(AND(Y1064=""),"",IF(AND(C1071=""),"",IF(AND(O1071=""),"",SUM(O1071,P1071))))</f>
        <v/>
      </c>
      <c r="R1071" s="9" t="str">
        <f t="shared" si="1399"/>
        <v/>
      </c>
      <c r="S1071" s="20"/>
    </row>
    <row r="1072" spans="1:27" ht="23.25" customHeight="1">
      <c r="A1072" s="153" t="s">
        <v>9</v>
      </c>
      <c r="B1072" s="154"/>
      <c r="C1072" s="63">
        <f>IF(AND(Y1064=""),"",SUM(C1069:C1071))</f>
        <v>0</v>
      </c>
      <c r="D1072" s="63">
        <f>IF(AND(Y1064=""),"",SUM(D1069:D1071))</f>
        <v>0</v>
      </c>
      <c r="E1072" s="63">
        <f>IF(AND(Y1064=""),"",SUM(E1069:E1071))</f>
        <v>0</v>
      </c>
      <c r="F1072" s="63">
        <f>IF(AND(Y1064=""),"",SUM(F1069:F1071))</f>
        <v>0</v>
      </c>
      <c r="G1072" s="63">
        <f>IF(AND(Y1064=""),"",SUM(G1069:G1071))</f>
        <v>0</v>
      </c>
      <c r="H1072" s="63">
        <f>IF(AND(Y1064=""),"",SUM(H1069:H1071))</f>
        <v>0</v>
      </c>
      <c r="I1072" s="63">
        <f>IF(AND(Y1064=""),"",SUM(I1069:I1071))</f>
        <v>0</v>
      </c>
      <c r="J1072" s="63">
        <f>IF(AND(Y1064=""),"",SUM(J1069:J1071))</f>
        <v>0</v>
      </c>
      <c r="K1072" s="63">
        <f>IF(AND(Y1064=""),"",SUM(K1069:K1071))</f>
        <v>0</v>
      </c>
      <c r="L1072" s="63">
        <f>IF(AND(Y1064=""),"",SUM(L1069:L1071))</f>
        <v>0</v>
      </c>
      <c r="M1072" s="63">
        <f>IF(AND(Y1064=""),"",SUM(M1069:M1071))</f>
        <v>0</v>
      </c>
      <c r="N1072" s="63">
        <f>IF(AND(Y1064=""),"",SUM(N1069:N1071))</f>
        <v>0</v>
      </c>
      <c r="O1072" s="63">
        <f>IF(AND(Y1064=""),"",SUM(O1069:O1071))</f>
        <v>0</v>
      </c>
      <c r="P1072" s="63">
        <f>IF(AND(Y1064=""),"",SUM(P1069:P1071))</f>
        <v>0</v>
      </c>
      <c r="Q1072" s="63">
        <f>IF(AND(Y1064=""),"",SUM(Q1069:Q1071))</f>
        <v>0</v>
      </c>
      <c r="R1072" s="63">
        <f>IF(AND(Y1064=""),"",SUM(R1069:R1071))</f>
        <v>0</v>
      </c>
      <c r="S1072" s="49"/>
    </row>
    <row r="1073" spans="1:25" ht="10.5" customHeight="1">
      <c r="A1073" s="73"/>
      <c r="B1073" s="73"/>
      <c r="C1073" s="74"/>
      <c r="D1073" s="74"/>
      <c r="E1073" s="74"/>
      <c r="F1073" s="74"/>
      <c r="G1073" s="74"/>
      <c r="H1073" s="74"/>
      <c r="I1073" s="74"/>
      <c r="J1073" s="74"/>
      <c r="K1073" s="74"/>
      <c r="L1073" s="74"/>
      <c r="M1073" s="74"/>
      <c r="N1073" s="74"/>
      <c r="O1073" s="74"/>
      <c r="P1073" s="74"/>
      <c r="Q1073" s="74"/>
      <c r="R1073" s="74"/>
      <c r="S1073" s="75"/>
    </row>
    <row r="1074" spans="1:25" ht="23.25" customHeight="1">
      <c r="E1074" s="133" t="s">
        <v>10</v>
      </c>
      <c r="F1074" s="133"/>
      <c r="G1074" s="133"/>
      <c r="H1074" s="133"/>
      <c r="I1074" s="133"/>
      <c r="J1074" s="132" t="str">
        <f>IF(ISNA(VLOOKUP(Y1076,Master!A$8:N$127,2,FALSE)),"",VLOOKUP(Y1076,Master!A$8:AH$127,2,FALSE))</f>
        <v/>
      </c>
      <c r="K1074" s="132"/>
      <c r="L1074" s="132"/>
      <c r="M1074" s="132"/>
      <c r="N1074" s="132"/>
      <c r="O1074" s="60" t="s">
        <v>31</v>
      </c>
      <c r="P1074" s="132" t="str">
        <f>IF(ISNA(VLOOKUP(Y1076,Master!A$8:N$127,3,FALSE)),"",VLOOKUP(Y1076,Master!A$8:AH$127,3,FALSE))</f>
        <v/>
      </c>
      <c r="Q1074" s="132"/>
      <c r="R1074" s="132"/>
      <c r="S1074" s="132"/>
    </row>
    <row r="1075" spans="1:25" ht="9" customHeight="1">
      <c r="E1075" s="19"/>
      <c r="F1075" s="52"/>
      <c r="G1075" s="22"/>
      <c r="H1075" s="22"/>
      <c r="I1075" s="22"/>
      <c r="J1075" s="5"/>
      <c r="K1075" s="5"/>
      <c r="L1075" s="5"/>
      <c r="M1075" s="5"/>
      <c r="N1075" s="5"/>
      <c r="O1075" s="6"/>
      <c r="P1075" s="6"/>
    </row>
    <row r="1076" spans="1:25" ht="21" customHeight="1">
      <c r="A1076" s="8">
        <v>1</v>
      </c>
      <c r="B1076" s="23">
        <v>44562</v>
      </c>
      <c r="C1076" s="9" t="str">
        <f>IF(ISNA(VLOOKUP(Y1076,Master!A$8:N$127,5,FALSE)),"",VLOOKUP(Y1076,Master!A$8:AH$127,5,FALSE))</f>
        <v/>
      </c>
      <c r="D1076" s="9" t="str">
        <f>IF(AND(C1076=""),"",IF(AND(Y1076=""),"",ROUND(C1076*Master!C$5%,0)))</f>
        <v/>
      </c>
      <c r="E1076" s="9" t="str">
        <f>IF(AND(C1076=""),"",IF(AND(Y1076=""),"",ROUND(C1076*Master!H$5%,0)))</f>
        <v/>
      </c>
      <c r="F1076" s="9" t="str">
        <f t="shared" ref="F1076:F1077" si="1401">IF(AND(C1076=""),"",SUM(C1076:E1076))</f>
        <v/>
      </c>
      <c r="G1076" s="9" t="str">
        <f>IF(ISNA(VLOOKUP(Y1076,Master!A$8:N$127,5,FALSE)),"",VLOOKUP(Y1076,Master!A$8:AH$127,5,FALSE))</f>
        <v/>
      </c>
      <c r="H1076" s="9" t="str">
        <f>IF(AND(G1076=""),"",IF(AND(Y1076=""),"",ROUND(G1076*Master!C$4%,0)))</f>
        <v/>
      </c>
      <c r="I1076" s="9" t="str">
        <f>IF(AND(G1076=""),"",IF(AND(Y1076=""),"",ROUND(G1076*Master!H$4%,0)))</f>
        <v/>
      </c>
      <c r="J1076" s="9" t="str">
        <f t="shared" ref="J1076:J1078" si="1402">IF(AND(C1076=""),"",SUM(G1076:I1076))</f>
        <v/>
      </c>
      <c r="K1076" s="9" t="str">
        <f t="shared" ref="K1076" si="1403">IF(AND(C1076=""),"",IF(AND(G1076=""),"",C1076-G1076))</f>
        <v/>
      </c>
      <c r="L1076" s="9" t="str">
        <f>IF(AND(D1076=""),"",IF(AND(H1076=""),"",D1076-H1076))</f>
        <v/>
      </c>
      <c r="M1076" s="9" t="str">
        <f t="shared" ref="M1076:M1078" si="1404">IF(AND(E1076=""),"",IF(AND(I1076=""),"",E1076-I1076))</f>
        <v/>
      </c>
      <c r="N1076" s="9" t="str">
        <f t="shared" ref="N1076" si="1405">IF(AND(F1076=""),"",IF(AND(J1076=""),"",F1076-J1076))</f>
        <v/>
      </c>
      <c r="O1076" s="9" t="str">
        <f>IF(AND(C1076=""),"",N1076-P1076)</f>
        <v/>
      </c>
      <c r="P1076" s="9" t="str">
        <f>IF(AND(Y1076=""),"",IF(AND(N1076=""),"",ROUND(N1076*X$17%,0)))</f>
        <v/>
      </c>
      <c r="Q1076" s="9" t="str">
        <f>IF(AND(Y1076=""),"",IF(AND(C1076=""),"",IF(AND(O1076=""),"",SUM(O1076,P1076))))</f>
        <v/>
      </c>
      <c r="R1076" s="9" t="str">
        <f>IF(AND(N1076=""),"",IF(AND(Q1076=""),"",N1076-Q1076))</f>
        <v/>
      </c>
      <c r="S1076" s="20"/>
      <c r="X1076" s="61" t="s">
        <v>49</v>
      </c>
      <c r="Y1076" s="64">
        <v>89</v>
      </c>
    </row>
    <row r="1077" spans="1:25" ht="21" customHeight="1">
      <c r="A1077" s="8">
        <v>2</v>
      </c>
      <c r="B1077" s="23">
        <v>44593</v>
      </c>
      <c r="C1077" s="9" t="str">
        <f>IF(AND(Y1076=""),"",C1076)</f>
        <v/>
      </c>
      <c r="D1077" s="9" t="str">
        <f>IF(AND(C1077=""),"",IF(AND(Y1076=""),"",ROUND(C1077*Master!C$5%,0)))</f>
        <v/>
      </c>
      <c r="E1077" s="9" t="str">
        <f>IF(AND(C1077=""),"",IF(AND(Y1076=""),"",ROUND(C1077*Master!H$5%,0)))</f>
        <v/>
      </c>
      <c r="F1077" s="9" t="str">
        <f t="shared" si="1401"/>
        <v/>
      </c>
      <c r="G1077" s="9" t="str">
        <f>IF(AND(Y1076=""),"",G1076)</f>
        <v/>
      </c>
      <c r="H1077" s="9" t="str">
        <f>IF(AND(G1077=""),"",IF(AND(Y1076=""),"",ROUND(G1077*Master!C$4%,0)))</f>
        <v/>
      </c>
      <c r="I1077" s="9" t="str">
        <f>IF(AND(G1077=""),"",IF(AND(Y1076=""),"",ROUND(G1077*Master!H$4%,0)))</f>
        <v/>
      </c>
      <c r="J1077" s="9" t="str">
        <f t="shared" si="1402"/>
        <v/>
      </c>
      <c r="K1077" s="9" t="str">
        <f>IF(AND(C1077=""),"",IF(AND(G1077=""),"",C1077-G1077))</f>
        <v/>
      </c>
      <c r="L1077" s="9" t="str">
        <f t="shared" ref="L1077:L1078" si="1406">IF(AND(D1077=""),"",IF(AND(H1077=""),"",D1077-H1077))</f>
        <v/>
      </c>
      <c r="M1077" s="9" t="str">
        <f t="shared" si="1404"/>
        <v/>
      </c>
      <c r="N1077" s="9" t="str">
        <f>IF(AND(F1077=""),"",IF(AND(J1077=""),"",F1077-J1077))</f>
        <v/>
      </c>
      <c r="O1077" s="9" t="str">
        <f t="shared" ref="O1077:O1078" si="1407">IF(AND(C1077=""),"",N1077-P1077)</f>
        <v/>
      </c>
      <c r="P1077" s="9" t="str">
        <f>IF(AND(Y1076=""),"",IF(AND(N1077=""),"",ROUND(N1077*X$17%,0)))</f>
        <v/>
      </c>
      <c r="Q1077" s="9" t="str">
        <f>IF(AND(Y1076=""),"",IF(AND(C1077=""),"",IF(AND(O1077=""),"",SUM(O1077,P1077))))</f>
        <v/>
      </c>
      <c r="R1077" s="9" t="str">
        <f t="shared" ref="R1077:R1078" si="1408">IF(AND(N1077=""),"",IF(AND(Q1077=""),"",N1077-Q1077))</f>
        <v/>
      </c>
      <c r="S1077" s="20"/>
      <c r="X1077" s="4" t="str">
        <f>IF(ISNA(VLOOKUP(Y1076,Master!A$8:N$127,7,FALSE)),"",VLOOKUP(Y1076,Master!A$8:AH$127,7,FALSE))</f>
        <v/>
      </c>
    </row>
    <row r="1078" spans="1:25" ht="21" customHeight="1">
      <c r="A1078" s="8">
        <v>3</v>
      </c>
      <c r="B1078" s="23">
        <v>44621</v>
      </c>
      <c r="C1078" s="9" t="str">
        <f>IF(AND(Y1076=""),"",C1077)</f>
        <v/>
      </c>
      <c r="D1078" s="9" t="str">
        <f>IF(AND(C1078=""),"",IF(AND(Y1076=""),"",ROUND(C1078*Master!C$5%,0)))</f>
        <v/>
      </c>
      <c r="E1078" s="9" t="str">
        <f>IF(AND(C1078=""),"",IF(AND(Y1076=""),"",ROUND(C1078*Master!H$5%,0)))</f>
        <v/>
      </c>
      <c r="F1078" s="9" t="str">
        <f>IF(AND(C1078=""),"",SUM(C1078:E1078))</f>
        <v/>
      </c>
      <c r="G1078" s="9" t="str">
        <f>IF(AND(Y1076=""),"",G1077)</f>
        <v/>
      </c>
      <c r="H1078" s="9" t="str">
        <f>IF(AND(G1078=""),"",IF(AND(Y1076=""),"",ROUND(G1078*Master!C$4%,0)))</f>
        <v/>
      </c>
      <c r="I1078" s="9" t="str">
        <f>IF(AND(G1078=""),"",IF(AND(Y1076=""),"",ROUND(G1078*Master!H$4%,0)))</f>
        <v/>
      </c>
      <c r="J1078" s="9" t="str">
        <f t="shared" si="1402"/>
        <v/>
      </c>
      <c r="K1078" s="9" t="str">
        <f t="shared" ref="K1078" si="1409">IF(AND(C1078=""),"",IF(AND(G1078=""),"",C1078-G1078))</f>
        <v/>
      </c>
      <c r="L1078" s="9" t="str">
        <f t="shared" si="1406"/>
        <v/>
      </c>
      <c r="M1078" s="9" t="str">
        <f t="shared" si="1404"/>
        <v/>
      </c>
      <c r="N1078" s="9" t="str">
        <f t="shared" ref="N1078" si="1410">IF(AND(F1078=""),"",IF(AND(J1078=""),"",F1078-J1078))</f>
        <v/>
      </c>
      <c r="O1078" s="9" t="str">
        <f t="shared" si="1407"/>
        <v/>
      </c>
      <c r="P1078" s="9" t="str">
        <f>IF(AND(Y1076=""),"",IF(AND(N1078=""),"",ROUND(N1078*X$17%,0)))</f>
        <v/>
      </c>
      <c r="Q1078" s="9" t="str">
        <f>IF(AND(Y1076=""),"",IF(AND(C1078=""),"",IF(AND(O1078=""),"",SUM(O1078,P1078))))</f>
        <v/>
      </c>
      <c r="R1078" s="9" t="str">
        <f t="shared" si="1408"/>
        <v/>
      </c>
      <c r="S1078" s="20"/>
    </row>
    <row r="1079" spans="1:25" ht="30.75" customHeight="1">
      <c r="A1079" s="153" t="s">
        <v>9</v>
      </c>
      <c r="B1079" s="154"/>
      <c r="C1079" s="63">
        <f>IF(AND(Y1076=""),"",SUM(C1076:C1078))</f>
        <v>0</v>
      </c>
      <c r="D1079" s="63">
        <f>IF(AND(Y1076=""),"",SUM(D1076:D1078))</f>
        <v>0</v>
      </c>
      <c r="E1079" s="63">
        <f>IF(AND(Y1076=""),"",SUM(E1076:E1078))</f>
        <v>0</v>
      </c>
      <c r="F1079" s="63">
        <f>IF(AND(Y1076=""),"",SUM(F1076:F1078))</f>
        <v>0</v>
      </c>
      <c r="G1079" s="63">
        <f>IF(AND(Y1076=""),"",SUM(G1076:G1078))</f>
        <v>0</v>
      </c>
      <c r="H1079" s="63">
        <f>IF(AND(Y1076=""),"",SUM(H1076:H1078))</f>
        <v>0</v>
      </c>
      <c r="I1079" s="63">
        <f>IF(AND(Y1076=""),"",SUM(I1076:I1078))</f>
        <v>0</v>
      </c>
      <c r="J1079" s="63">
        <f>IF(AND(Y1076=""),"",SUM(J1076:J1078))</f>
        <v>0</v>
      </c>
      <c r="K1079" s="63">
        <f>IF(AND(Y1076=""),"",SUM(K1076:K1078))</f>
        <v>0</v>
      </c>
      <c r="L1079" s="63">
        <f>IF(AND(Y1076=""),"",SUM(L1076:L1078))</f>
        <v>0</v>
      </c>
      <c r="M1079" s="63">
        <f>IF(AND(Y1076=""),"",SUM(M1076:M1078))</f>
        <v>0</v>
      </c>
      <c r="N1079" s="63">
        <f>IF(AND(Y1076=""),"",SUM(N1076:N1078))</f>
        <v>0</v>
      </c>
      <c r="O1079" s="63">
        <f>IF(AND(Y1076=""),"",SUM(O1076:O1078))</f>
        <v>0</v>
      </c>
      <c r="P1079" s="63">
        <f>IF(AND(Y1076=""),"",SUM(P1076:P1078))</f>
        <v>0</v>
      </c>
      <c r="Q1079" s="63">
        <f>IF(AND(Y1076=""),"",SUM(Q1076:Q1078))</f>
        <v>0</v>
      </c>
      <c r="R1079" s="63">
        <f>IF(AND(Y1076=""),"",SUM(R1076:R1078))</f>
        <v>0</v>
      </c>
      <c r="S1079" s="49"/>
    </row>
    <row r="1080" spans="1:25" ht="11.25" customHeight="1">
      <c r="A1080" s="73"/>
      <c r="B1080" s="73"/>
      <c r="C1080" s="74"/>
      <c r="D1080" s="74"/>
      <c r="E1080" s="74"/>
      <c r="F1080" s="74"/>
      <c r="G1080" s="74"/>
      <c r="H1080" s="74"/>
      <c r="I1080" s="74"/>
      <c r="J1080" s="74"/>
      <c r="K1080" s="74"/>
      <c r="L1080" s="74"/>
      <c r="M1080" s="74"/>
      <c r="N1080" s="74"/>
      <c r="O1080" s="74"/>
      <c r="P1080" s="74"/>
      <c r="Q1080" s="74"/>
      <c r="R1080" s="74"/>
      <c r="S1080" s="75"/>
    </row>
    <row r="1081" spans="1:25" ht="23.25" customHeight="1">
      <c r="E1081" s="133" t="s">
        <v>10</v>
      </c>
      <c r="F1081" s="133"/>
      <c r="G1081" s="133"/>
      <c r="H1081" s="133"/>
      <c r="I1081" s="133"/>
      <c r="J1081" s="132" t="str">
        <f>IF(ISNA(VLOOKUP(Y1083,Master!A$8:N$127,2,FALSE)),"",VLOOKUP(Y1083,Master!A$8:AH$127,2,FALSE))</f>
        <v/>
      </c>
      <c r="K1081" s="132"/>
      <c r="L1081" s="132"/>
      <c r="M1081" s="132"/>
      <c r="N1081" s="132"/>
      <c r="O1081" s="60" t="s">
        <v>31</v>
      </c>
      <c r="P1081" s="132" t="str">
        <f>IF(ISNA(VLOOKUP($Y$431,Master!A$8:N$127,3,FALSE)),"",VLOOKUP($Y$431,Master!A$8:AH$127,3,FALSE))</f>
        <v/>
      </c>
      <c r="Q1081" s="132"/>
      <c r="R1081" s="132"/>
      <c r="S1081" s="132"/>
    </row>
    <row r="1082" spans="1:25" ht="9" customHeight="1">
      <c r="E1082" s="19"/>
      <c r="F1082" s="52"/>
      <c r="G1082" s="22"/>
      <c r="H1082" s="22"/>
      <c r="I1082" s="22"/>
      <c r="J1082" s="5"/>
      <c r="K1082" s="5"/>
      <c r="L1082" s="5"/>
      <c r="M1082" s="5"/>
      <c r="N1082" s="5"/>
      <c r="O1082" s="6"/>
      <c r="P1082" s="6"/>
    </row>
    <row r="1083" spans="1:25" ht="21" customHeight="1">
      <c r="A1083" s="8">
        <v>1</v>
      </c>
      <c r="B1083" s="23">
        <v>44562</v>
      </c>
      <c r="C1083" s="9" t="str">
        <f>IF(ISNA(VLOOKUP(Y1083,Master!A$8:N$127,5,FALSE)),"",VLOOKUP(Y1083,Master!A$8:AH$127,5,FALSE))</f>
        <v/>
      </c>
      <c r="D1083" s="9" t="str">
        <f>IF(AND(C1083=""),"",IF(AND(Y1083=""),"",ROUND(C1083*Master!C$5%,0)))</f>
        <v/>
      </c>
      <c r="E1083" s="9" t="str">
        <f>IF(AND(C1083=""),"",IF(AND(Y1083=""),"",ROUND(C1083*Master!H$5%,0)))</f>
        <v/>
      </c>
      <c r="F1083" s="9" t="str">
        <f t="shared" ref="F1083:F1085" si="1411">IF(AND(C1083=""),"",SUM(C1083:E1083))</f>
        <v/>
      </c>
      <c r="G1083" s="9" t="str">
        <f>IF(ISNA(VLOOKUP(Y1083,Master!A$8:N$127,5,FALSE)),"",VLOOKUP(Y1083,Master!A$8:AH$127,5,FALSE))</f>
        <v/>
      </c>
      <c r="H1083" s="9" t="str">
        <f>IF(AND(G1083=""),"",IF(AND(Y1083=""),"",ROUND(G1083*Master!C$4%,0)))</f>
        <v/>
      </c>
      <c r="I1083" s="9" t="str">
        <f>IF(AND(G1083=""),"",IF(AND(Y1083=""),"",ROUND(G1083*Master!H$4%,0)))</f>
        <v/>
      </c>
      <c r="J1083" s="9" t="str">
        <f t="shared" ref="J1083:J1085" si="1412">IF(AND(C1083=""),"",SUM(G1083:I1083))</f>
        <v/>
      </c>
      <c r="K1083" s="9" t="str">
        <f t="shared" ref="K1083:K1085" si="1413">IF(AND(C1083=""),"",IF(AND(G1083=""),"",C1083-G1083))</f>
        <v/>
      </c>
      <c r="L1083" s="9" t="str">
        <f t="shared" ref="L1083:L1085" si="1414">IF(AND(D1083=""),"",IF(AND(H1083=""),"",D1083-H1083))</f>
        <v/>
      </c>
      <c r="M1083" s="9" t="str">
        <f t="shared" ref="M1083:M1085" si="1415">IF(AND(E1083=""),"",IF(AND(I1083=""),"",E1083-I1083))</f>
        <v/>
      </c>
      <c r="N1083" s="9" t="str">
        <f t="shared" ref="N1083:N1085" si="1416">IF(AND(F1083=""),"",IF(AND(J1083=""),"",F1083-J1083))</f>
        <v/>
      </c>
      <c r="O1083" s="9" t="str">
        <f>IF(AND(C1083=""),"",N1083-P1083)</f>
        <v/>
      </c>
      <c r="P1083" s="9" t="str">
        <f>IF(AND(Y1083=""),"",IF(AND(N1083=""),"",ROUND(N1083*AA$1%,0)))</f>
        <v/>
      </c>
      <c r="Q1083" s="9" t="str">
        <f>IF(AND(Y1083=""),"",IF(AND(C1083=""),"",IF(AND(O1083=""),"",SUM(O1083,P1083))))</f>
        <v/>
      </c>
      <c r="R1083" s="9" t="str">
        <f>IF(AND(N1083=""),"",IF(AND(Q1083=""),"",N1083-Q1083))</f>
        <v/>
      </c>
      <c r="S1083" s="20"/>
      <c r="X1083" s="61" t="s">
        <v>49</v>
      </c>
      <c r="Y1083" s="64">
        <v>90</v>
      </c>
    </row>
    <row r="1084" spans="1:25" ht="21" customHeight="1">
      <c r="A1084" s="8">
        <v>2</v>
      </c>
      <c r="B1084" s="23">
        <v>44593</v>
      </c>
      <c r="C1084" s="9" t="str">
        <f>IF(AND(Y1083=""),"",C1083)</f>
        <v/>
      </c>
      <c r="D1084" s="9" t="str">
        <f>IF(AND(C1084=""),"",IF(AND(Y1083=""),"",ROUND(C1084*Master!C$5%,0)))</f>
        <v/>
      </c>
      <c r="E1084" s="9" t="str">
        <f>IF(AND(C1084=""),"",IF(AND(Y1083=""),"",ROUND(C1084*Master!H$5%,0)))</f>
        <v/>
      </c>
      <c r="F1084" s="9" t="str">
        <f t="shared" si="1411"/>
        <v/>
      </c>
      <c r="G1084" s="9" t="str">
        <f>IF(AND(Y1083=""),"",G1083)</f>
        <v/>
      </c>
      <c r="H1084" s="9" t="str">
        <f>IF(AND(G1084=""),"",IF(AND(Y1083=""),"",ROUND(G1084*Master!C$4%,0)))</f>
        <v/>
      </c>
      <c r="I1084" s="9" t="str">
        <f>IF(AND(G1084=""),"",IF(AND(Y1083=""),"",ROUND(G1084*Master!H$4%,0)))</f>
        <v/>
      </c>
      <c r="J1084" s="9" t="str">
        <f t="shared" si="1412"/>
        <v/>
      </c>
      <c r="K1084" s="9" t="str">
        <f t="shared" si="1413"/>
        <v/>
      </c>
      <c r="L1084" s="9" t="str">
        <f t="shared" si="1414"/>
        <v/>
      </c>
      <c r="M1084" s="9" t="str">
        <f t="shared" si="1415"/>
        <v/>
      </c>
      <c r="N1084" s="9" t="str">
        <f t="shared" si="1416"/>
        <v/>
      </c>
      <c r="O1084" s="9" t="str">
        <f t="shared" ref="O1084:O1085" si="1417">IF(AND(C1084=""),"",N1084-P1084)</f>
        <v/>
      </c>
      <c r="P1084" s="9" t="str">
        <f>IF(AND(Y1083=""),"",IF(AND(N1084=""),"",ROUND(N1084*AA$1%,0)))</f>
        <v/>
      </c>
      <c r="Q1084" s="9" t="str">
        <f>IF(AND(Y1083=""),"",IF(AND(C1084=""),"",IF(AND(O1084=""),"",SUM(O1084,P1084))))</f>
        <v/>
      </c>
      <c r="R1084" s="9" t="str">
        <f t="shared" ref="R1084:R1085" si="1418">IF(AND(N1084=""),"",IF(AND(Q1084=""),"",N1084-Q1084))</f>
        <v/>
      </c>
      <c r="S1084" s="20"/>
      <c r="X1084" s="4" t="str">
        <f>IF(ISNA(VLOOKUP(Y1083,Master!A$8:N$127,7,FALSE)),"",VLOOKUP(Y1083,Master!A$8:AH$127,7,FALSE))</f>
        <v/>
      </c>
    </row>
    <row r="1085" spans="1:25" ht="21" customHeight="1">
      <c r="A1085" s="8">
        <v>3</v>
      </c>
      <c r="B1085" s="23">
        <v>44621</v>
      </c>
      <c r="C1085" s="9" t="str">
        <f>IF(AND(Y1083=""),"",C1084)</f>
        <v/>
      </c>
      <c r="D1085" s="9" t="str">
        <f>IF(AND(C1085=""),"",IF(AND(Y1083=""),"",ROUND(C1085*Master!C$5%,0)))</f>
        <v/>
      </c>
      <c r="E1085" s="9" t="str">
        <f>IF(AND(C1085=""),"",IF(AND(Y1083=""),"",ROUND(C1085*Master!H$5%,0)))</f>
        <v/>
      </c>
      <c r="F1085" s="9" t="str">
        <f t="shared" si="1411"/>
        <v/>
      </c>
      <c r="G1085" s="9" t="str">
        <f>IF(AND(Y1083=""),"",G1084)</f>
        <v/>
      </c>
      <c r="H1085" s="9" t="str">
        <f>IF(AND(G1085=""),"",IF(AND(Y1083=""),"",ROUND(G1085*Master!C$4%,0)))</f>
        <v/>
      </c>
      <c r="I1085" s="9" t="str">
        <f>IF(AND(G1085=""),"",IF(AND(Y1083=""),"",ROUND(G1085*Master!H$4%,0)))</f>
        <v/>
      </c>
      <c r="J1085" s="9" t="str">
        <f t="shared" si="1412"/>
        <v/>
      </c>
      <c r="K1085" s="9" t="str">
        <f t="shared" si="1413"/>
        <v/>
      </c>
      <c r="L1085" s="9" t="str">
        <f t="shared" si="1414"/>
        <v/>
      </c>
      <c r="M1085" s="9" t="str">
        <f t="shared" si="1415"/>
        <v/>
      </c>
      <c r="N1085" s="9" t="str">
        <f t="shared" si="1416"/>
        <v/>
      </c>
      <c r="O1085" s="9" t="str">
        <f t="shared" si="1417"/>
        <v/>
      </c>
      <c r="P1085" s="9" t="str">
        <f>IF(AND(Y1083=""),"",IF(AND(N1085=""),"",ROUND(N1085*AA$1%,0)))</f>
        <v/>
      </c>
      <c r="Q1085" s="9" t="str">
        <f>IF(AND(Y1083=""),"",IF(AND(C1085=""),"",IF(AND(O1085=""),"",SUM(O1085,P1085))))</f>
        <v/>
      </c>
      <c r="R1085" s="9" t="str">
        <f t="shared" si="1418"/>
        <v/>
      </c>
      <c r="S1085" s="20"/>
    </row>
    <row r="1086" spans="1:25" ht="30.75" customHeight="1">
      <c r="A1086" s="153" t="s">
        <v>9</v>
      </c>
      <c r="B1086" s="154"/>
      <c r="C1086" s="63">
        <f>IF(AND(Y1083=""),"",SUM(C1083:C1085))</f>
        <v>0</v>
      </c>
      <c r="D1086" s="63">
        <f>IF(AND(Y1083=""),"",SUM(D1083:D1085))</f>
        <v>0</v>
      </c>
      <c r="E1086" s="63">
        <f>IF(AND(Y1083=""),"",SUM(E1083:E1085))</f>
        <v>0</v>
      </c>
      <c r="F1086" s="63">
        <f>IF(AND(Y1083=""),"",SUM(F1083:F1085))</f>
        <v>0</v>
      </c>
      <c r="G1086" s="63">
        <f>IF(AND(Y1083=""),"",SUM(G1083:G1085))</f>
        <v>0</v>
      </c>
      <c r="H1086" s="63">
        <f>IF(AND(Y1083=""),"",SUM(H1083:H1085))</f>
        <v>0</v>
      </c>
      <c r="I1086" s="63">
        <f>IF(AND(Y1083=""),"",SUM(I1083:I1085))</f>
        <v>0</v>
      </c>
      <c r="J1086" s="63">
        <f>IF(AND(Y1083=""),"",SUM(J1083:J1085))</f>
        <v>0</v>
      </c>
      <c r="K1086" s="63">
        <f>IF(AND(Y1083=""),"",SUM(K1083:K1085))</f>
        <v>0</v>
      </c>
      <c r="L1086" s="63">
        <f>IF(AND(Y1083=""),"",SUM(L1083:L1085))</f>
        <v>0</v>
      </c>
      <c r="M1086" s="63">
        <f>IF(AND(Y1083=""),"",SUM(M1083:M1085))</f>
        <v>0</v>
      </c>
      <c r="N1086" s="63">
        <f>IF(AND(Y1083=""),"",SUM(N1083:N1085))</f>
        <v>0</v>
      </c>
      <c r="O1086" s="63">
        <f>IF(AND(Y1083=""),"",SUM(O1083:O1085))</f>
        <v>0</v>
      </c>
      <c r="P1086" s="63">
        <f>IF(AND(Y1083=""),"",SUM(P1083:P1085))</f>
        <v>0</v>
      </c>
      <c r="Q1086" s="63">
        <f>IF(AND(Y1083=""),"",SUM(Q1083:Q1085))</f>
        <v>0</v>
      </c>
      <c r="R1086" s="63">
        <f>IF(AND(Y1083=""),"",SUM(R1083:R1085))</f>
        <v>0</v>
      </c>
      <c r="S1086" s="49"/>
    </row>
    <row r="1087" spans="1:25" ht="30.75" customHeight="1">
      <c r="A1087" s="73"/>
      <c r="B1087" s="73"/>
      <c r="C1087" s="74"/>
      <c r="D1087" s="74"/>
      <c r="E1087" s="74"/>
      <c r="F1087" s="74"/>
      <c r="G1087" s="74"/>
      <c r="H1087" s="74"/>
      <c r="I1087" s="74"/>
      <c r="J1087" s="74"/>
      <c r="K1087" s="74"/>
      <c r="L1087" s="74"/>
      <c r="M1087" s="74"/>
      <c r="N1087" s="74"/>
      <c r="O1087" s="74"/>
      <c r="P1087" s="74"/>
      <c r="Q1087" s="74"/>
      <c r="R1087" s="74"/>
      <c r="S1087" s="75"/>
    </row>
    <row r="1088" spans="1:25" ht="18.75">
      <c r="A1088" s="21"/>
      <c r="B1088" s="58"/>
      <c r="C1088" s="58"/>
      <c r="D1088" s="58"/>
      <c r="E1088" s="58"/>
      <c r="F1088" s="58"/>
      <c r="G1088" s="58"/>
      <c r="H1088" s="59"/>
      <c r="I1088" s="59"/>
      <c r="J1088" s="59"/>
      <c r="K1088" s="66"/>
      <c r="L1088" s="66"/>
      <c r="M1088" s="66"/>
      <c r="N1088" s="66"/>
      <c r="O1088" s="138" t="s">
        <v>42</v>
      </c>
      <c r="P1088" s="138"/>
      <c r="Q1088" s="138"/>
      <c r="R1088" s="138"/>
      <c r="S1088" s="138"/>
    </row>
    <row r="1089" spans="1:27" ht="18.75">
      <c r="A1089" s="1"/>
      <c r="B1089" s="24" t="s">
        <v>19</v>
      </c>
      <c r="C1089" s="139"/>
      <c r="D1089" s="139"/>
      <c r="E1089" s="139"/>
      <c r="F1089" s="139"/>
      <c r="G1089" s="139"/>
      <c r="H1089" s="25"/>
      <c r="I1089" s="143" t="s">
        <v>20</v>
      </c>
      <c r="J1089" s="143"/>
      <c r="K1089" s="141"/>
      <c r="L1089" s="141"/>
      <c r="M1089" s="141"/>
      <c r="O1089" s="138"/>
      <c r="P1089" s="138"/>
      <c r="Q1089" s="138"/>
      <c r="R1089" s="138"/>
      <c r="S1089" s="138"/>
    </row>
    <row r="1090" spans="1:27" ht="18.75">
      <c r="A1090" s="1"/>
      <c r="B1090" s="140" t="s">
        <v>21</v>
      </c>
      <c r="C1090" s="140"/>
      <c r="D1090" s="140"/>
      <c r="E1090" s="140"/>
      <c r="F1090" s="140"/>
      <c r="G1090" s="140"/>
      <c r="H1090" s="140"/>
      <c r="I1090" s="27"/>
      <c r="J1090" s="26"/>
      <c r="K1090" s="26"/>
      <c r="L1090" s="26"/>
      <c r="M1090" s="26"/>
    </row>
    <row r="1091" spans="1:27" ht="18.75">
      <c r="A1091" s="22">
        <v>1</v>
      </c>
      <c r="B1091" s="142" t="s">
        <v>22</v>
      </c>
      <c r="C1091" s="142"/>
      <c r="D1091" s="142"/>
      <c r="E1091" s="142"/>
      <c r="F1091" s="142"/>
      <c r="G1091" s="142"/>
      <c r="H1091" s="142"/>
      <c r="I1091" s="28"/>
      <c r="J1091" s="26"/>
      <c r="K1091" s="26"/>
      <c r="L1091" s="26"/>
      <c r="M1091" s="26"/>
    </row>
    <row r="1092" spans="1:27" ht="18.75">
      <c r="A1092" s="2">
        <v>2</v>
      </c>
      <c r="B1092" s="142" t="s">
        <v>23</v>
      </c>
      <c r="C1092" s="142"/>
      <c r="D1092" s="142"/>
      <c r="E1092" s="142"/>
      <c r="F1092" s="142"/>
      <c r="G1092" s="132"/>
      <c r="H1092" s="132"/>
      <c r="I1092" s="132"/>
      <c r="J1092" s="132"/>
      <c r="K1092" s="132"/>
      <c r="L1092" s="132"/>
      <c r="M1092" s="132"/>
    </row>
    <row r="1093" spans="1:27" ht="18.75">
      <c r="A1093" s="3">
        <v>3</v>
      </c>
      <c r="B1093" s="142" t="s">
        <v>24</v>
      </c>
      <c r="C1093" s="142"/>
      <c r="D1093" s="142"/>
      <c r="E1093" s="29"/>
      <c r="F1093" s="28"/>
      <c r="G1093" s="28"/>
      <c r="H1093" s="30"/>
      <c r="I1093" s="31"/>
      <c r="J1093" s="26"/>
      <c r="K1093" s="26"/>
      <c r="L1093" s="26"/>
      <c r="M1093" s="26"/>
    </row>
    <row r="1094" spans="1:27" ht="15.75">
      <c r="O1094" s="138" t="s">
        <v>42</v>
      </c>
      <c r="P1094" s="138"/>
      <c r="Q1094" s="138"/>
      <c r="R1094" s="138"/>
      <c r="S1094" s="138"/>
    </row>
    <row r="1096" spans="1:27" ht="18" customHeight="1">
      <c r="A1096" s="148" t="str">
        <f>A1062</f>
        <v xml:space="preserve">DA (46% to 50%) Drawn Statement  </v>
      </c>
      <c r="B1096" s="148"/>
      <c r="C1096" s="148"/>
      <c r="D1096" s="148"/>
      <c r="E1096" s="148"/>
      <c r="F1096" s="148"/>
      <c r="G1096" s="148"/>
      <c r="H1096" s="148"/>
      <c r="I1096" s="148"/>
      <c r="J1096" s="148"/>
      <c r="K1096" s="148"/>
      <c r="L1096" s="148"/>
      <c r="M1096" s="148"/>
      <c r="N1096" s="148"/>
      <c r="O1096" s="148"/>
      <c r="P1096" s="148"/>
      <c r="Q1096" s="148"/>
      <c r="R1096" s="148"/>
      <c r="S1096" s="148"/>
      <c r="W1096" s="4">
        <f>IF(ISNA(VLOOKUP($Y$3,Master!A$8:N$127,4,FALSE)),"",VLOOKUP($Y$3,Master!A$8:AH$127,4,FALSE))</f>
        <v>2</v>
      </c>
      <c r="X1096" s="4" t="str">
        <f>IF(ISNA(VLOOKUP($Y$3,Master!A$8:N$127,6,FALSE)),"",VLOOKUP($Y$3,Master!A$8:AH$127,6,FALSE))</f>
        <v>GPF-2004</v>
      </c>
      <c r="Y1096" s="4" t="s">
        <v>45</v>
      </c>
      <c r="Z1096" s="4" t="s">
        <v>18</v>
      </c>
      <c r="AA1096" s="4" t="str">
        <f>IF(ISNA(VLOOKUP(Y1098,Master!A$8:N$127,7,FALSE)),"",VLOOKUP(Y1098,Master!A$8:AH$127,7,FALSE))</f>
        <v/>
      </c>
    </row>
    <row r="1097" spans="1:27" ht="18">
      <c r="A1097" s="131" t="str">
        <f>IF(AND(Master!C1023=""),"",CONCATENATE("Office Of  ",Master!C1023))</f>
        <v/>
      </c>
      <c r="B1097" s="131"/>
      <c r="C1097" s="131"/>
      <c r="D1097" s="131"/>
      <c r="E1097" s="131"/>
      <c r="F1097" s="131"/>
      <c r="G1097" s="131"/>
      <c r="H1097" s="131"/>
      <c r="I1097" s="131"/>
      <c r="J1097" s="131"/>
      <c r="K1097" s="131"/>
      <c r="L1097" s="131"/>
      <c r="M1097" s="131"/>
      <c r="N1097" s="131"/>
      <c r="O1097" s="131"/>
      <c r="P1097" s="131"/>
      <c r="Q1097" s="131"/>
      <c r="R1097" s="131"/>
      <c r="S1097" s="131"/>
      <c r="X1097" s="4">
        <f>IF(ISNA(VLOOKUP($Y$3,Master!A$8:N$127,8,FALSE)),"",VLOOKUP($Y$3,Master!A$8:AH$127,8,FALSE))</f>
        <v>45292</v>
      </c>
      <c r="Y1097" s="4" t="s">
        <v>43</v>
      </c>
    </row>
    <row r="1098" spans="1:27" ht="18.75">
      <c r="E1098" s="133" t="s">
        <v>10</v>
      </c>
      <c r="F1098" s="133"/>
      <c r="G1098" s="133"/>
      <c r="H1098" s="133"/>
      <c r="I1098" s="133"/>
      <c r="J1098" s="132" t="str">
        <f>IF(ISNA(VLOOKUP(Y1098,Master!A$8:N$127,2,FALSE)),"",VLOOKUP(Y1098,Master!A$8:AH$127,2,FALSE))</f>
        <v/>
      </c>
      <c r="K1098" s="132"/>
      <c r="L1098" s="132"/>
      <c r="M1098" s="132"/>
      <c r="N1098" s="132"/>
      <c r="O1098" s="60" t="s">
        <v>31</v>
      </c>
      <c r="P1098" s="132" t="str">
        <f>IF(ISNA(VLOOKUP(Y1098,Master!A$8:N$127,3,FALSE)),"",VLOOKUP(Y1098,Master!A$8:AH$127,3,FALSE))</f>
        <v/>
      </c>
      <c r="Q1098" s="132"/>
      <c r="R1098" s="132"/>
      <c r="S1098" s="132"/>
      <c r="X1098" s="61" t="s">
        <v>49</v>
      </c>
      <c r="Y1098" s="64">
        <v>91</v>
      </c>
    </row>
    <row r="1099" spans="1:27" ht="8.25" customHeight="1">
      <c r="E1099" s="19"/>
      <c r="F1099" s="52"/>
      <c r="G1099" s="22"/>
      <c r="H1099" s="22"/>
      <c r="I1099" s="22"/>
      <c r="J1099" s="5"/>
      <c r="K1099" s="5"/>
      <c r="L1099" s="5"/>
      <c r="M1099" s="5"/>
      <c r="N1099" s="5"/>
      <c r="O1099" s="6"/>
      <c r="P1099" s="6"/>
    </row>
    <row r="1100" spans="1:27" ht="24.75" customHeight="1">
      <c r="A1100" s="157" t="s">
        <v>0</v>
      </c>
      <c r="B1100" s="158" t="s">
        <v>3</v>
      </c>
      <c r="C1100" s="159" t="s">
        <v>5</v>
      </c>
      <c r="D1100" s="159"/>
      <c r="E1100" s="159"/>
      <c r="F1100" s="159"/>
      <c r="G1100" s="159" t="s">
        <v>6</v>
      </c>
      <c r="H1100" s="159"/>
      <c r="I1100" s="159"/>
      <c r="J1100" s="159"/>
      <c r="K1100" s="159" t="s">
        <v>7</v>
      </c>
      <c r="L1100" s="159"/>
      <c r="M1100" s="159"/>
      <c r="N1100" s="159"/>
      <c r="O1100" s="149" t="s">
        <v>8</v>
      </c>
      <c r="P1100" s="150"/>
      <c r="Q1100" s="151"/>
      <c r="R1100" s="162" t="s">
        <v>54</v>
      </c>
      <c r="S1100" s="162" t="s">
        <v>40</v>
      </c>
    </row>
    <row r="1101" spans="1:27" ht="69" customHeight="1">
      <c r="A1101" s="157"/>
      <c r="B1101" s="158"/>
      <c r="C1101" s="54" t="s">
        <v>29</v>
      </c>
      <c r="D1101" s="55" t="s">
        <v>1</v>
      </c>
      <c r="E1101" s="56" t="s">
        <v>2</v>
      </c>
      <c r="F1101" s="54" t="s">
        <v>46</v>
      </c>
      <c r="G1101" s="54" t="s">
        <v>29</v>
      </c>
      <c r="H1101" s="55" t="s">
        <v>1</v>
      </c>
      <c r="I1101" s="56" t="s">
        <v>2</v>
      </c>
      <c r="J1101" s="54" t="s">
        <v>47</v>
      </c>
      <c r="K1101" s="54" t="s">
        <v>4</v>
      </c>
      <c r="L1101" s="55" t="s">
        <v>1</v>
      </c>
      <c r="M1101" s="56" t="s">
        <v>2</v>
      </c>
      <c r="N1101" s="57" t="s">
        <v>48</v>
      </c>
      <c r="O1101" s="53" t="s">
        <v>69</v>
      </c>
      <c r="P1101" s="65" t="s">
        <v>41</v>
      </c>
      <c r="Q1101" s="57" t="s">
        <v>53</v>
      </c>
      <c r="R1101" s="162"/>
      <c r="S1101" s="162"/>
    </row>
    <row r="1102" spans="1:27" ht="18" customHeight="1">
      <c r="A1102" s="7">
        <v>1</v>
      </c>
      <c r="B1102" s="7">
        <v>2</v>
      </c>
      <c r="C1102" s="7">
        <v>3</v>
      </c>
      <c r="D1102" s="7">
        <v>4</v>
      </c>
      <c r="E1102" s="7">
        <v>5</v>
      </c>
      <c r="F1102" s="7">
        <v>6</v>
      </c>
      <c r="G1102" s="7">
        <v>7</v>
      </c>
      <c r="H1102" s="7">
        <v>8</v>
      </c>
      <c r="I1102" s="7">
        <v>9</v>
      </c>
      <c r="J1102" s="7">
        <v>10</v>
      </c>
      <c r="K1102" s="7">
        <v>11</v>
      </c>
      <c r="L1102" s="7">
        <v>12</v>
      </c>
      <c r="M1102" s="7">
        <v>13</v>
      </c>
      <c r="N1102" s="7">
        <v>14</v>
      </c>
      <c r="O1102" s="7">
        <v>15</v>
      </c>
      <c r="P1102" s="7">
        <v>17</v>
      </c>
      <c r="Q1102" s="7">
        <v>18</v>
      </c>
      <c r="R1102" s="7">
        <v>19</v>
      </c>
      <c r="S1102" s="7">
        <v>20</v>
      </c>
    </row>
    <row r="1103" spans="1:27" ht="21" customHeight="1">
      <c r="A1103" s="8">
        <v>1</v>
      </c>
      <c r="B1103" s="23">
        <v>44562</v>
      </c>
      <c r="C1103" s="9" t="str">
        <f>IF(ISNA(VLOOKUP(Y1098,Master!A$8:N$127,5,FALSE)),"",VLOOKUP(Y1098,Master!A$8:AH$127,5,FALSE))</f>
        <v/>
      </c>
      <c r="D1103" s="9" t="str">
        <f>IF(AND(C1103=""),"",IF(AND(Y1098=""),"",ROUND(C1103*Master!C$5%,0)))</f>
        <v/>
      </c>
      <c r="E1103" s="9" t="str">
        <f>IF(AND(C1103=""),"",IF(AND(Y1098=""),"",ROUND(C1103*Master!H$5%,0)))</f>
        <v/>
      </c>
      <c r="F1103" s="9" t="str">
        <f t="shared" ref="F1103" si="1419">IF(AND(C1103=""),"",SUM(C1103:E1103))</f>
        <v/>
      </c>
      <c r="G1103" s="9" t="str">
        <f>IF(ISNA(VLOOKUP(Y1098,Master!A$8:N$127,5,FALSE)),"",VLOOKUP(Y1098,Master!A$8:AH$127,5,FALSE))</f>
        <v/>
      </c>
      <c r="H1103" s="9" t="str">
        <f>IF(AND(G1103=""),"",IF(AND(Y1098=""),"",ROUND(G1103*Master!C$4%,0)))</f>
        <v/>
      </c>
      <c r="I1103" s="9" t="str">
        <f>IF(AND(G1103=""),"",IF(AND(Y1098=""),"",ROUND(G1103*Master!H$4%,0)))</f>
        <v/>
      </c>
      <c r="J1103" s="9" t="str">
        <f t="shared" ref="J1103:J1104" si="1420">IF(AND(C1103=""),"",SUM(G1103:I1103))</f>
        <v/>
      </c>
      <c r="K1103" s="9" t="str">
        <f t="shared" ref="K1103:K1105" si="1421">IF(AND(C1103=""),"",IF(AND(G1103=""),"",C1103-G1103))</f>
        <v/>
      </c>
      <c r="L1103" s="9" t="str">
        <f t="shared" ref="L1103:L1105" si="1422">IF(AND(D1103=""),"",IF(AND(H1103=""),"",D1103-H1103))</f>
        <v/>
      </c>
      <c r="M1103" s="9" t="str">
        <f t="shared" ref="M1103:M1104" si="1423">IF(AND(E1103=""),"",IF(AND(I1103=""),"",E1103-I1103))</f>
        <v/>
      </c>
      <c r="N1103" s="9" t="str">
        <f t="shared" ref="N1103:N1104" si="1424">IF(AND(F1103=""),"",IF(AND(J1103=""),"",F1103-J1103))</f>
        <v/>
      </c>
      <c r="O1103" s="9" t="str">
        <f>IF(AND(C1103=""),"",N1103-P1103)</f>
        <v/>
      </c>
      <c r="P1103" s="9" t="str">
        <f>IF(AND(Y1098=""),"",IF(AND(N1103=""),"",ROUND(N1103*AA$1%,0)))</f>
        <v/>
      </c>
      <c r="Q1103" s="9" t="str">
        <f>IF(AND(Y1098=""),"",IF(AND(C1103=""),"",IF(AND(O1103=""),"",SUM(O1103,P1103))))</f>
        <v/>
      </c>
      <c r="R1103" s="9" t="str">
        <f>IF(AND(N1103=""),"",IF(AND(Q1103=""),"",N1103-Q1103))</f>
        <v/>
      </c>
      <c r="S1103" s="20"/>
    </row>
    <row r="1104" spans="1:27" ht="21" customHeight="1">
      <c r="A1104" s="8">
        <v>2</v>
      </c>
      <c r="B1104" s="23">
        <v>44593</v>
      </c>
      <c r="C1104" s="9" t="str">
        <f>IF(AND(Y1098=""),"",C1103)</f>
        <v/>
      </c>
      <c r="D1104" s="9" t="str">
        <f>IF(AND(C1104=""),"",IF(AND(Y1098=""),"",ROUND(C1104*Master!C$5%,0)))</f>
        <v/>
      </c>
      <c r="E1104" s="9" t="str">
        <f>IF(AND(C1104=""),"",IF(AND(Y1098=""),"",ROUND(C1104*Master!H$5%,0)))</f>
        <v/>
      </c>
      <c r="F1104" s="9" t="str">
        <f>IF(AND(C1104=""),"",SUM(C1104:E1104))</f>
        <v/>
      </c>
      <c r="G1104" s="9" t="str">
        <f>IF(AND(Y1098=""),"",G1103)</f>
        <v/>
      </c>
      <c r="H1104" s="9" t="str">
        <f>IF(AND(G1104=""),"",IF(AND(Y1098=""),"",ROUND(G1104*Master!C$4%,0)))</f>
        <v/>
      </c>
      <c r="I1104" s="9" t="str">
        <f>IF(AND(G1104=""),"",IF(AND(Y1098=""),"",ROUND(G1104*Master!H$4%,0)))</f>
        <v/>
      </c>
      <c r="J1104" s="9" t="str">
        <f t="shared" si="1420"/>
        <v/>
      </c>
      <c r="K1104" s="9" t="str">
        <f t="shared" si="1421"/>
        <v/>
      </c>
      <c r="L1104" s="9" t="str">
        <f t="shared" si="1422"/>
        <v/>
      </c>
      <c r="M1104" s="9" t="str">
        <f t="shared" si="1423"/>
        <v/>
      </c>
      <c r="N1104" s="9" t="str">
        <f t="shared" si="1424"/>
        <v/>
      </c>
      <c r="O1104" s="9" t="str">
        <f t="shared" ref="O1104:O1105" si="1425">IF(AND(C1104=""),"",N1104-P1104)</f>
        <v/>
      </c>
      <c r="P1104" s="9" t="str">
        <f>IF(AND(Y1098=""),"",IF(AND(N1104=""),"",ROUND(N1104*AA$1%,0)))</f>
        <v/>
      </c>
      <c r="Q1104" s="9" t="str">
        <f>IF(AND(Y1098=""),"",IF(AND(C1104=""),"",IF(AND(O1104=""),"",SUM(O1104,P1104))))</f>
        <v/>
      </c>
      <c r="R1104" s="9" t="str">
        <f t="shared" ref="R1104:R1105" si="1426">IF(AND(N1104=""),"",IF(AND(Q1104=""),"",N1104-Q1104))</f>
        <v/>
      </c>
      <c r="S1104" s="20"/>
    </row>
    <row r="1105" spans="1:25" ht="21" customHeight="1">
      <c r="A1105" s="8">
        <v>3</v>
      </c>
      <c r="B1105" s="23">
        <v>44621</v>
      </c>
      <c r="C1105" s="9" t="str">
        <f>IF(AND(Y1098=""),"",C1104)</f>
        <v/>
      </c>
      <c r="D1105" s="9" t="str">
        <f>IF(AND(C1105=""),"",IF(AND(Y1098=""),"",ROUND(C1105*Master!C$5%,0)))</f>
        <v/>
      </c>
      <c r="E1105" s="9" t="str">
        <f>IF(AND(C1105=""),"",IF(AND(Y1098=""),"",ROUND(C1105*Master!H$5%,0)))</f>
        <v/>
      </c>
      <c r="F1105" s="9" t="str">
        <f t="shared" ref="F1105" si="1427">IF(AND(C1105=""),"",SUM(C1105:E1105))</f>
        <v/>
      </c>
      <c r="G1105" s="9" t="str">
        <f>IF(AND(Y1098=""),"",G1104)</f>
        <v/>
      </c>
      <c r="H1105" s="9" t="str">
        <f>IF(AND(G1105=""),"",IF(AND(Y1098=""),"",ROUND(G1105*Master!C$4%,0)))</f>
        <v/>
      </c>
      <c r="I1105" s="9" t="str">
        <f>IF(AND(G1105=""),"",IF(AND(Y1098=""),"",ROUND(G1105*Master!H$4%,0)))</f>
        <v/>
      </c>
      <c r="J1105" s="9" t="str">
        <f>IF(AND(C1105=""),"",SUM(G1105:I1105))</f>
        <v/>
      </c>
      <c r="K1105" s="9" t="str">
        <f t="shared" si="1421"/>
        <v/>
      </c>
      <c r="L1105" s="9" t="str">
        <f t="shared" si="1422"/>
        <v/>
      </c>
      <c r="M1105" s="9" t="str">
        <f>IF(AND(E1105=""),"",IF(AND(I1105=""),"",E1105-I1105))</f>
        <v/>
      </c>
      <c r="N1105" s="9" t="str">
        <f>IF(AND(F1105=""),"",IF(AND(J1105=""),"",F1105-J1105))</f>
        <v/>
      </c>
      <c r="O1105" s="9" t="str">
        <f t="shared" si="1425"/>
        <v/>
      </c>
      <c r="P1105" s="9" t="str">
        <f>IF(AND(Y1098=""),"",IF(AND(N1105=""),"",ROUND(N1105*AA$1%,0)))</f>
        <v/>
      </c>
      <c r="Q1105" s="9" t="str">
        <f>IF(AND(Y1098=""),"",IF(AND(C1105=""),"",IF(AND(O1105=""),"",SUM(O1105,P1105))))</f>
        <v/>
      </c>
      <c r="R1105" s="9" t="str">
        <f t="shared" si="1426"/>
        <v/>
      </c>
      <c r="S1105" s="20"/>
    </row>
    <row r="1106" spans="1:25" ht="23.25" customHeight="1">
      <c r="A1106" s="153" t="s">
        <v>9</v>
      </c>
      <c r="B1106" s="154"/>
      <c r="C1106" s="63">
        <f>IF(AND(Y1098=""),"",SUM(C1103:C1105))</f>
        <v>0</v>
      </c>
      <c r="D1106" s="63">
        <f>IF(AND(Y1098=""),"",SUM(D1103:D1105))</f>
        <v>0</v>
      </c>
      <c r="E1106" s="63">
        <f>IF(AND(Y1098=""),"",SUM(E1103:E1105))</f>
        <v>0</v>
      </c>
      <c r="F1106" s="63">
        <f>IF(AND(Y1098=""),"",SUM(F1103:F1105))</f>
        <v>0</v>
      </c>
      <c r="G1106" s="63">
        <f>IF(AND(Y1098=""),"",SUM(G1103:G1105))</f>
        <v>0</v>
      </c>
      <c r="H1106" s="63">
        <f>IF(AND(Y1098=""),"",SUM(H1103:H1105))</f>
        <v>0</v>
      </c>
      <c r="I1106" s="63">
        <f>IF(AND(Y1098=""),"",SUM(I1103:I1105))</f>
        <v>0</v>
      </c>
      <c r="J1106" s="63">
        <f>IF(AND(Y1098=""),"",SUM(J1103:J1105))</f>
        <v>0</v>
      </c>
      <c r="K1106" s="63">
        <f>IF(AND(Y1098=""),"",SUM(K1103:K1105))</f>
        <v>0</v>
      </c>
      <c r="L1106" s="63">
        <f>IF(AND(Y1098=""),"",SUM(L1103:L1105))</f>
        <v>0</v>
      </c>
      <c r="M1106" s="63">
        <f>IF(AND(Y1098=""),"",SUM(M1103:M1105))</f>
        <v>0</v>
      </c>
      <c r="N1106" s="63">
        <f>IF(AND(Y1098=""),"",SUM(N1103:N1105))</f>
        <v>0</v>
      </c>
      <c r="O1106" s="63">
        <f>IF(AND(Y1098=""),"",SUM(O1103:O1105))</f>
        <v>0</v>
      </c>
      <c r="P1106" s="63">
        <f>IF(AND(Y1098=""),"",SUM(P1103:P1105))</f>
        <v>0</v>
      </c>
      <c r="Q1106" s="63">
        <f>IF(AND(Y1098=""),"",SUM(Q1103:Q1105))</f>
        <v>0</v>
      </c>
      <c r="R1106" s="63">
        <f>IF(AND(Y1098=""),"",SUM(R1103:R1105))</f>
        <v>0</v>
      </c>
      <c r="S1106" s="49"/>
    </row>
    <row r="1107" spans="1:25" ht="10.5" customHeight="1">
      <c r="A1107" s="73"/>
      <c r="B1107" s="73"/>
      <c r="C1107" s="74"/>
      <c r="D1107" s="74"/>
      <c r="E1107" s="74"/>
      <c r="F1107" s="74"/>
      <c r="G1107" s="74"/>
      <c r="H1107" s="74"/>
      <c r="I1107" s="74"/>
      <c r="J1107" s="74"/>
      <c r="K1107" s="74"/>
      <c r="L1107" s="74"/>
      <c r="M1107" s="74"/>
      <c r="N1107" s="74"/>
      <c r="O1107" s="74"/>
      <c r="P1107" s="74"/>
      <c r="Q1107" s="74"/>
      <c r="R1107" s="74"/>
      <c r="S1107" s="75"/>
    </row>
    <row r="1108" spans="1:25" ht="23.25" customHeight="1">
      <c r="E1108" s="133" t="s">
        <v>10</v>
      </c>
      <c r="F1108" s="133"/>
      <c r="G1108" s="133"/>
      <c r="H1108" s="133"/>
      <c r="I1108" s="133"/>
      <c r="J1108" s="132" t="str">
        <f>IF(ISNA(VLOOKUP(Y1110,Master!A$8:N$127,2,FALSE)),"",VLOOKUP(Y1110,Master!A$8:AH$127,2,FALSE))</f>
        <v/>
      </c>
      <c r="K1108" s="132"/>
      <c r="L1108" s="132"/>
      <c r="M1108" s="132"/>
      <c r="N1108" s="132"/>
      <c r="O1108" s="60" t="s">
        <v>31</v>
      </c>
      <c r="P1108" s="132" t="str">
        <f>IF(ISNA(VLOOKUP(Y1110,Master!A$8:N$127,3,FALSE)),"",VLOOKUP(Y1110,Master!A$8:AH$127,3,FALSE))</f>
        <v/>
      </c>
      <c r="Q1108" s="132"/>
      <c r="R1108" s="132"/>
      <c r="S1108" s="132"/>
    </row>
    <row r="1109" spans="1:25" ht="9" customHeight="1">
      <c r="E1109" s="19"/>
      <c r="F1109" s="52"/>
      <c r="G1109" s="22"/>
      <c r="H1109" s="22"/>
      <c r="I1109" s="22"/>
      <c r="J1109" s="5"/>
      <c r="K1109" s="5"/>
      <c r="L1109" s="5"/>
      <c r="M1109" s="5"/>
      <c r="N1109" s="5"/>
      <c r="O1109" s="6"/>
      <c r="P1109" s="6"/>
    </row>
    <row r="1110" spans="1:25" ht="21" customHeight="1">
      <c r="A1110" s="8">
        <v>1</v>
      </c>
      <c r="B1110" s="23">
        <v>44562</v>
      </c>
      <c r="C1110" s="9" t="str">
        <f>IF(ISNA(VLOOKUP(Y1110,Master!A$8:N$127,5,FALSE)),"",VLOOKUP(Y1110,Master!A$8:AH$127,5,FALSE))</f>
        <v/>
      </c>
      <c r="D1110" s="9" t="str">
        <f>IF(AND(C1110=""),"",IF(AND(Y1110=""),"",ROUND(C1110*Master!C$5%,0)))</f>
        <v/>
      </c>
      <c r="E1110" s="9" t="str">
        <f>IF(AND(C1110=""),"",IF(AND(Y1110=""),"",ROUND(C1110*Master!H$5%,0)))</f>
        <v/>
      </c>
      <c r="F1110" s="9" t="str">
        <f t="shared" ref="F1110:F1111" si="1428">IF(AND(C1110=""),"",SUM(C1110:E1110))</f>
        <v/>
      </c>
      <c r="G1110" s="9" t="str">
        <f>IF(ISNA(VLOOKUP(Y1110,Master!A$8:N$127,5,FALSE)),"",VLOOKUP(Y1110,Master!A$8:AH$127,5,FALSE))</f>
        <v/>
      </c>
      <c r="H1110" s="9" t="str">
        <f>IF(AND(G1110=""),"",IF(AND(Y1110=""),"",ROUND(G1110*Master!C$4%,0)))</f>
        <v/>
      </c>
      <c r="I1110" s="9" t="str">
        <f>IF(AND(G1110=""),"",IF(AND(Y1110=""),"",ROUND(G1110*Master!H$4%,0)))</f>
        <v/>
      </c>
      <c r="J1110" s="9" t="str">
        <f t="shared" ref="J1110:J1112" si="1429">IF(AND(C1110=""),"",SUM(G1110:I1110))</f>
        <v/>
      </c>
      <c r="K1110" s="9" t="str">
        <f t="shared" ref="K1110" si="1430">IF(AND(C1110=""),"",IF(AND(G1110=""),"",C1110-G1110))</f>
        <v/>
      </c>
      <c r="L1110" s="9" t="str">
        <f>IF(AND(D1110=""),"",IF(AND(H1110=""),"",D1110-H1110))</f>
        <v/>
      </c>
      <c r="M1110" s="9" t="str">
        <f t="shared" ref="M1110:M1112" si="1431">IF(AND(E1110=""),"",IF(AND(I1110=""),"",E1110-I1110))</f>
        <v/>
      </c>
      <c r="N1110" s="9" t="str">
        <f t="shared" ref="N1110" si="1432">IF(AND(F1110=""),"",IF(AND(J1110=""),"",F1110-J1110))</f>
        <v/>
      </c>
      <c r="O1110" s="9" t="str">
        <f>IF(AND(C1110=""),"",N1110-P1110)</f>
        <v/>
      </c>
      <c r="P1110" s="9" t="str">
        <f>IF(AND(Y1110=""),"",IF(AND(N1110=""),"",ROUND(N1110*X$17%,0)))</f>
        <v/>
      </c>
      <c r="Q1110" s="9" t="str">
        <f>IF(AND(Y1110=""),"",IF(AND(C1110=""),"",IF(AND(O1110=""),"",SUM(O1110,P1110))))</f>
        <v/>
      </c>
      <c r="R1110" s="9" t="str">
        <f>IF(AND(N1110=""),"",IF(AND(Q1110=""),"",N1110-Q1110))</f>
        <v/>
      </c>
      <c r="S1110" s="20"/>
      <c r="X1110" s="61" t="s">
        <v>49</v>
      </c>
      <c r="Y1110" s="64">
        <v>92</v>
      </c>
    </row>
    <row r="1111" spans="1:25" ht="21" customHeight="1">
      <c r="A1111" s="8">
        <v>2</v>
      </c>
      <c r="B1111" s="23">
        <v>44593</v>
      </c>
      <c r="C1111" s="9" t="str">
        <f>IF(AND(Y1110=""),"",C1110)</f>
        <v/>
      </c>
      <c r="D1111" s="9" t="str">
        <f>IF(AND(C1111=""),"",IF(AND(Y1110=""),"",ROUND(C1111*Master!C$5%,0)))</f>
        <v/>
      </c>
      <c r="E1111" s="9" t="str">
        <f>IF(AND(C1111=""),"",IF(AND(Y1110=""),"",ROUND(C1111*Master!H$5%,0)))</f>
        <v/>
      </c>
      <c r="F1111" s="9" t="str">
        <f t="shared" si="1428"/>
        <v/>
      </c>
      <c r="G1111" s="9" t="str">
        <f>IF(AND(Y1110=""),"",G1110)</f>
        <v/>
      </c>
      <c r="H1111" s="9" t="str">
        <f>IF(AND(G1111=""),"",IF(AND(Y1110=""),"",ROUND(G1111*Master!C$4%,0)))</f>
        <v/>
      </c>
      <c r="I1111" s="9" t="str">
        <f>IF(AND(G1111=""),"",IF(AND(Y1110=""),"",ROUND(G1111*Master!H$4%,0)))</f>
        <v/>
      </c>
      <c r="J1111" s="9" t="str">
        <f t="shared" si="1429"/>
        <v/>
      </c>
      <c r="K1111" s="9" t="str">
        <f>IF(AND(C1111=""),"",IF(AND(G1111=""),"",C1111-G1111))</f>
        <v/>
      </c>
      <c r="L1111" s="9" t="str">
        <f t="shared" ref="L1111:L1112" si="1433">IF(AND(D1111=""),"",IF(AND(H1111=""),"",D1111-H1111))</f>
        <v/>
      </c>
      <c r="M1111" s="9" t="str">
        <f t="shared" si="1431"/>
        <v/>
      </c>
      <c r="N1111" s="9" t="str">
        <f>IF(AND(F1111=""),"",IF(AND(J1111=""),"",F1111-J1111))</f>
        <v/>
      </c>
      <c r="O1111" s="9" t="str">
        <f t="shared" ref="O1111:O1112" si="1434">IF(AND(C1111=""),"",N1111-P1111)</f>
        <v/>
      </c>
      <c r="P1111" s="9" t="str">
        <f>IF(AND(Y1110=""),"",IF(AND(N1111=""),"",ROUND(N1111*X$17%,0)))</f>
        <v/>
      </c>
      <c r="Q1111" s="9" t="str">
        <f>IF(AND(Y1110=""),"",IF(AND(C1111=""),"",IF(AND(O1111=""),"",SUM(O1111,P1111))))</f>
        <v/>
      </c>
      <c r="R1111" s="9" t="str">
        <f t="shared" ref="R1111:R1112" si="1435">IF(AND(N1111=""),"",IF(AND(Q1111=""),"",N1111-Q1111))</f>
        <v/>
      </c>
      <c r="S1111" s="20"/>
      <c r="X1111" s="4" t="str">
        <f>IF(ISNA(VLOOKUP(Y1110,Master!A$8:N$127,7,FALSE)),"",VLOOKUP(Y1110,Master!A$8:AH$127,7,FALSE))</f>
        <v/>
      </c>
    </row>
    <row r="1112" spans="1:25" ht="21" customHeight="1">
      <c r="A1112" s="8">
        <v>3</v>
      </c>
      <c r="B1112" s="23">
        <v>44621</v>
      </c>
      <c r="C1112" s="9" t="str">
        <f>IF(AND(Y1110=""),"",C1111)</f>
        <v/>
      </c>
      <c r="D1112" s="9" t="str">
        <f>IF(AND(C1112=""),"",IF(AND(Y1110=""),"",ROUND(C1112*Master!C$5%,0)))</f>
        <v/>
      </c>
      <c r="E1112" s="9" t="str">
        <f>IF(AND(C1112=""),"",IF(AND(Y1110=""),"",ROUND(C1112*Master!H$5%,0)))</f>
        <v/>
      </c>
      <c r="F1112" s="9" t="str">
        <f>IF(AND(C1112=""),"",SUM(C1112:E1112))</f>
        <v/>
      </c>
      <c r="G1112" s="9" t="str">
        <f>IF(AND(Y1110=""),"",G1111)</f>
        <v/>
      </c>
      <c r="H1112" s="9" t="str">
        <f>IF(AND(G1112=""),"",IF(AND(Y1110=""),"",ROUND(G1112*Master!C$4%,0)))</f>
        <v/>
      </c>
      <c r="I1112" s="9" t="str">
        <f>IF(AND(G1112=""),"",IF(AND(Y1110=""),"",ROUND(G1112*Master!H$4%,0)))</f>
        <v/>
      </c>
      <c r="J1112" s="9" t="str">
        <f t="shared" si="1429"/>
        <v/>
      </c>
      <c r="K1112" s="9" t="str">
        <f t="shared" ref="K1112" si="1436">IF(AND(C1112=""),"",IF(AND(G1112=""),"",C1112-G1112))</f>
        <v/>
      </c>
      <c r="L1112" s="9" t="str">
        <f t="shared" si="1433"/>
        <v/>
      </c>
      <c r="M1112" s="9" t="str">
        <f t="shared" si="1431"/>
        <v/>
      </c>
      <c r="N1112" s="9" t="str">
        <f t="shared" ref="N1112" si="1437">IF(AND(F1112=""),"",IF(AND(J1112=""),"",F1112-J1112))</f>
        <v/>
      </c>
      <c r="O1112" s="9" t="str">
        <f t="shared" si="1434"/>
        <v/>
      </c>
      <c r="P1112" s="9" t="str">
        <f>IF(AND(Y1110=""),"",IF(AND(N1112=""),"",ROUND(N1112*X$17%,0)))</f>
        <v/>
      </c>
      <c r="Q1112" s="9" t="str">
        <f>IF(AND(Y1110=""),"",IF(AND(C1112=""),"",IF(AND(O1112=""),"",SUM(O1112,P1112))))</f>
        <v/>
      </c>
      <c r="R1112" s="9" t="str">
        <f t="shared" si="1435"/>
        <v/>
      </c>
      <c r="S1112" s="20"/>
    </row>
    <row r="1113" spans="1:25" ht="30.75" customHeight="1">
      <c r="A1113" s="153" t="s">
        <v>9</v>
      </c>
      <c r="B1113" s="154"/>
      <c r="C1113" s="63">
        <f>IF(AND(Y1110=""),"",SUM(C1110:C1112))</f>
        <v>0</v>
      </c>
      <c r="D1113" s="63">
        <f>IF(AND(Y1110=""),"",SUM(D1110:D1112))</f>
        <v>0</v>
      </c>
      <c r="E1113" s="63">
        <f>IF(AND(Y1110=""),"",SUM(E1110:E1112))</f>
        <v>0</v>
      </c>
      <c r="F1113" s="63">
        <f>IF(AND(Y1110=""),"",SUM(F1110:F1112))</f>
        <v>0</v>
      </c>
      <c r="G1113" s="63">
        <f>IF(AND(Y1110=""),"",SUM(G1110:G1112))</f>
        <v>0</v>
      </c>
      <c r="H1113" s="63">
        <f>IF(AND(Y1110=""),"",SUM(H1110:H1112))</f>
        <v>0</v>
      </c>
      <c r="I1113" s="63">
        <f>IF(AND(Y1110=""),"",SUM(I1110:I1112))</f>
        <v>0</v>
      </c>
      <c r="J1113" s="63">
        <f>IF(AND(Y1110=""),"",SUM(J1110:J1112))</f>
        <v>0</v>
      </c>
      <c r="K1113" s="63">
        <f>IF(AND(Y1110=""),"",SUM(K1110:K1112))</f>
        <v>0</v>
      </c>
      <c r="L1113" s="63">
        <f>IF(AND(Y1110=""),"",SUM(L1110:L1112))</f>
        <v>0</v>
      </c>
      <c r="M1113" s="63">
        <f>IF(AND(Y1110=""),"",SUM(M1110:M1112))</f>
        <v>0</v>
      </c>
      <c r="N1113" s="63">
        <f>IF(AND(Y1110=""),"",SUM(N1110:N1112))</f>
        <v>0</v>
      </c>
      <c r="O1113" s="63">
        <f>IF(AND(Y1110=""),"",SUM(O1110:O1112))</f>
        <v>0</v>
      </c>
      <c r="P1113" s="63">
        <f>IF(AND(Y1110=""),"",SUM(P1110:P1112))</f>
        <v>0</v>
      </c>
      <c r="Q1113" s="63">
        <f>IF(AND(Y1110=""),"",SUM(Q1110:Q1112))</f>
        <v>0</v>
      </c>
      <c r="R1113" s="63">
        <f>IF(AND(Y1110=""),"",SUM(R1110:R1112))</f>
        <v>0</v>
      </c>
      <c r="S1113" s="49"/>
    </row>
    <row r="1114" spans="1:25" ht="11.25" customHeight="1">
      <c r="A1114" s="73"/>
      <c r="B1114" s="73"/>
      <c r="C1114" s="74"/>
      <c r="D1114" s="74"/>
      <c r="E1114" s="74"/>
      <c r="F1114" s="74"/>
      <c r="G1114" s="74"/>
      <c r="H1114" s="74"/>
      <c r="I1114" s="74"/>
      <c r="J1114" s="74"/>
      <c r="K1114" s="74"/>
      <c r="L1114" s="74"/>
      <c r="M1114" s="74"/>
      <c r="N1114" s="74"/>
      <c r="O1114" s="74"/>
      <c r="P1114" s="74"/>
      <c r="Q1114" s="74"/>
      <c r="R1114" s="74"/>
      <c r="S1114" s="75"/>
    </row>
    <row r="1115" spans="1:25" ht="23.25" customHeight="1">
      <c r="E1115" s="133" t="s">
        <v>10</v>
      </c>
      <c r="F1115" s="133"/>
      <c r="G1115" s="133"/>
      <c r="H1115" s="133"/>
      <c r="I1115" s="133"/>
      <c r="J1115" s="132" t="str">
        <f>IF(ISNA(VLOOKUP(Y1117,Master!A$8:N$127,2,FALSE)),"",VLOOKUP(Y1117,Master!A$8:AH$127,2,FALSE))</f>
        <v/>
      </c>
      <c r="K1115" s="132"/>
      <c r="L1115" s="132"/>
      <c r="M1115" s="132"/>
      <c r="N1115" s="132"/>
      <c r="O1115" s="60" t="s">
        <v>31</v>
      </c>
      <c r="P1115" s="132" t="str">
        <f>IF(ISNA(VLOOKUP($Y$431,Master!A$8:N$127,3,FALSE)),"",VLOOKUP($Y$431,Master!A$8:AH$127,3,FALSE))</f>
        <v/>
      </c>
      <c r="Q1115" s="132"/>
      <c r="R1115" s="132"/>
      <c r="S1115" s="132"/>
    </row>
    <row r="1116" spans="1:25" ht="9" customHeight="1">
      <c r="E1116" s="19"/>
      <c r="F1116" s="52"/>
      <c r="G1116" s="22"/>
      <c r="H1116" s="22"/>
      <c r="I1116" s="22"/>
      <c r="J1116" s="5"/>
      <c r="K1116" s="5"/>
      <c r="L1116" s="5"/>
      <c r="M1116" s="5"/>
      <c r="N1116" s="5"/>
      <c r="O1116" s="6"/>
      <c r="P1116" s="6"/>
    </row>
    <row r="1117" spans="1:25" ht="21" customHeight="1">
      <c r="A1117" s="8">
        <v>1</v>
      </c>
      <c r="B1117" s="23">
        <v>44562</v>
      </c>
      <c r="C1117" s="9" t="str">
        <f>IF(ISNA(VLOOKUP(Y1117,Master!A$8:N$127,5,FALSE)),"",VLOOKUP(Y1117,Master!A$8:AH$127,5,FALSE))</f>
        <v/>
      </c>
      <c r="D1117" s="9" t="str">
        <f>IF(AND(C1117=""),"",IF(AND(Y1117=""),"",ROUND(C1117*Master!C$5%,0)))</f>
        <v/>
      </c>
      <c r="E1117" s="9" t="str">
        <f>IF(AND(C1117=""),"",IF(AND(Y1117=""),"",ROUND(C1117*Master!H$5%,0)))</f>
        <v/>
      </c>
      <c r="F1117" s="9" t="str">
        <f t="shared" ref="F1117:F1119" si="1438">IF(AND(C1117=""),"",SUM(C1117:E1117))</f>
        <v/>
      </c>
      <c r="G1117" s="9" t="str">
        <f>IF(ISNA(VLOOKUP(Y1117,Master!A$8:N$127,5,FALSE)),"",VLOOKUP(Y1117,Master!A$8:AH$127,5,FALSE))</f>
        <v/>
      </c>
      <c r="H1117" s="9" t="str">
        <f>IF(AND(G1117=""),"",IF(AND(Y1117=""),"",ROUND(G1117*Master!C$4%,0)))</f>
        <v/>
      </c>
      <c r="I1117" s="9" t="str">
        <f>IF(AND(G1117=""),"",IF(AND(Y1117=""),"",ROUND(G1117*Master!H$4%,0)))</f>
        <v/>
      </c>
      <c r="J1117" s="9" t="str">
        <f t="shared" ref="J1117:J1119" si="1439">IF(AND(C1117=""),"",SUM(G1117:I1117))</f>
        <v/>
      </c>
      <c r="K1117" s="9" t="str">
        <f t="shared" ref="K1117:K1119" si="1440">IF(AND(C1117=""),"",IF(AND(G1117=""),"",C1117-G1117))</f>
        <v/>
      </c>
      <c r="L1117" s="9" t="str">
        <f t="shared" ref="L1117:L1119" si="1441">IF(AND(D1117=""),"",IF(AND(H1117=""),"",D1117-H1117))</f>
        <v/>
      </c>
      <c r="M1117" s="9" t="str">
        <f t="shared" ref="M1117:M1119" si="1442">IF(AND(E1117=""),"",IF(AND(I1117=""),"",E1117-I1117))</f>
        <v/>
      </c>
      <c r="N1117" s="9" t="str">
        <f t="shared" ref="N1117:N1119" si="1443">IF(AND(F1117=""),"",IF(AND(J1117=""),"",F1117-J1117))</f>
        <v/>
      </c>
      <c r="O1117" s="9" t="str">
        <f>IF(AND(C1117=""),"",N1117-P1117)</f>
        <v/>
      </c>
      <c r="P1117" s="9" t="str">
        <f>IF(AND(Y1117=""),"",IF(AND(N1117=""),"",ROUND(N1117*AA$1%,0)))</f>
        <v/>
      </c>
      <c r="Q1117" s="9" t="str">
        <f>IF(AND(Y1117=""),"",IF(AND(C1117=""),"",IF(AND(O1117=""),"",SUM(O1117,P1117))))</f>
        <v/>
      </c>
      <c r="R1117" s="9" t="str">
        <f>IF(AND(N1117=""),"",IF(AND(Q1117=""),"",N1117-Q1117))</f>
        <v/>
      </c>
      <c r="S1117" s="20"/>
      <c r="X1117" s="61" t="s">
        <v>49</v>
      </c>
      <c r="Y1117" s="64">
        <v>93</v>
      </c>
    </row>
    <row r="1118" spans="1:25" ht="21" customHeight="1">
      <c r="A1118" s="8">
        <v>2</v>
      </c>
      <c r="B1118" s="23">
        <v>44593</v>
      </c>
      <c r="C1118" s="9" t="str">
        <f>IF(AND(Y1117=""),"",C1117)</f>
        <v/>
      </c>
      <c r="D1118" s="9" t="str">
        <f>IF(AND(C1118=""),"",IF(AND(Y1117=""),"",ROUND(C1118*Master!C$5%,0)))</f>
        <v/>
      </c>
      <c r="E1118" s="9" t="str">
        <f>IF(AND(C1118=""),"",IF(AND(Y1117=""),"",ROUND(C1118*Master!H$5%,0)))</f>
        <v/>
      </c>
      <c r="F1118" s="9" t="str">
        <f t="shared" si="1438"/>
        <v/>
      </c>
      <c r="G1118" s="9" t="str">
        <f>IF(AND(Y1117=""),"",G1117)</f>
        <v/>
      </c>
      <c r="H1118" s="9" t="str">
        <f>IF(AND(G1118=""),"",IF(AND(Y1117=""),"",ROUND(G1118*Master!C$4%,0)))</f>
        <v/>
      </c>
      <c r="I1118" s="9" t="str">
        <f>IF(AND(G1118=""),"",IF(AND(Y1117=""),"",ROUND(G1118*Master!H$4%,0)))</f>
        <v/>
      </c>
      <c r="J1118" s="9" t="str">
        <f t="shared" si="1439"/>
        <v/>
      </c>
      <c r="K1118" s="9" t="str">
        <f t="shared" si="1440"/>
        <v/>
      </c>
      <c r="L1118" s="9" t="str">
        <f t="shared" si="1441"/>
        <v/>
      </c>
      <c r="M1118" s="9" t="str">
        <f t="shared" si="1442"/>
        <v/>
      </c>
      <c r="N1118" s="9" t="str">
        <f t="shared" si="1443"/>
        <v/>
      </c>
      <c r="O1118" s="9" t="str">
        <f t="shared" ref="O1118:O1119" si="1444">IF(AND(C1118=""),"",N1118-P1118)</f>
        <v/>
      </c>
      <c r="P1118" s="9" t="str">
        <f>IF(AND(Y1117=""),"",IF(AND(N1118=""),"",ROUND(N1118*AA$1%,0)))</f>
        <v/>
      </c>
      <c r="Q1118" s="9" t="str">
        <f>IF(AND(Y1117=""),"",IF(AND(C1118=""),"",IF(AND(O1118=""),"",SUM(O1118,P1118))))</f>
        <v/>
      </c>
      <c r="R1118" s="9" t="str">
        <f t="shared" ref="R1118:R1119" si="1445">IF(AND(N1118=""),"",IF(AND(Q1118=""),"",N1118-Q1118))</f>
        <v/>
      </c>
      <c r="S1118" s="20"/>
      <c r="X1118" s="4" t="str">
        <f>IF(ISNA(VLOOKUP(Y1117,Master!A$8:N$127,7,FALSE)),"",VLOOKUP(Y1117,Master!A$8:AH$127,7,FALSE))</f>
        <v/>
      </c>
    </row>
    <row r="1119" spans="1:25" ht="21" customHeight="1">
      <c r="A1119" s="8">
        <v>3</v>
      </c>
      <c r="B1119" s="23">
        <v>44621</v>
      </c>
      <c r="C1119" s="9" t="str">
        <f>IF(AND(Y1117=""),"",C1118)</f>
        <v/>
      </c>
      <c r="D1119" s="9" t="str">
        <f>IF(AND(C1119=""),"",IF(AND(Y1117=""),"",ROUND(C1119*Master!C$5%,0)))</f>
        <v/>
      </c>
      <c r="E1119" s="9" t="str">
        <f>IF(AND(C1119=""),"",IF(AND(Y1117=""),"",ROUND(C1119*Master!H$5%,0)))</f>
        <v/>
      </c>
      <c r="F1119" s="9" t="str">
        <f t="shared" si="1438"/>
        <v/>
      </c>
      <c r="G1119" s="9" t="str">
        <f>IF(AND(Y1117=""),"",G1118)</f>
        <v/>
      </c>
      <c r="H1119" s="9" t="str">
        <f>IF(AND(G1119=""),"",IF(AND(Y1117=""),"",ROUND(G1119*Master!C$4%,0)))</f>
        <v/>
      </c>
      <c r="I1119" s="9" t="str">
        <f>IF(AND(G1119=""),"",IF(AND(Y1117=""),"",ROUND(G1119*Master!H$4%,0)))</f>
        <v/>
      </c>
      <c r="J1119" s="9" t="str">
        <f t="shared" si="1439"/>
        <v/>
      </c>
      <c r="K1119" s="9" t="str">
        <f t="shared" si="1440"/>
        <v/>
      </c>
      <c r="L1119" s="9" t="str">
        <f t="shared" si="1441"/>
        <v/>
      </c>
      <c r="M1119" s="9" t="str">
        <f t="shared" si="1442"/>
        <v/>
      </c>
      <c r="N1119" s="9" t="str">
        <f t="shared" si="1443"/>
        <v/>
      </c>
      <c r="O1119" s="9" t="str">
        <f t="shared" si="1444"/>
        <v/>
      </c>
      <c r="P1119" s="9" t="str">
        <f>IF(AND(Y1117=""),"",IF(AND(N1119=""),"",ROUND(N1119*AA$1%,0)))</f>
        <v/>
      </c>
      <c r="Q1119" s="9" t="str">
        <f>IF(AND(Y1117=""),"",IF(AND(C1119=""),"",IF(AND(O1119=""),"",SUM(O1119,P1119))))</f>
        <v/>
      </c>
      <c r="R1119" s="9" t="str">
        <f t="shared" si="1445"/>
        <v/>
      </c>
      <c r="S1119" s="20"/>
    </row>
    <row r="1120" spans="1:25" ht="30.75" customHeight="1">
      <c r="A1120" s="153" t="s">
        <v>9</v>
      </c>
      <c r="B1120" s="154"/>
      <c r="C1120" s="63">
        <f>IF(AND(Y1117=""),"",SUM(C1117:C1119))</f>
        <v>0</v>
      </c>
      <c r="D1120" s="63">
        <f>IF(AND(Y1117=""),"",SUM(D1117:D1119))</f>
        <v>0</v>
      </c>
      <c r="E1120" s="63">
        <f>IF(AND(Y1117=""),"",SUM(E1117:E1119))</f>
        <v>0</v>
      </c>
      <c r="F1120" s="63">
        <f>IF(AND(Y1117=""),"",SUM(F1117:F1119))</f>
        <v>0</v>
      </c>
      <c r="G1120" s="63">
        <f>IF(AND(Y1117=""),"",SUM(G1117:G1119))</f>
        <v>0</v>
      </c>
      <c r="H1120" s="63">
        <f>IF(AND(Y1117=""),"",SUM(H1117:H1119))</f>
        <v>0</v>
      </c>
      <c r="I1120" s="63">
        <f>IF(AND(Y1117=""),"",SUM(I1117:I1119))</f>
        <v>0</v>
      </c>
      <c r="J1120" s="63">
        <f>IF(AND(Y1117=""),"",SUM(J1117:J1119))</f>
        <v>0</v>
      </c>
      <c r="K1120" s="63">
        <f>IF(AND(Y1117=""),"",SUM(K1117:K1119))</f>
        <v>0</v>
      </c>
      <c r="L1120" s="63">
        <f>IF(AND(Y1117=""),"",SUM(L1117:L1119))</f>
        <v>0</v>
      </c>
      <c r="M1120" s="63">
        <f>IF(AND(Y1117=""),"",SUM(M1117:M1119))</f>
        <v>0</v>
      </c>
      <c r="N1120" s="63">
        <f>IF(AND(Y1117=""),"",SUM(N1117:N1119))</f>
        <v>0</v>
      </c>
      <c r="O1120" s="63">
        <f>IF(AND(Y1117=""),"",SUM(O1117:O1119))</f>
        <v>0</v>
      </c>
      <c r="P1120" s="63">
        <f>IF(AND(Y1117=""),"",SUM(P1117:P1119))</f>
        <v>0</v>
      </c>
      <c r="Q1120" s="63">
        <f>IF(AND(Y1117=""),"",SUM(Q1117:Q1119))</f>
        <v>0</v>
      </c>
      <c r="R1120" s="63">
        <f>IF(AND(Y1117=""),"",SUM(R1117:R1119))</f>
        <v>0</v>
      </c>
      <c r="S1120" s="49"/>
    </row>
    <row r="1121" spans="1:27" ht="30.75" customHeight="1">
      <c r="A1121" s="73"/>
      <c r="B1121" s="73"/>
      <c r="C1121" s="74"/>
      <c r="D1121" s="74"/>
      <c r="E1121" s="74"/>
      <c r="F1121" s="74"/>
      <c r="G1121" s="74"/>
      <c r="H1121" s="74"/>
      <c r="I1121" s="74"/>
      <c r="J1121" s="74"/>
      <c r="K1121" s="74"/>
      <c r="L1121" s="74"/>
      <c r="M1121" s="74"/>
      <c r="N1121" s="74"/>
      <c r="O1121" s="74"/>
      <c r="P1121" s="74"/>
      <c r="Q1121" s="74"/>
      <c r="R1121" s="74"/>
      <c r="S1121" s="75"/>
    </row>
    <row r="1122" spans="1:27" ht="18.75">
      <c r="A1122" s="21"/>
      <c r="B1122" s="58"/>
      <c r="C1122" s="58"/>
      <c r="D1122" s="58"/>
      <c r="E1122" s="58"/>
      <c r="F1122" s="58"/>
      <c r="G1122" s="58"/>
      <c r="H1122" s="59"/>
      <c r="I1122" s="59"/>
      <c r="J1122" s="59"/>
      <c r="K1122" s="66"/>
      <c r="L1122" s="66"/>
      <c r="M1122" s="66"/>
      <c r="N1122" s="66"/>
      <c r="O1122" s="138" t="s">
        <v>42</v>
      </c>
      <c r="P1122" s="138"/>
      <c r="Q1122" s="138"/>
      <c r="R1122" s="138"/>
      <c r="S1122" s="138"/>
    </row>
    <row r="1123" spans="1:27" ht="18.75">
      <c r="A1123" s="1"/>
      <c r="B1123" s="24" t="s">
        <v>19</v>
      </c>
      <c r="C1123" s="139"/>
      <c r="D1123" s="139"/>
      <c r="E1123" s="139"/>
      <c r="F1123" s="139"/>
      <c r="G1123" s="139"/>
      <c r="H1123" s="25"/>
      <c r="I1123" s="143" t="s">
        <v>20</v>
      </c>
      <c r="J1123" s="143"/>
      <c r="K1123" s="141"/>
      <c r="L1123" s="141"/>
      <c r="M1123" s="141"/>
      <c r="O1123" s="138"/>
      <c r="P1123" s="138"/>
      <c r="Q1123" s="138"/>
      <c r="R1123" s="138"/>
      <c r="S1123" s="138"/>
    </row>
    <row r="1124" spans="1:27" ht="18.75">
      <c r="A1124" s="1"/>
      <c r="B1124" s="140" t="s">
        <v>21</v>
      </c>
      <c r="C1124" s="140"/>
      <c r="D1124" s="140"/>
      <c r="E1124" s="140"/>
      <c r="F1124" s="140"/>
      <c r="G1124" s="140"/>
      <c r="H1124" s="140"/>
      <c r="I1124" s="27"/>
      <c r="J1124" s="26"/>
      <c r="K1124" s="26"/>
      <c r="L1124" s="26"/>
      <c r="M1124" s="26"/>
    </row>
    <row r="1125" spans="1:27" ht="18.75">
      <c r="A1125" s="22">
        <v>1</v>
      </c>
      <c r="B1125" s="142" t="s">
        <v>22</v>
      </c>
      <c r="C1125" s="142"/>
      <c r="D1125" s="142"/>
      <c r="E1125" s="142"/>
      <c r="F1125" s="142"/>
      <c r="G1125" s="142"/>
      <c r="H1125" s="142"/>
      <c r="I1125" s="28"/>
      <c r="J1125" s="26"/>
      <c r="K1125" s="26"/>
      <c r="L1125" s="26"/>
      <c r="M1125" s="26"/>
    </row>
    <row r="1126" spans="1:27" ht="18.75">
      <c r="A1126" s="2">
        <v>2</v>
      </c>
      <c r="B1126" s="142" t="s">
        <v>23</v>
      </c>
      <c r="C1126" s="142"/>
      <c r="D1126" s="142"/>
      <c r="E1126" s="142"/>
      <c r="F1126" s="142"/>
      <c r="G1126" s="132"/>
      <c r="H1126" s="132"/>
      <c r="I1126" s="132"/>
      <c r="J1126" s="132"/>
      <c r="K1126" s="132"/>
      <c r="L1126" s="132"/>
      <c r="M1126" s="132"/>
    </row>
    <row r="1127" spans="1:27" ht="18.75">
      <c r="A1127" s="3">
        <v>3</v>
      </c>
      <c r="B1127" s="142" t="s">
        <v>24</v>
      </c>
      <c r="C1127" s="142"/>
      <c r="D1127" s="142"/>
      <c r="E1127" s="29"/>
      <c r="F1127" s="28"/>
      <c r="G1127" s="28"/>
      <c r="H1127" s="30"/>
      <c r="I1127" s="31"/>
      <c r="J1127" s="26"/>
      <c r="K1127" s="26"/>
      <c r="L1127" s="26"/>
      <c r="M1127" s="26"/>
    </row>
    <row r="1128" spans="1:27" ht="15.75">
      <c r="O1128" s="138" t="s">
        <v>42</v>
      </c>
      <c r="P1128" s="138"/>
      <c r="Q1128" s="138"/>
      <c r="R1128" s="138"/>
      <c r="S1128" s="138"/>
    </row>
    <row r="1130" spans="1:27" ht="18" customHeight="1">
      <c r="A1130" s="148" t="str">
        <f>A1096</f>
        <v xml:space="preserve">DA (46% to 50%) Drawn Statement  </v>
      </c>
      <c r="B1130" s="148"/>
      <c r="C1130" s="148"/>
      <c r="D1130" s="148"/>
      <c r="E1130" s="148"/>
      <c r="F1130" s="148"/>
      <c r="G1130" s="148"/>
      <c r="H1130" s="148"/>
      <c r="I1130" s="148"/>
      <c r="J1130" s="148"/>
      <c r="K1130" s="148"/>
      <c r="L1130" s="148"/>
      <c r="M1130" s="148"/>
      <c r="N1130" s="148"/>
      <c r="O1130" s="148"/>
      <c r="P1130" s="148"/>
      <c r="Q1130" s="148"/>
      <c r="R1130" s="148"/>
      <c r="S1130" s="148"/>
      <c r="W1130" s="4">
        <f>IF(ISNA(VLOOKUP($Y$3,Master!A$8:N$127,4,FALSE)),"",VLOOKUP($Y$3,Master!A$8:AH$127,4,FALSE))</f>
        <v>2</v>
      </c>
      <c r="X1130" s="4" t="str">
        <f>IF(ISNA(VLOOKUP($Y$3,Master!A$8:N$127,6,FALSE)),"",VLOOKUP($Y$3,Master!A$8:AH$127,6,FALSE))</f>
        <v>GPF-2004</v>
      </c>
      <c r="Y1130" s="4" t="s">
        <v>45</v>
      </c>
      <c r="Z1130" s="4" t="s">
        <v>18</v>
      </c>
      <c r="AA1130" s="4" t="str">
        <f>IF(ISNA(VLOOKUP(Y1132,Master!A$8:N$127,7,FALSE)),"",VLOOKUP(Y1132,Master!A$8:AH$127,7,FALSE))</f>
        <v/>
      </c>
    </row>
    <row r="1131" spans="1:27" ht="18">
      <c r="A1131" s="131" t="str">
        <f>IF(AND(Master!C1057=""),"",CONCATENATE("Office Of  ",Master!C1057))</f>
        <v/>
      </c>
      <c r="B1131" s="131"/>
      <c r="C1131" s="131"/>
      <c r="D1131" s="131"/>
      <c r="E1131" s="131"/>
      <c r="F1131" s="131"/>
      <c r="G1131" s="131"/>
      <c r="H1131" s="131"/>
      <c r="I1131" s="131"/>
      <c r="J1131" s="131"/>
      <c r="K1131" s="131"/>
      <c r="L1131" s="131"/>
      <c r="M1131" s="131"/>
      <c r="N1131" s="131"/>
      <c r="O1131" s="131"/>
      <c r="P1131" s="131"/>
      <c r="Q1131" s="131"/>
      <c r="R1131" s="131"/>
      <c r="S1131" s="131"/>
      <c r="X1131" s="4">
        <f>IF(ISNA(VLOOKUP($Y$3,Master!A$8:N$127,8,FALSE)),"",VLOOKUP($Y$3,Master!A$8:AH$127,8,FALSE))</f>
        <v>45292</v>
      </c>
      <c r="Y1131" s="4" t="s">
        <v>43</v>
      </c>
    </row>
    <row r="1132" spans="1:27" ht="18.75">
      <c r="E1132" s="133" t="s">
        <v>10</v>
      </c>
      <c r="F1132" s="133"/>
      <c r="G1132" s="133"/>
      <c r="H1132" s="133"/>
      <c r="I1132" s="133"/>
      <c r="J1132" s="132" t="str">
        <f>IF(ISNA(VLOOKUP(Y1132,Master!A$8:N$127,2,FALSE)),"",VLOOKUP(Y1132,Master!A$8:AH$127,2,FALSE))</f>
        <v/>
      </c>
      <c r="K1132" s="132"/>
      <c r="L1132" s="132"/>
      <c r="M1132" s="132"/>
      <c r="N1132" s="132"/>
      <c r="O1132" s="60" t="s">
        <v>31</v>
      </c>
      <c r="P1132" s="132" t="str">
        <f>IF(ISNA(VLOOKUP(Y1132,Master!A$8:N$127,3,FALSE)),"",VLOOKUP(Y1132,Master!A$8:AH$127,3,FALSE))</f>
        <v/>
      </c>
      <c r="Q1132" s="132"/>
      <c r="R1132" s="132"/>
      <c r="S1132" s="132"/>
      <c r="X1132" s="61" t="s">
        <v>49</v>
      </c>
      <c r="Y1132" s="64">
        <v>94</v>
      </c>
    </row>
    <row r="1133" spans="1:27" ht="8.25" customHeight="1">
      <c r="E1133" s="19"/>
      <c r="F1133" s="52"/>
      <c r="G1133" s="22"/>
      <c r="H1133" s="22"/>
      <c r="I1133" s="22"/>
      <c r="J1133" s="5"/>
      <c r="K1133" s="5"/>
      <c r="L1133" s="5"/>
      <c r="M1133" s="5"/>
      <c r="N1133" s="5"/>
      <c r="O1133" s="6"/>
      <c r="P1133" s="6"/>
    </row>
    <row r="1134" spans="1:27" ht="24.75" customHeight="1">
      <c r="A1134" s="157" t="s">
        <v>0</v>
      </c>
      <c r="B1134" s="158" t="s">
        <v>3</v>
      </c>
      <c r="C1134" s="159" t="s">
        <v>5</v>
      </c>
      <c r="D1134" s="159"/>
      <c r="E1134" s="159"/>
      <c r="F1134" s="159"/>
      <c r="G1134" s="159" t="s">
        <v>6</v>
      </c>
      <c r="H1134" s="159"/>
      <c r="I1134" s="159"/>
      <c r="J1134" s="159"/>
      <c r="K1134" s="159" t="s">
        <v>7</v>
      </c>
      <c r="L1134" s="159"/>
      <c r="M1134" s="159"/>
      <c r="N1134" s="159"/>
      <c r="O1134" s="149" t="s">
        <v>8</v>
      </c>
      <c r="P1134" s="150"/>
      <c r="Q1134" s="151"/>
      <c r="R1134" s="162" t="s">
        <v>54</v>
      </c>
      <c r="S1134" s="162" t="s">
        <v>40</v>
      </c>
    </row>
    <row r="1135" spans="1:27" ht="69" customHeight="1">
      <c r="A1135" s="157"/>
      <c r="B1135" s="158"/>
      <c r="C1135" s="54" t="s">
        <v>29</v>
      </c>
      <c r="D1135" s="55" t="s">
        <v>1</v>
      </c>
      <c r="E1135" s="56" t="s">
        <v>2</v>
      </c>
      <c r="F1135" s="54" t="s">
        <v>46</v>
      </c>
      <c r="G1135" s="54" t="s">
        <v>29</v>
      </c>
      <c r="H1135" s="55" t="s">
        <v>1</v>
      </c>
      <c r="I1135" s="56" t="s">
        <v>2</v>
      </c>
      <c r="J1135" s="54" t="s">
        <v>47</v>
      </c>
      <c r="K1135" s="54" t="s">
        <v>4</v>
      </c>
      <c r="L1135" s="55" t="s">
        <v>1</v>
      </c>
      <c r="M1135" s="56" t="s">
        <v>2</v>
      </c>
      <c r="N1135" s="57" t="s">
        <v>48</v>
      </c>
      <c r="O1135" s="53" t="s">
        <v>69</v>
      </c>
      <c r="P1135" s="65" t="s">
        <v>41</v>
      </c>
      <c r="Q1135" s="57" t="s">
        <v>53</v>
      </c>
      <c r="R1135" s="162"/>
      <c r="S1135" s="162"/>
    </row>
    <row r="1136" spans="1:27" ht="18" customHeight="1">
      <c r="A1136" s="7">
        <v>1</v>
      </c>
      <c r="B1136" s="7">
        <v>2</v>
      </c>
      <c r="C1136" s="7">
        <v>3</v>
      </c>
      <c r="D1136" s="7">
        <v>4</v>
      </c>
      <c r="E1136" s="7">
        <v>5</v>
      </c>
      <c r="F1136" s="7">
        <v>6</v>
      </c>
      <c r="G1136" s="7">
        <v>7</v>
      </c>
      <c r="H1136" s="7">
        <v>8</v>
      </c>
      <c r="I1136" s="7">
        <v>9</v>
      </c>
      <c r="J1136" s="7">
        <v>10</v>
      </c>
      <c r="K1136" s="7">
        <v>11</v>
      </c>
      <c r="L1136" s="7">
        <v>12</v>
      </c>
      <c r="M1136" s="7">
        <v>13</v>
      </c>
      <c r="N1136" s="7">
        <v>14</v>
      </c>
      <c r="O1136" s="7">
        <v>15</v>
      </c>
      <c r="P1136" s="7">
        <v>17</v>
      </c>
      <c r="Q1136" s="7">
        <v>18</v>
      </c>
      <c r="R1136" s="7">
        <v>19</v>
      </c>
      <c r="S1136" s="7">
        <v>20</v>
      </c>
    </row>
    <row r="1137" spans="1:25" ht="21" customHeight="1">
      <c r="A1137" s="8">
        <v>1</v>
      </c>
      <c r="B1137" s="23">
        <v>44562</v>
      </c>
      <c r="C1137" s="9" t="str">
        <f>IF(ISNA(VLOOKUP(Y1132,Master!A$8:N$127,5,FALSE)),"",VLOOKUP(Y1132,Master!A$8:AH$127,5,FALSE))</f>
        <v/>
      </c>
      <c r="D1137" s="9" t="str">
        <f>IF(AND(C1137=""),"",IF(AND(Y1132=""),"",ROUND(C1137*Master!C$5%,0)))</f>
        <v/>
      </c>
      <c r="E1137" s="9" t="str">
        <f>IF(AND(C1137=""),"",IF(AND(Y1132=""),"",ROUND(C1137*Master!H$5%,0)))</f>
        <v/>
      </c>
      <c r="F1137" s="9" t="str">
        <f t="shared" ref="F1137" si="1446">IF(AND(C1137=""),"",SUM(C1137:E1137))</f>
        <v/>
      </c>
      <c r="G1137" s="9" t="str">
        <f>IF(ISNA(VLOOKUP(Y1132,Master!A$8:N$127,5,FALSE)),"",VLOOKUP(Y1132,Master!A$8:AH$127,5,FALSE))</f>
        <v/>
      </c>
      <c r="H1137" s="9" t="str">
        <f>IF(AND(G1137=""),"",IF(AND(Y1132=""),"",ROUND(G1137*Master!C$4%,0)))</f>
        <v/>
      </c>
      <c r="I1137" s="9" t="str">
        <f>IF(AND(G1137=""),"",IF(AND(Y1132=""),"",ROUND(G1137*Master!H$4%,0)))</f>
        <v/>
      </c>
      <c r="J1137" s="9" t="str">
        <f t="shared" ref="J1137:J1138" si="1447">IF(AND(C1137=""),"",SUM(G1137:I1137))</f>
        <v/>
      </c>
      <c r="K1137" s="9" t="str">
        <f t="shared" ref="K1137:K1139" si="1448">IF(AND(C1137=""),"",IF(AND(G1137=""),"",C1137-G1137))</f>
        <v/>
      </c>
      <c r="L1137" s="9" t="str">
        <f t="shared" ref="L1137:L1139" si="1449">IF(AND(D1137=""),"",IF(AND(H1137=""),"",D1137-H1137))</f>
        <v/>
      </c>
      <c r="M1137" s="9" t="str">
        <f t="shared" ref="M1137:M1138" si="1450">IF(AND(E1137=""),"",IF(AND(I1137=""),"",E1137-I1137))</f>
        <v/>
      </c>
      <c r="N1137" s="9" t="str">
        <f t="shared" ref="N1137:N1138" si="1451">IF(AND(F1137=""),"",IF(AND(J1137=""),"",F1137-J1137))</f>
        <v/>
      </c>
      <c r="O1137" s="9" t="str">
        <f>IF(AND(C1137=""),"",N1137-P1137)</f>
        <v/>
      </c>
      <c r="P1137" s="9" t="str">
        <f>IF(AND(Y1132=""),"",IF(AND(N1137=""),"",ROUND(N1137*AA$1%,0)))</f>
        <v/>
      </c>
      <c r="Q1137" s="9" t="str">
        <f>IF(AND(Y1132=""),"",IF(AND(C1137=""),"",IF(AND(O1137=""),"",SUM(O1137,P1137))))</f>
        <v/>
      </c>
      <c r="R1137" s="9" t="str">
        <f>IF(AND(N1137=""),"",IF(AND(Q1137=""),"",N1137-Q1137))</f>
        <v/>
      </c>
      <c r="S1137" s="20"/>
    </row>
    <row r="1138" spans="1:25" ht="21" customHeight="1">
      <c r="A1138" s="8">
        <v>2</v>
      </c>
      <c r="B1138" s="23">
        <v>44593</v>
      </c>
      <c r="C1138" s="9" t="str">
        <f>IF(AND(Y1132=""),"",C1137)</f>
        <v/>
      </c>
      <c r="D1138" s="9" t="str">
        <f>IF(AND(C1138=""),"",IF(AND(Y1132=""),"",ROUND(C1138*Master!C$5%,0)))</f>
        <v/>
      </c>
      <c r="E1138" s="9" t="str">
        <f>IF(AND(C1138=""),"",IF(AND(Y1132=""),"",ROUND(C1138*Master!H$5%,0)))</f>
        <v/>
      </c>
      <c r="F1138" s="9" t="str">
        <f>IF(AND(C1138=""),"",SUM(C1138:E1138))</f>
        <v/>
      </c>
      <c r="G1138" s="9" t="str">
        <f>IF(AND(Y1132=""),"",G1137)</f>
        <v/>
      </c>
      <c r="H1138" s="9" t="str">
        <f>IF(AND(G1138=""),"",IF(AND(Y1132=""),"",ROUND(G1138*Master!C$4%,0)))</f>
        <v/>
      </c>
      <c r="I1138" s="9" t="str">
        <f>IF(AND(G1138=""),"",IF(AND(Y1132=""),"",ROUND(G1138*Master!H$4%,0)))</f>
        <v/>
      </c>
      <c r="J1138" s="9" t="str">
        <f t="shared" si="1447"/>
        <v/>
      </c>
      <c r="K1138" s="9" t="str">
        <f t="shared" si="1448"/>
        <v/>
      </c>
      <c r="L1138" s="9" t="str">
        <f t="shared" si="1449"/>
        <v/>
      </c>
      <c r="M1138" s="9" t="str">
        <f t="shared" si="1450"/>
        <v/>
      </c>
      <c r="N1138" s="9" t="str">
        <f t="shared" si="1451"/>
        <v/>
      </c>
      <c r="O1138" s="9" t="str">
        <f t="shared" ref="O1138:O1139" si="1452">IF(AND(C1138=""),"",N1138-P1138)</f>
        <v/>
      </c>
      <c r="P1138" s="9" t="str">
        <f>IF(AND(Y1132=""),"",IF(AND(N1138=""),"",ROUND(N1138*AA$1%,0)))</f>
        <v/>
      </c>
      <c r="Q1138" s="9" t="str">
        <f>IF(AND(Y1132=""),"",IF(AND(C1138=""),"",IF(AND(O1138=""),"",SUM(O1138,P1138))))</f>
        <v/>
      </c>
      <c r="R1138" s="9" t="str">
        <f t="shared" ref="R1138:R1139" si="1453">IF(AND(N1138=""),"",IF(AND(Q1138=""),"",N1138-Q1138))</f>
        <v/>
      </c>
      <c r="S1138" s="20"/>
    </row>
    <row r="1139" spans="1:25" ht="21" customHeight="1">
      <c r="A1139" s="8">
        <v>3</v>
      </c>
      <c r="B1139" s="23">
        <v>44621</v>
      </c>
      <c r="C1139" s="9" t="str">
        <f>IF(AND(Y1132=""),"",C1138)</f>
        <v/>
      </c>
      <c r="D1139" s="9" t="str">
        <f>IF(AND(C1139=""),"",IF(AND(Y1132=""),"",ROUND(C1139*Master!C$5%,0)))</f>
        <v/>
      </c>
      <c r="E1139" s="9" t="str">
        <f>IF(AND(C1139=""),"",IF(AND(Y1132=""),"",ROUND(C1139*Master!H$5%,0)))</f>
        <v/>
      </c>
      <c r="F1139" s="9" t="str">
        <f t="shared" ref="F1139" si="1454">IF(AND(C1139=""),"",SUM(C1139:E1139))</f>
        <v/>
      </c>
      <c r="G1139" s="9" t="str">
        <f>IF(AND(Y1132=""),"",G1138)</f>
        <v/>
      </c>
      <c r="H1139" s="9" t="str">
        <f>IF(AND(G1139=""),"",IF(AND(Y1132=""),"",ROUND(G1139*Master!C$4%,0)))</f>
        <v/>
      </c>
      <c r="I1139" s="9" t="str">
        <f>IF(AND(G1139=""),"",IF(AND(Y1132=""),"",ROUND(G1139*Master!H$4%,0)))</f>
        <v/>
      </c>
      <c r="J1139" s="9" t="str">
        <f>IF(AND(C1139=""),"",SUM(G1139:I1139))</f>
        <v/>
      </c>
      <c r="K1139" s="9" t="str">
        <f t="shared" si="1448"/>
        <v/>
      </c>
      <c r="L1139" s="9" t="str">
        <f t="shared" si="1449"/>
        <v/>
      </c>
      <c r="M1139" s="9" t="str">
        <f>IF(AND(E1139=""),"",IF(AND(I1139=""),"",E1139-I1139))</f>
        <v/>
      </c>
      <c r="N1139" s="9" t="str">
        <f>IF(AND(F1139=""),"",IF(AND(J1139=""),"",F1139-J1139))</f>
        <v/>
      </c>
      <c r="O1139" s="9" t="str">
        <f t="shared" si="1452"/>
        <v/>
      </c>
      <c r="P1139" s="9" t="str">
        <f>IF(AND(Y1132=""),"",IF(AND(N1139=""),"",ROUND(N1139*AA$1%,0)))</f>
        <v/>
      </c>
      <c r="Q1139" s="9" t="str">
        <f>IF(AND(Y1132=""),"",IF(AND(C1139=""),"",IF(AND(O1139=""),"",SUM(O1139,P1139))))</f>
        <v/>
      </c>
      <c r="R1139" s="9" t="str">
        <f t="shared" si="1453"/>
        <v/>
      </c>
      <c r="S1139" s="20"/>
    </row>
    <row r="1140" spans="1:25" ht="23.25" customHeight="1">
      <c r="A1140" s="153" t="s">
        <v>9</v>
      </c>
      <c r="B1140" s="154"/>
      <c r="C1140" s="63">
        <f>IF(AND(Y1132=""),"",SUM(C1137:C1139))</f>
        <v>0</v>
      </c>
      <c r="D1140" s="63">
        <f>IF(AND(Y1132=""),"",SUM(D1137:D1139))</f>
        <v>0</v>
      </c>
      <c r="E1140" s="63">
        <f>IF(AND(Y1132=""),"",SUM(E1137:E1139))</f>
        <v>0</v>
      </c>
      <c r="F1140" s="63">
        <f>IF(AND(Y1132=""),"",SUM(F1137:F1139))</f>
        <v>0</v>
      </c>
      <c r="G1140" s="63">
        <f>IF(AND(Y1132=""),"",SUM(G1137:G1139))</f>
        <v>0</v>
      </c>
      <c r="H1140" s="63">
        <f>IF(AND(Y1132=""),"",SUM(H1137:H1139))</f>
        <v>0</v>
      </c>
      <c r="I1140" s="63">
        <f>IF(AND(Y1132=""),"",SUM(I1137:I1139))</f>
        <v>0</v>
      </c>
      <c r="J1140" s="63">
        <f>IF(AND(Y1132=""),"",SUM(J1137:J1139))</f>
        <v>0</v>
      </c>
      <c r="K1140" s="63">
        <f>IF(AND(Y1132=""),"",SUM(K1137:K1139))</f>
        <v>0</v>
      </c>
      <c r="L1140" s="63">
        <f>IF(AND(Y1132=""),"",SUM(L1137:L1139))</f>
        <v>0</v>
      </c>
      <c r="M1140" s="63">
        <f>IF(AND(Y1132=""),"",SUM(M1137:M1139))</f>
        <v>0</v>
      </c>
      <c r="N1140" s="63">
        <f>IF(AND(Y1132=""),"",SUM(N1137:N1139))</f>
        <v>0</v>
      </c>
      <c r="O1140" s="63">
        <f>IF(AND(Y1132=""),"",SUM(O1137:O1139))</f>
        <v>0</v>
      </c>
      <c r="P1140" s="63">
        <f>IF(AND(Y1132=""),"",SUM(P1137:P1139))</f>
        <v>0</v>
      </c>
      <c r="Q1140" s="63">
        <f>IF(AND(Y1132=""),"",SUM(Q1137:Q1139))</f>
        <v>0</v>
      </c>
      <c r="R1140" s="63">
        <f>IF(AND(Y1132=""),"",SUM(R1137:R1139))</f>
        <v>0</v>
      </c>
      <c r="S1140" s="49"/>
    </row>
    <row r="1141" spans="1:25" ht="10.5" customHeight="1">
      <c r="A1141" s="73"/>
      <c r="B1141" s="73"/>
      <c r="C1141" s="74"/>
      <c r="D1141" s="74"/>
      <c r="E1141" s="74"/>
      <c r="F1141" s="74"/>
      <c r="G1141" s="74"/>
      <c r="H1141" s="74"/>
      <c r="I1141" s="74"/>
      <c r="J1141" s="74"/>
      <c r="K1141" s="74"/>
      <c r="L1141" s="74"/>
      <c r="M1141" s="74"/>
      <c r="N1141" s="74"/>
      <c r="O1141" s="74"/>
      <c r="P1141" s="74"/>
      <c r="Q1141" s="74"/>
      <c r="R1141" s="74"/>
      <c r="S1141" s="75"/>
    </row>
    <row r="1142" spans="1:25" ht="23.25" customHeight="1">
      <c r="E1142" s="133" t="s">
        <v>10</v>
      </c>
      <c r="F1142" s="133"/>
      <c r="G1142" s="133"/>
      <c r="H1142" s="133"/>
      <c r="I1142" s="133"/>
      <c r="J1142" s="132" t="str">
        <f>IF(ISNA(VLOOKUP(Y1144,Master!A$8:N$127,2,FALSE)),"",VLOOKUP(Y1144,Master!A$8:AH$127,2,FALSE))</f>
        <v/>
      </c>
      <c r="K1142" s="132"/>
      <c r="L1142" s="132"/>
      <c r="M1142" s="132"/>
      <c r="N1142" s="132"/>
      <c r="O1142" s="60" t="s">
        <v>31</v>
      </c>
      <c r="P1142" s="132" t="str">
        <f>IF(ISNA(VLOOKUP(Y1144,Master!A$8:N$127,3,FALSE)),"",VLOOKUP(Y1144,Master!A$8:AH$127,3,FALSE))</f>
        <v/>
      </c>
      <c r="Q1142" s="132"/>
      <c r="R1142" s="132"/>
      <c r="S1142" s="132"/>
    </row>
    <row r="1143" spans="1:25" ht="9" customHeight="1">
      <c r="E1143" s="19"/>
      <c r="F1143" s="52"/>
      <c r="G1143" s="22"/>
      <c r="H1143" s="22"/>
      <c r="I1143" s="22"/>
      <c r="J1143" s="5"/>
      <c r="K1143" s="5"/>
      <c r="L1143" s="5"/>
      <c r="M1143" s="5"/>
      <c r="N1143" s="5"/>
      <c r="O1143" s="6"/>
      <c r="P1143" s="6"/>
    </row>
    <row r="1144" spans="1:25" ht="21" customHeight="1">
      <c r="A1144" s="8">
        <v>1</v>
      </c>
      <c r="B1144" s="23">
        <v>44562</v>
      </c>
      <c r="C1144" s="9" t="str">
        <f>IF(ISNA(VLOOKUP(Y1144,Master!A$8:N$127,5,FALSE)),"",VLOOKUP(Y1144,Master!A$8:AH$127,5,FALSE))</f>
        <v/>
      </c>
      <c r="D1144" s="9" t="str">
        <f>IF(AND(C1144=""),"",IF(AND(Y1144=""),"",ROUND(C1144*Master!C$5%,0)))</f>
        <v/>
      </c>
      <c r="E1144" s="9" t="str">
        <f>IF(AND(C1144=""),"",IF(AND(Y1144=""),"",ROUND(C1144*Master!H$5%,0)))</f>
        <v/>
      </c>
      <c r="F1144" s="9" t="str">
        <f t="shared" ref="F1144:F1145" si="1455">IF(AND(C1144=""),"",SUM(C1144:E1144))</f>
        <v/>
      </c>
      <c r="G1144" s="9" t="str">
        <f>IF(ISNA(VLOOKUP(Y1144,Master!A$8:N$127,5,FALSE)),"",VLOOKUP(Y1144,Master!A$8:AH$127,5,FALSE))</f>
        <v/>
      </c>
      <c r="H1144" s="9" t="str">
        <f>IF(AND(G1144=""),"",IF(AND(Y1144=""),"",ROUND(G1144*Master!C$4%,0)))</f>
        <v/>
      </c>
      <c r="I1144" s="9" t="str">
        <f>IF(AND(G1144=""),"",IF(AND(Y1144=""),"",ROUND(G1144*Master!H$4%,0)))</f>
        <v/>
      </c>
      <c r="J1144" s="9" t="str">
        <f t="shared" ref="J1144:J1146" si="1456">IF(AND(C1144=""),"",SUM(G1144:I1144))</f>
        <v/>
      </c>
      <c r="K1144" s="9" t="str">
        <f t="shared" ref="K1144" si="1457">IF(AND(C1144=""),"",IF(AND(G1144=""),"",C1144-G1144))</f>
        <v/>
      </c>
      <c r="L1144" s="9" t="str">
        <f>IF(AND(D1144=""),"",IF(AND(H1144=""),"",D1144-H1144))</f>
        <v/>
      </c>
      <c r="M1144" s="9" t="str">
        <f t="shared" ref="M1144:M1146" si="1458">IF(AND(E1144=""),"",IF(AND(I1144=""),"",E1144-I1144))</f>
        <v/>
      </c>
      <c r="N1144" s="9" t="str">
        <f t="shared" ref="N1144" si="1459">IF(AND(F1144=""),"",IF(AND(J1144=""),"",F1144-J1144))</f>
        <v/>
      </c>
      <c r="O1144" s="9" t="str">
        <f>IF(AND(C1144=""),"",N1144-P1144)</f>
        <v/>
      </c>
      <c r="P1144" s="9" t="str">
        <f>IF(AND(Y1144=""),"",IF(AND(N1144=""),"",ROUND(N1144*X$17%,0)))</f>
        <v/>
      </c>
      <c r="Q1144" s="9" t="str">
        <f>IF(AND(Y1144=""),"",IF(AND(C1144=""),"",IF(AND(O1144=""),"",SUM(O1144,P1144))))</f>
        <v/>
      </c>
      <c r="R1144" s="9" t="str">
        <f>IF(AND(N1144=""),"",IF(AND(Q1144=""),"",N1144-Q1144))</f>
        <v/>
      </c>
      <c r="S1144" s="20"/>
      <c r="X1144" s="61" t="s">
        <v>49</v>
      </c>
      <c r="Y1144" s="64">
        <v>95</v>
      </c>
    </row>
    <row r="1145" spans="1:25" ht="21" customHeight="1">
      <c r="A1145" s="8">
        <v>2</v>
      </c>
      <c r="B1145" s="23">
        <v>44593</v>
      </c>
      <c r="C1145" s="9" t="str">
        <f>IF(AND(Y1144=""),"",C1144)</f>
        <v/>
      </c>
      <c r="D1145" s="9" t="str">
        <f>IF(AND(C1145=""),"",IF(AND(Y1144=""),"",ROUND(C1145*Master!C$5%,0)))</f>
        <v/>
      </c>
      <c r="E1145" s="9" t="str">
        <f>IF(AND(C1145=""),"",IF(AND(Y1144=""),"",ROUND(C1145*Master!H$5%,0)))</f>
        <v/>
      </c>
      <c r="F1145" s="9" t="str">
        <f t="shared" si="1455"/>
        <v/>
      </c>
      <c r="G1145" s="9" t="str">
        <f>IF(AND(Y1144=""),"",G1144)</f>
        <v/>
      </c>
      <c r="H1145" s="9" t="str">
        <f>IF(AND(G1145=""),"",IF(AND(Y1144=""),"",ROUND(G1145*Master!C$4%,0)))</f>
        <v/>
      </c>
      <c r="I1145" s="9" t="str">
        <f>IF(AND(G1145=""),"",IF(AND(Y1144=""),"",ROUND(G1145*Master!H$4%,0)))</f>
        <v/>
      </c>
      <c r="J1145" s="9" t="str">
        <f t="shared" si="1456"/>
        <v/>
      </c>
      <c r="K1145" s="9" t="str">
        <f>IF(AND(C1145=""),"",IF(AND(G1145=""),"",C1145-G1145))</f>
        <v/>
      </c>
      <c r="L1145" s="9" t="str">
        <f t="shared" ref="L1145:L1146" si="1460">IF(AND(D1145=""),"",IF(AND(H1145=""),"",D1145-H1145))</f>
        <v/>
      </c>
      <c r="M1145" s="9" t="str">
        <f t="shared" si="1458"/>
        <v/>
      </c>
      <c r="N1145" s="9" t="str">
        <f>IF(AND(F1145=""),"",IF(AND(J1145=""),"",F1145-J1145))</f>
        <v/>
      </c>
      <c r="O1145" s="9" t="str">
        <f t="shared" ref="O1145:O1146" si="1461">IF(AND(C1145=""),"",N1145-P1145)</f>
        <v/>
      </c>
      <c r="P1145" s="9" t="str">
        <f>IF(AND(Y1144=""),"",IF(AND(N1145=""),"",ROUND(N1145*X$17%,0)))</f>
        <v/>
      </c>
      <c r="Q1145" s="9" t="str">
        <f>IF(AND(Y1144=""),"",IF(AND(C1145=""),"",IF(AND(O1145=""),"",SUM(O1145,P1145))))</f>
        <v/>
      </c>
      <c r="R1145" s="9" t="str">
        <f t="shared" ref="R1145:R1146" si="1462">IF(AND(N1145=""),"",IF(AND(Q1145=""),"",N1145-Q1145))</f>
        <v/>
      </c>
      <c r="S1145" s="20"/>
      <c r="X1145" s="4" t="str">
        <f>IF(ISNA(VLOOKUP(Y1144,Master!A$8:N$127,7,FALSE)),"",VLOOKUP(Y1144,Master!A$8:AH$127,7,FALSE))</f>
        <v/>
      </c>
    </row>
    <row r="1146" spans="1:25" ht="21" customHeight="1">
      <c r="A1146" s="8">
        <v>3</v>
      </c>
      <c r="B1146" s="23">
        <v>44621</v>
      </c>
      <c r="C1146" s="9" t="str">
        <f>IF(AND(Y1144=""),"",C1145)</f>
        <v/>
      </c>
      <c r="D1146" s="9" t="str">
        <f>IF(AND(C1146=""),"",IF(AND(Y1144=""),"",ROUND(C1146*Master!C$5%,0)))</f>
        <v/>
      </c>
      <c r="E1146" s="9" t="str">
        <f>IF(AND(C1146=""),"",IF(AND(Y1144=""),"",ROUND(C1146*Master!H$5%,0)))</f>
        <v/>
      </c>
      <c r="F1146" s="9" t="str">
        <f>IF(AND(C1146=""),"",SUM(C1146:E1146))</f>
        <v/>
      </c>
      <c r="G1146" s="9" t="str">
        <f>IF(AND(Y1144=""),"",G1145)</f>
        <v/>
      </c>
      <c r="H1146" s="9" t="str">
        <f>IF(AND(G1146=""),"",IF(AND(Y1144=""),"",ROUND(G1146*Master!C$4%,0)))</f>
        <v/>
      </c>
      <c r="I1146" s="9" t="str">
        <f>IF(AND(G1146=""),"",IF(AND(Y1144=""),"",ROUND(G1146*Master!H$4%,0)))</f>
        <v/>
      </c>
      <c r="J1146" s="9" t="str">
        <f t="shared" si="1456"/>
        <v/>
      </c>
      <c r="K1146" s="9" t="str">
        <f t="shared" ref="K1146" si="1463">IF(AND(C1146=""),"",IF(AND(G1146=""),"",C1146-G1146))</f>
        <v/>
      </c>
      <c r="L1146" s="9" t="str">
        <f t="shared" si="1460"/>
        <v/>
      </c>
      <c r="M1146" s="9" t="str">
        <f t="shared" si="1458"/>
        <v/>
      </c>
      <c r="N1146" s="9" t="str">
        <f t="shared" ref="N1146" si="1464">IF(AND(F1146=""),"",IF(AND(J1146=""),"",F1146-J1146))</f>
        <v/>
      </c>
      <c r="O1146" s="9" t="str">
        <f t="shared" si="1461"/>
        <v/>
      </c>
      <c r="P1146" s="9" t="str">
        <f>IF(AND(Y1144=""),"",IF(AND(N1146=""),"",ROUND(N1146*X$17%,0)))</f>
        <v/>
      </c>
      <c r="Q1146" s="9" t="str">
        <f>IF(AND(Y1144=""),"",IF(AND(C1146=""),"",IF(AND(O1146=""),"",SUM(O1146,P1146))))</f>
        <v/>
      </c>
      <c r="R1146" s="9" t="str">
        <f t="shared" si="1462"/>
        <v/>
      </c>
      <c r="S1146" s="20"/>
    </row>
    <row r="1147" spans="1:25" ht="30.75" customHeight="1">
      <c r="A1147" s="153" t="s">
        <v>9</v>
      </c>
      <c r="B1147" s="154"/>
      <c r="C1147" s="63">
        <f>IF(AND(Y1144=""),"",SUM(C1144:C1146))</f>
        <v>0</v>
      </c>
      <c r="D1147" s="63">
        <f>IF(AND(Y1144=""),"",SUM(D1144:D1146))</f>
        <v>0</v>
      </c>
      <c r="E1147" s="63">
        <f>IF(AND(Y1144=""),"",SUM(E1144:E1146))</f>
        <v>0</v>
      </c>
      <c r="F1147" s="63">
        <f>IF(AND(Y1144=""),"",SUM(F1144:F1146))</f>
        <v>0</v>
      </c>
      <c r="G1147" s="63">
        <f>IF(AND(Y1144=""),"",SUM(G1144:G1146))</f>
        <v>0</v>
      </c>
      <c r="H1147" s="63">
        <f>IF(AND(Y1144=""),"",SUM(H1144:H1146))</f>
        <v>0</v>
      </c>
      <c r="I1147" s="63">
        <f>IF(AND(Y1144=""),"",SUM(I1144:I1146))</f>
        <v>0</v>
      </c>
      <c r="J1147" s="63">
        <f>IF(AND(Y1144=""),"",SUM(J1144:J1146))</f>
        <v>0</v>
      </c>
      <c r="K1147" s="63">
        <f>IF(AND(Y1144=""),"",SUM(K1144:K1146))</f>
        <v>0</v>
      </c>
      <c r="L1147" s="63">
        <f>IF(AND(Y1144=""),"",SUM(L1144:L1146))</f>
        <v>0</v>
      </c>
      <c r="M1147" s="63">
        <f>IF(AND(Y1144=""),"",SUM(M1144:M1146))</f>
        <v>0</v>
      </c>
      <c r="N1147" s="63">
        <f>IF(AND(Y1144=""),"",SUM(N1144:N1146))</f>
        <v>0</v>
      </c>
      <c r="O1147" s="63">
        <f>IF(AND(Y1144=""),"",SUM(O1144:O1146))</f>
        <v>0</v>
      </c>
      <c r="P1147" s="63">
        <f>IF(AND(Y1144=""),"",SUM(P1144:P1146))</f>
        <v>0</v>
      </c>
      <c r="Q1147" s="63">
        <f>IF(AND(Y1144=""),"",SUM(Q1144:Q1146))</f>
        <v>0</v>
      </c>
      <c r="R1147" s="63">
        <f>IF(AND(Y1144=""),"",SUM(R1144:R1146))</f>
        <v>0</v>
      </c>
      <c r="S1147" s="49"/>
    </row>
    <row r="1148" spans="1:25" ht="11.25" customHeight="1">
      <c r="A1148" s="73"/>
      <c r="B1148" s="73"/>
      <c r="C1148" s="74"/>
      <c r="D1148" s="74"/>
      <c r="E1148" s="74"/>
      <c r="F1148" s="74"/>
      <c r="G1148" s="74"/>
      <c r="H1148" s="74"/>
      <c r="I1148" s="74"/>
      <c r="J1148" s="74"/>
      <c r="K1148" s="74"/>
      <c r="L1148" s="74"/>
      <c r="M1148" s="74"/>
      <c r="N1148" s="74"/>
      <c r="O1148" s="74"/>
      <c r="P1148" s="74"/>
      <c r="Q1148" s="74"/>
      <c r="R1148" s="74"/>
      <c r="S1148" s="75"/>
    </row>
    <row r="1149" spans="1:25" ht="23.25" customHeight="1">
      <c r="E1149" s="133" t="s">
        <v>10</v>
      </c>
      <c r="F1149" s="133"/>
      <c r="G1149" s="133"/>
      <c r="H1149" s="133"/>
      <c r="I1149" s="133"/>
      <c r="J1149" s="132" t="str">
        <f>IF(ISNA(VLOOKUP(Y1151,Master!A$8:N$127,2,FALSE)),"",VLOOKUP(Y1151,Master!A$8:AH$127,2,FALSE))</f>
        <v/>
      </c>
      <c r="K1149" s="132"/>
      <c r="L1149" s="132"/>
      <c r="M1149" s="132"/>
      <c r="N1149" s="132"/>
      <c r="O1149" s="60" t="s">
        <v>31</v>
      </c>
      <c r="P1149" s="132" t="str">
        <f>IF(ISNA(VLOOKUP($Y$431,Master!A$8:N$127,3,FALSE)),"",VLOOKUP($Y$431,Master!A$8:AH$127,3,FALSE))</f>
        <v/>
      </c>
      <c r="Q1149" s="132"/>
      <c r="R1149" s="132"/>
      <c r="S1149" s="132"/>
    </row>
    <row r="1150" spans="1:25" ht="9" customHeight="1">
      <c r="E1150" s="19"/>
      <c r="F1150" s="52"/>
      <c r="G1150" s="22"/>
      <c r="H1150" s="22"/>
      <c r="I1150" s="22"/>
      <c r="J1150" s="5"/>
      <c r="K1150" s="5"/>
      <c r="L1150" s="5"/>
      <c r="M1150" s="5"/>
      <c r="N1150" s="5"/>
      <c r="O1150" s="6"/>
      <c r="P1150" s="6"/>
    </row>
    <row r="1151" spans="1:25" ht="21" customHeight="1">
      <c r="A1151" s="8">
        <v>1</v>
      </c>
      <c r="B1151" s="23">
        <v>44562</v>
      </c>
      <c r="C1151" s="9" t="str">
        <f>IF(ISNA(VLOOKUP(Y1151,Master!A$8:N$127,5,FALSE)),"",VLOOKUP(Y1151,Master!A$8:AH$127,5,FALSE))</f>
        <v/>
      </c>
      <c r="D1151" s="9" t="str">
        <f>IF(AND(C1151=""),"",IF(AND(Y1151=""),"",ROUND(C1151*Master!C$5%,0)))</f>
        <v/>
      </c>
      <c r="E1151" s="9" t="str">
        <f>IF(AND(C1151=""),"",IF(AND(Y1151=""),"",ROUND(C1151*Master!H$5%,0)))</f>
        <v/>
      </c>
      <c r="F1151" s="9" t="str">
        <f t="shared" ref="F1151:F1153" si="1465">IF(AND(C1151=""),"",SUM(C1151:E1151))</f>
        <v/>
      </c>
      <c r="G1151" s="9" t="str">
        <f>IF(ISNA(VLOOKUP(Y1151,Master!A$8:N$127,5,FALSE)),"",VLOOKUP(Y1151,Master!A$8:AH$127,5,FALSE))</f>
        <v/>
      </c>
      <c r="H1151" s="9" t="str">
        <f>IF(AND(G1151=""),"",IF(AND(Y1151=""),"",ROUND(G1151*Master!C$4%,0)))</f>
        <v/>
      </c>
      <c r="I1151" s="9" t="str">
        <f>IF(AND(G1151=""),"",IF(AND(Y1151=""),"",ROUND(G1151*Master!H$4%,0)))</f>
        <v/>
      </c>
      <c r="J1151" s="9" t="str">
        <f t="shared" ref="J1151:J1153" si="1466">IF(AND(C1151=""),"",SUM(G1151:I1151))</f>
        <v/>
      </c>
      <c r="K1151" s="9" t="str">
        <f t="shared" ref="K1151:K1153" si="1467">IF(AND(C1151=""),"",IF(AND(G1151=""),"",C1151-G1151))</f>
        <v/>
      </c>
      <c r="L1151" s="9" t="str">
        <f t="shared" ref="L1151:L1153" si="1468">IF(AND(D1151=""),"",IF(AND(H1151=""),"",D1151-H1151))</f>
        <v/>
      </c>
      <c r="M1151" s="9" t="str">
        <f t="shared" ref="M1151:M1153" si="1469">IF(AND(E1151=""),"",IF(AND(I1151=""),"",E1151-I1151))</f>
        <v/>
      </c>
      <c r="N1151" s="9" t="str">
        <f t="shared" ref="N1151:N1153" si="1470">IF(AND(F1151=""),"",IF(AND(J1151=""),"",F1151-J1151))</f>
        <v/>
      </c>
      <c r="O1151" s="9" t="str">
        <f>IF(AND(C1151=""),"",N1151-P1151)</f>
        <v/>
      </c>
      <c r="P1151" s="9" t="str">
        <f>IF(AND(Y1151=""),"",IF(AND(N1151=""),"",ROUND(N1151*AA$1%,0)))</f>
        <v/>
      </c>
      <c r="Q1151" s="9" t="str">
        <f>IF(AND(Y1151=""),"",IF(AND(C1151=""),"",IF(AND(O1151=""),"",SUM(O1151,P1151))))</f>
        <v/>
      </c>
      <c r="R1151" s="9" t="str">
        <f>IF(AND(N1151=""),"",IF(AND(Q1151=""),"",N1151-Q1151))</f>
        <v/>
      </c>
      <c r="S1151" s="20"/>
      <c r="X1151" s="61" t="s">
        <v>49</v>
      </c>
      <c r="Y1151" s="64">
        <v>96</v>
      </c>
    </row>
    <row r="1152" spans="1:25" ht="21" customHeight="1">
      <c r="A1152" s="8">
        <v>2</v>
      </c>
      <c r="B1152" s="23">
        <v>44593</v>
      </c>
      <c r="C1152" s="9" t="str">
        <f>IF(AND(Y1151=""),"",C1151)</f>
        <v/>
      </c>
      <c r="D1152" s="9" t="str">
        <f>IF(AND(C1152=""),"",IF(AND(Y1151=""),"",ROUND(C1152*Master!C$5%,0)))</f>
        <v/>
      </c>
      <c r="E1152" s="9" t="str">
        <f>IF(AND(C1152=""),"",IF(AND(Y1151=""),"",ROUND(C1152*Master!H$5%,0)))</f>
        <v/>
      </c>
      <c r="F1152" s="9" t="str">
        <f t="shared" si="1465"/>
        <v/>
      </c>
      <c r="G1152" s="9" t="str">
        <f>IF(AND(Y1151=""),"",G1151)</f>
        <v/>
      </c>
      <c r="H1152" s="9" t="str">
        <f>IF(AND(G1152=""),"",IF(AND(Y1151=""),"",ROUND(G1152*Master!C$4%,0)))</f>
        <v/>
      </c>
      <c r="I1152" s="9" t="str">
        <f>IF(AND(G1152=""),"",IF(AND(Y1151=""),"",ROUND(G1152*Master!H$4%,0)))</f>
        <v/>
      </c>
      <c r="J1152" s="9" t="str">
        <f t="shared" si="1466"/>
        <v/>
      </c>
      <c r="K1152" s="9" t="str">
        <f t="shared" si="1467"/>
        <v/>
      </c>
      <c r="L1152" s="9" t="str">
        <f t="shared" si="1468"/>
        <v/>
      </c>
      <c r="M1152" s="9" t="str">
        <f t="shared" si="1469"/>
        <v/>
      </c>
      <c r="N1152" s="9" t="str">
        <f t="shared" si="1470"/>
        <v/>
      </c>
      <c r="O1152" s="9" t="str">
        <f t="shared" ref="O1152:O1153" si="1471">IF(AND(C1152=""),"",N1152-P1152)</f>
        <v/>
      </c>
      <c r="P1152" s="9" t="str">
        <f>IF(AND(Y1151=""),"",IF(AND(N1152=""),"",ROUND(N1152*AA$1%,0)))</f>
        <v/>
      </c>
      <c r="Q1152" s="9" t="str">
        <f>IF(AND(Y1151=""),"",IF(AND(C1152=""),"",IF(AND(O1152=""),"",SUM(O1152,P1152))))</f>
        <v/>
      </c>
      <c r="R1152" s="9" t="str">
        <f t="shared" ref="R1152:R1153" si="1472">IF(AND(N1152=""),"",IF(AND(Q1152=""),"",N1152-Q1152))</f>
        <v/>
      </c>
      <c r="S1152" s="20"/>
      <c r="X1152" s="4" t="str">
        <f>IF(ISNA(VLOOKUP(Y1151,Master!A$8:N$127,7,FALSE)),"",VLOOKUP(Y1151,Master!A$8:AH$127,7,FALSE))</f>
        <v/>
      </c>
    </row>
    <row r="1153" spans="1:27" ht="21" customHeight="1">
      <c r="A1153" s="8">
        <v>3</v>
      </c>
      <c r="B1153" s="23">
        <v>44621</v>
      </c>
      <c r="C1153" s="9" t="str">
        <f>IF(AND(Y1151=""),"",C1152)</f>
        <v/>
      </c>
      <c r="D1153" s="9" t="str">
        <f>IF(AND(C1153=""),"",IF(AND(Y1151=""),"",ROUND(C1153*Master!C$5%,0)))</f>
        <v/>
      </c>
      <c r="E1153" s="9" t="str">
        <f>IF(AND(C1153=""),"",IF(AND(Y1151=""),"",ROUND(C1153*Master!H$5%,0)))</f>
        <v/>
      </c>
      <c r="F1153" s="9" t="str">
        <f t="shared" si="1465"/>
        <v/>
      </c>
      <c r="G1153" s="9" t="str">
        <f>IF(AND(Y1151=""),"",G1152)</f>
        <v/>
      </c>
      <c r="H1153" s="9" t="str">
        <f>IF(AND(G1153=""),"",IF(AND(Y1151=""),"",ROUND(G1153*Master!C$4%,0)))</f>
        <v/>
      </c>
      <c r="I1153" s="9" t="str">
        <f>IF(AND(G1153=""),"",IF(AND(Y1151=""),"",ROUND(G1153*Master!H$4%,0)))</f>
        <v/>
      </c>
      <c r="J1153" s="9" t="str">
        <f t="shared" si="1466"/>
        <v/>
      </c>
      <c r="K1153" s="9" t="str">
        <f t="shared" si="1467"/>
        <v/>
      </c>
      <c r="L1153" s="9" t="str">
        <f t="shared" si="1468"/>
        <v/>
      </c>
      <c r="M1153" s="9" t="str">
        <f t="shared" si="1469"/>
        <v/>
      </c>
      <c r="N1153" s="9" t="str">
        <f t="shared" si="1470"/>
        <v/>
      </c>
      <c r="O1153" s="9" t="str">
        <f t="shared" si="1471"/>
        <v/>
      </c>
      <c r="P1153" s="9" t="str">
        <f>IF(AND(Y1151=""),"",IF(AND(N1153=""),"",ROUND(N1153*AA$1%,0)))</f>
        <v/>
      </c>
      <c r="Q1153" s="9" t="str">
        <f>IF(AND(Y1151=""),"",IF(AND(C1153=""),"",IF(AND(O1153=""),"",SUM(O1153,P1153))))</f>
        <v/>
      </c>
      <c r="R1153" s="9" t="str">
        <f t="shared" si="1472"/>
        <v/>
      </c>
      <c r="S1153" s="20"/>
    </row>
    <row r="1154" spans="1:27" ht="30.75" customHeight="1">
      <c r="A1154" s="153" t="s">
        <v>9</v>
      </c>
      <c r="B1154" s="154"/>
      <c r="C1154" s="63">
        <f>IF(AND(Y1151=""),"",SUM(C1151:C1153))</f>
        <v>0</v>
      </c>
      <c r="D1154" s="63">
        <f>IF(AND(Y1151=""),"",SUM(D1151:D1153))</f>
        <v>0</v>
      </c>
      <c r="E1154" s="63">
        <f>IF(AND(Y1151=""),"",SUM(E1151:E1153))</f>
        <v>0</v>
      </c>
      <c r="F1154" s="63">
        <f>IF(AND(Y1151=""),"",SUM(F1151:F1153))</f>
        <v>0</v>
      </c>
      <c r="G1154" s="63">
        <f>IF(AND(Y1151=""),"",SUM(G1151:G1153))</f>
        <v>0</v>
      </c>
      <c r="H1154" s="63">
        <f>IF(AND(Y1151=""),"",SUM(H1151:H1153))</f>
        <v>0</v>
      </c>
      <c r="I1154" s="63">
        <f>IF(AND(Y1151=""),"",SUM(I1151:I1153))</f>
        <v>0</v>
      </c>
      <c r="J1154" s="63">
        <f>IF(AND(Y1151=""),"",SUM(J1151:J1153))</f>
        <v>0</v>
      </c>
      <c r="K1154" s="63">
        <f>IF(AND(Y1151=""),"",SUM(K1151:K1153))</f>
        <v>0</v>
      </c>
      <c r="L1154" s="63">
        <f>IF(AND(Y1151=""),"",SUM(L1151:L1153))</f>
        <v>0</v>
      </c>
      <c r="M1154" s="63">
        <f>IF(AND(Y1151=""),"",SUM(M1151:M1153))</f>
        <v>0</v>
      </c>
      <c r="N1154" s="63">
        <f>IF(AND(Y1151=""),"",SUM(N1151:N1153))</f>
        <v>0</v>
      </c>
      <c r="O1154" s="63">
        <f>IF(AND(Y1151=""),"",SUM(O1151:O1153))</f>
        <v>0</v>
      </c>
      <c r="P1154" s="63">
        <f>IF(AND(Y1151=""),"",SUM(P1151:P1153))</f>
        <v>0</v>
      </c>
      <c r="Q1154" s="63">
        <f>IF(AND(Y1151=""),"",SUM(Q1151:Q1153))</f>
        <v>0</v>
      </c>
      <c r="R1154" s="63">
        <f>IF(AND(Y1151=""),"",SUM(R1151:R1153))</f>
        <v>0</v>
      </c>
      <c r="S1154" s="49"/>
    </row>
    <row r="1155" spans="1:27" ht="30.75" customHeight="1">
      <c r="A1155" s="73"/>
      <c r="B1155" s="73"/>
      <c r="C1155" s="74"/>
      <c r="D1155" s="74"/>
      <c r="E1155" s="74"/>
      <c r="F1155" s="74"/>
      <c r="G1155" s="74"/>
      <c r="H1155" s="74"/>
      <c r="I1155" s="74"/>
      <c r="J1155" s="74"/>
      <c r="K1155" s="74"/>
      <c r="L1155" s="74"/>
      <c r="M1155" s="74"/>
      <c r="N1155" s="74"/>
      <c r="O1155" s="74"/>
      <c r="P1155" s="74"/>
      <c r="Q1155" s="74"/>
      <c r="R1155" s="74"/>
      <c r="S1155" s="75"/>
    </row>
    <row r="1156" spans="1:27" ht="18.75">
      <c r="A1156" s="21"/>
      <c r="B1156" s="58"/>
      <c r="C1156" s="58"/>
      <c r="D1156" s="58"/>
      <c r="E1156" s="58"/>
      <c r="F1156" s="58"/>
      <c r="G1156" s="58"/>
      <c r="H1156" s="59"/>
      <c r="I1156" s="59"/>
      <c r="J1156" s="59"/>
      <c r="K1156" s="66"/>
      <c r="L1156" s="66"/>
      <c r="M1156" s="66"/>
      <c r="N1156" s="66"/>
      <c r="O1156" s="138" t="s">
        <v>42</v>
      </c>
      <c r="P1156" s="138"/>
      <c r="Q1156" s="138"/>
      <c r="R1156" s="138"/>
      <c r="S1156" s="138"/>
    </row>
    <row r="1157" spans="1:27" ht="18.75">
      <c r="A1157" s="1"/>
      <c r="B1157" s="24" t="s">
        <v>19</v>
      </c>
      <c r="C1157" s="139"/>
      <c r="D1157" s="139"/>
      <c r="E1157" s="139"/>
      <c r="F1157" s="139"/>
      <c r="G1157" s="139"/>
      <c r="H1157" s="25"/>
      <c r="I1157" s="143" t="s">
        <v>20</v>
      </c>
      <c r="J1157" s="143"/>
      <c r="K1157" s="141"/>
      <c r="L1157" s="141"/>
      <c r="M1157" s="141"/>
      <c r="O1157" s="138"/>
      <c r="P1157" s="138"/>
      <c r="Q1157" s="138"/>
      <c r="R1157" s="138"/>
      <c r="S1157" s="138"/>
    </row>
    <row r="1158" spans="1:27" ht="18.75">
      <c r="A1158" s="1"/>
      <c r="B1158" s="140" t="s">
        <v>21</v>
      </c>
      <c r="C1158" s="140"/>
      <c r="D1158" s="140"/>
      <c r="E1158" s="140"/>
      <c r="F1158" s="140"/>
      <c r="G1158" s="140"/>
      <c r="H1158" s="140"/>
      <c r="I1158" s="27"/>
      <c r="J1158" s="26"/>
      <c r="K1158" s="26"/>
      <c r="L1158" s="26"/>
      <c r="M1158" s="26"/>
    </row>
    <row r="1159" spans="1:27" ht="18.75">
      <c r="A1159" s="22">
        <v>1</v>
      </c>
      <c r="B1159" s="142" t="s">
        <v>22</v>
      </c>
      <c r="C1159" s="142"/>
      <c r="D1159" s="142"/>
      <c r="E1159" s="142"/>
      <c r="F1159" s="142"/>
      <c r="G1159" s="142"/>
      <c r="H1159" s="142"/>
      <c r="I1159" s="28"/>
      <c r="J1159" s="26"/>
      <c r="K1159" s="26"/>
      <c r="L1159" s="26"/>
      <c r="M1159" s="26"/>
    </row>
    <row r="1160" spans="1:27" ht="18.75">
      <c r="A1160" s="2">
        <v>2</v>
      </c>
      <c r="B1160" s="142" t="s">
        <v>23</v>
      </c>
      <c r="C1160" s="142"/>
      <c r="D1160" s="142"/>
      <c r="E1160" s="142"/>
      <c r="F1160" s="142"/>
      <c r="G1160" s="132"/>
      <c r="H1160" s="132"/>
      <c r="I1160" s="132"/>
      <c r="J1160" s="132"/>
      <c r="K1160" s="132"/>
      <c r="L1160" s="132"/>
      <c r="M1160" s="132"/>
    </row>
    <row r="1161" spans="1:27" ht="18.75">
      <c r="A1161" s="3">
        <v>3</v>
      </c>
      <c r="B1161" s="142" t="s">
        <v>24</v>
      </c>
      <c r="C1161" s="142"/>
      <c r="D1161" s="142"/>
      <c r="E1161" s="29"/>
      <c r="F1161" s="28"/>
      <c r="G1161" s="28"/>
      <c r="H1161" s="30"/>
      <c r="I1161" s="31"/>
      <c r="J1161" s="26"/>
      <c r="K1161" s="26"/>
      <c r="L1161" s="26"/>
      <c r="M1161" s="26"/>
    </row>
    <row r="1162" spans="1:27" ht="15.75">
      <c r="O1162" s="138" t="s">
        <v>42</v>
      </c>
      <c r="P1162" s="138"/>
      <c r="Q1162" s="138"/>
      <c r="R1162" s="138"/>
      <c r="S1162" s="138"/>
    </row>
    <row r="1164" spans="1:27" ht="18" customHeight="1">
      <c r="A1164" s="148" t="str">
        <f>A1130</f>
        <v xml:space="preserve">DA (46% to 50%) Drawn Statement  </v>
      </c>
      <c r="B1164" s="148"/>
      <c r="C1164" s="148"/>
      <c r="D1164" s="148"/>
      <c r="E1164" s="148"/>
      <c r="F1164" s="148"/>
      <c r="G1164" s="148"/>
      <c r="H1164" s="148"/>
      <c r="I1164" s="148"/>
      <c r="J1164" s="148"/>
      <c r="K1164" s="148"/>
      <c r="L1164" s="148"/>
      <c r="M1164" s="148"/>
      <c r="N1164" s="148"/>
      <c r="O1164" s="148"/>
      <c r="P1164" s="148"/>
      <c r="Q1164" s="148"/>
      <c r="R1164" s="148"/>
      <c r="S1164" s="148"/>
      <c r="W1164" s="4">
        <f>IF(ISNA(VLOOKUP($Y$3,Master!A$8:N$127,4,FALSE)),"",VLOOKUP($Y$3,Master!A$8:AH$127,4,FALSE))</f>
        <v>2</v>
      </c>
      <c r="X1164" s="4" t="str">
        <f>IF(ISNA(VLOOKUP($Y$3,Master!A$8:N$127,6,FALSE)),"",VLOOKUP($Y$3,Master!A$8:AH$127,6,FALSE))</f>
        <v>GPF-2004</v>
      </c>
      <c r="Y1164" s="4" t="s">
        <v>45</v>
      </c>
      <c r="Z1164" s="4" t="s">
        <v>18</v>
      </c>
      <c r="AA1164" s="4" t="str">
        <f>IF(ISNA(VLOOKUP(Y1166,Master!A$8:N$127,7,FALSE)),"",VLOOKUP(Y1166,Master!A$8:AH$127,7,FALSE))</f>
        <v/>
      </c>
    </row>
    <row r="1165" spans="1:27" ht="18">
      <c r="A1165" s="131" t="str">
        <f>IF(AND(Master!C1091=""),"",CONCATENATE("Office Of  ",Master!C1091))</f>
        <v/>
      </c>
      <c r="B1165" s="131"/>
      <c r="C1165" s="131"/>
      <c r="D1165" s="131"/>
      <c r="E1165" s="131"/>
      <c r="F1165" s="131"/>
      <c r="G1165" s="131"/>
      <c r="H1165" s="131"/>
      <c r="I1165" s="131"/>
      <c r="J1165" s="131"/>
      <c r="K1165" s="131"/>
      <c r="L1165" s="131"/>
      <c r="M1165" s="131"/>
      <c r="N1165" s="131"/>
      <c r="O1165" s="131"/>
      <c r="P1165" s="131"/>
      <c r="Q1165" s="131"/>
      <c r="R1165" s="131"/>
      <c r="S1165" s="131"/>
      <c r="X1165" s="4">
        <f>IF(ISNA(VLOOKUP($Y$3,Master!A$8:N$127,8,FALSE)),"",VLOOKUP($Y$3,Master!A$8:AH$127,8,FALSE))</f>
        <v>45292</v>
      </c>
      <c r="Y1165" s="4" t="s">
        <v>43</v>
      </c>
    </row>
    <row r="1166" spans="1:27" ht="18.75">
      <c r="E1166" s="133" t="s">
        <v>10</v>
      </c>
      <c r="F1166" s="133"/>
      <c r="G1166" s="133"/>
      <c r="H1166" s="133"/>
      <c r="I1166" s="133"/>
      <c r="J1166" s="132" t="str">
        <f>IF(ISNA(VLOOKUP(Y1166,Master!A$8:N$127,2,FALSE)),"",VLOOKUP(Y1166,Master!A$8:AH$127,2,FALSE))</f>
        <v/>
      </c>
      <c r="K1166" s="132"/>
      <c r="L1166" s="132"/>
      <c r="M1166" s="132"/>
      <c r="N1166" s="132"/>
      <c r="O1166" s="60" t="s">
        <v>31</v>
      </c>
      <c r="P1166" s="132" t="str">
        <f>IF(ISNA(VLOOKUP(Y1166,Master!A$8:N$127,3,FALSE)),"",VLOOKUP(Y1166,Master!A$8:AH$127,3,FALSE))</f>
        <v/>
      </c>
      <c r="Q1166" s="132"/>
      <c r="R1166" s="132"/>
      <c r="S1166" s="132"/>
      <c r="X1166" s="61" t="s">
        <v>49</v>
      </c>
      <c r="Y1166" s="64">
        <v>97</v>
      </c>
    </row>
    <row r="1167" spans="1:27" ht="8.25" customHeight="1">
      <c r="E1167" s="19"/>
      <c r="F1167" s="52"/>
      <c r="G1167" s="22"/>
      <c r="H1167" s="22"/>
      <c r="I1167" s="22"/>
      <c r="J1167" s="5"/>
      <c r="K1167" s="5"/>
      <c r="L1167" s="5"/>
      <c r="M1167" s="5"/>
      <c r="N1167" s="5"/>
      <c r="O1167" s="6"/>
      <c r="P1167" s="6"/>
    </row>
    <row r="1168" spans="1:27" ht="24.75" customHeight="1">
      <c r="A1168" s="157" t="s">
        <v>0</v>
      </c>
      <c r="B1168" s="158" t="s">
        <v>3</v>
      </c>
      <c r="C1168" s="159" t="s">
        <v>5</v>
      </c>
      <c r="D1168" s="159"/>
      <c r="E1168" s="159"/>
      <c r="F1168" s="159"/>
      <c r="G1168" s="159" t="s">
        <v>6</v>
      </c>
      <c r="H1168" s="159"/>
      <c r="I1168" s="159"/>
      <c r="J1168" s="159"/>
      <c r="K1168" s="159" t="s">
        <v>7</v>
      </c>
      <c r="L1168" s="159"/>
      <c r="M1168" s="159"/>
      <c r="N1168" s="159"/>
      <c r="O1168" s="149" t="s">
        <v>8</v>
      </c>
      <c r="P1168" s="150"/>
      <c r="Q1168" s="151"/>
      <c r="R1168" s="162" t="s">
        <v>54</v>
      </c>
      <c r="S1168" s="162" t="s">
        <v>40</v>
      </c>
    </row>
    <row r="1169" spans="1:25" ht="69" customHeight="1">
      <c r="A1169" s="157"/>
      <c r="B1169" s="158"/>
      <c r="C1169" s="54" t="s">
        <v>29</v>
      </c>
      <c r="D1169" s="55" t="s">
        <v>1</v>
      </c>
      <c r="E1169" s="56" t="s">
        <v>2</v>
      </c>
      <c r="F1169" s="54" t="s">
        <v>46</v>
      </c>
      <c r="G1169" s="54" t="s">
        <v>29</v>
      </c>
      <c r="H1169" s="55" t="s">
        <v>1</v>
      </c>
      <c r="I1169" s="56" t="s">
        <v>2</v>
      </c>
      <c r="J1169" s="54" t="s">
        <v>47</v>
      </c>
      <c r="K1169" s="54" t="s">
        <v>4</v>
      </c>
      <c r="L1169" s="55" t="s">
        <v>1</v>
      </c>
      <c r="M1169" s="56" t="s">
        <v>2</v>
      </c>
      <c r="N1169" s="57" t="s">
        <v>48</v>
      </c>
      <c r="O1169" s="53" t="s">
        <v>69</v>
      </c>
      <c r="P1169" s="65" t="s">
        <v>41</v>
      </c>
      <c r="Q1169" s="57" t="s">
        <v>53</v>
      </c>
      <c r="R1169" s="162"/>
      <c r="S1169" s="162"/>
    </row>
    <row r="1170" spans="1:25" ht="18" customHeight="1">
      <c r="A1170" s="7">
        <v>1</v>
      </c>
      <c r="B1170" s="7">
        <v>2</v>
      </c>
      <c r="C1170" s="7">
        <v>3</v>
      </c>
      <c r="D1170" s="7">
        <v>4</v>
      </c>
      <c r="E1170" s="7">
        <v>5</v>
      </c>
      <c r="F1170" s="7">
        <v>6</v>
      </c>
      <c r="G1170" s="7">
        <v>7</v>
      </c>
      <c r="H1170" s="7">
        <v>8</v>
      </c>
      <c r="I1170" s="7">
        <v>9</v>
      </c>
      <c r="J1170" s="7">
        <v>10</v>
      </c>
      <c r="K1170" s="7">
        <v>11</v>
      </c>
      <c r="L1170" s="7">
        <v>12</v>
      </c>
      <c r="M1170" s="7">
        <v>13</v>
      </c>
      <c r="N1170" s="7">
        <v>14</v>
      </c>
      <c r="O1170" s="7">
        <v>15</v>
      </c>
      <c r="P1170" s="7">
        <v>17</v>
      </c>
      <c r="Q1170" s="7">
        <v>18</v>
      </c>
      <c r="R1170" s="7">
        <v>19</v>
      </c>
      <c r="S1170" s="7">
        <v>20</v>
      </c>
    </row>
    <row r="1171" spans="1:25" ht="21" customHeight="1">
      <c r="A1171" s="8">
        <v>1</v>
      </c>
      <c r="B1171" s="23">
        <v>44562</v>
      </c>
      <c r="C1171" s="9" t="str">
        <f>IF(ISNA(VLOOKUP(Y1166,Master!A$8:N$127,5,FALSE)),"",VLOOKUP(Y1166,Master!A$8:AH$127,5,FALSE))</f>
        <v/>
      </c>
      <c r="D1171" s="9" t="str">
        <f>IF(AND(C1171=""),"",IF(AND(Y1166=""),"",ROUND(C1171*Master!C$5%,0)))</f>
        <v/>
      </c>
      <c r="E1171" s="9" t="str">
        <f>IF(AND(C1171=""),"",IF(AND(Y1166=""),"",ROUND(C1171*Master!H$5%,0)))</f>
        <v/>
      </c>
      <c r="F1171" s="9" t="str">
        <f t="shared" ref="F1171" si="1473">IF(AND(C1171=""),"",SUM(C1171:E1171))</f>
        <v/>
      </c>
      <c r="G1171" s="9" t="str">
        <f>IF(ISNA(VLOOKUP(Y1166,Master!A$8:N$127,5,FALSE)),"",VLOOKUP(Y1166,Master!A$8:AH$127,5,FALSE))</f>
        <v/>
      </c>
      <c r="H1171" s="9" t="str">
        <f>IF(AND(G1171=""),"",IF(AND(Y1166=""),"",ROUND(G1171*Master!C$4%,0)))</f>
        <v/>
      </c>
      <c r="I1171" s="9" t="str">
        <f>IF(AND(G1171=""),"",IF(AND(Y1166=""),"",ROUND(G1171*Master!H$4%,0)))</f>
        <v/>
      </c>
      <c r="J1171" s="9" t="str">
        <f t="shared" ref="J1171:J1172" si="1474">IF(AND(C1171=""),"",SUM(G1171:I1171))</f>
        <v/>
      </c>
      <c r="K1171" s="9" t="str">
        <f t="shared" ref="K1171:K1173" si="1475">IF(AND(C1171=""),"",IF(AND(G1171=""),"",C1171-G1171))</f>
        <v/>
      </c>
      <c r="L1171" s="9" t="str">
        <f t="shared" ref="L1171:L1173" si="1476">IF(AND(D1171=""),"",IF(AND(H1171=""),"",D1171-H1171))</f>
        <v/>
      </c>
      <c r="M1171" s="9" t="str">
        <f t="shared" ref="M1171:M1172" si="1477">IF(AND(E1171=""),"",IF(AND(I1171=""),"",E1171-I1171))</f>
        <v/>
      </c>
      <c r="N1171" s="9" t="str">
        <f t="shared" ref="N1171:N1172" si="1478">IF(AND(F1171=""),"",IF(AND(J1171=""),"",F1171-J1171))</f>
        <v/>
      </c>
      <c r="O1171" s="9" t="str">
        <f>IF(AND(C1171=""),"",N1171-P1171)</f>
        <v/>
      </c>
      <c r="P1171" s="9" t="str">
        <f>IF(AND(Y1166=""),"",IF(AND(N1171=""),"",ROUND(N1171*AA$1%,0)))</f>
        <v/>
      </c>
      <c r="Q1171" s="9" t="str">
        <f>IF(AND(Y1166=""),"",IF(AND(C1171=""),"",IF(AND(O1171=""),"",SUM(O1171,P1171))))</f>
        <v/>
      </c>
      <c r="R1171" s="9" t="str">
        <f>IF(AND(N1171=""),"",IF(AND(Q1171=""),"",N1171-Q1171))</f>
        <v/>
      </c>
      <c r="S1171" s="20"/>
    </row>
    <row r="1172" spans="1:25" ht="21" customHeight="1">
      <c r="A1172" s="8">
        <v>2</v>
      </c>
      <c r="B1172" s="23">
        <v>44593</v>
      </c>
      <c r="C1172" s="9" t="str">
        <f>IF(AND(Y1166=""),"",C1171)</f>
        <v/>
      </c>
      <c r="D1172" s="9" t="str">
        <f>IF(AND(C1172=""),"",IF(AND(Y1166=""),"",ROUND(C1172*Master!C$5%,0)))</f>
        <v/>
      </c>
      <c r="E1172" s="9" t="str">
        <f>IF(AND(C1172=""),"",IF(AND(Y1166=""),"",ROUND(C1172*Master!H$5%,0)))</f>
        <v/>
      </c>
      <c r="F1172" s="9" t="str">
        <f>IF(AND(C1172=""),"",SUM(C1172:E1172))</f>
        <v/>
      </c>
      <c r="G1172" s="9" t="str">
        <f>IF(AND(Y1166=""),"",G1171)</f>
        <v/>
      </c>
      <c r="H1172" s="9" t="str">
        <f>IF(AND(G1172=""),"",IF(AND(Y1166=""),"",ROUND(G1172*Master!C$4%,0)))</f>
        <v/>
      </c>
      <c r="I1172" s="9" t="str">
        <f>IF(AND(G1172=""),"",IF(AND(Y1166=""),"",ROUND(G1172*Master!H$4%,0)))</f>
        <v/>
      </c>
      <c r="J1172" s="9" t="str">
        <f t="shared" si="1474"/>
        <v/>
      </c>
      <c r="K1172" s="9" t="str">
        <f t="shared" si="1475"/>
        <v/>
      </c>
      <c r="L1172" s="9" t="str">
        <f t="shared" si="1476"/>
        <v/>
      </c>
      <c r="M1172" s="9" t="str">
        <f t="shared" si="1477"/>
        <v/>
      </c>
      <c r="N1172" s="9" t="str">
        <f t="shared" si="1478"/>
        <v/>
      </c>
      <c r="O1172" s="9" t="str">
        <f t="shared" ref="O1172:O1173" si="1479">IF(AND(C1172=""),"",N1172-P1172)</f>
        <v/>
      </c>
      <c r="P1172" s="9" t="str">
        <f>IF(AND(Y1166=""),"",IF(AND(N1172=""),"",ROUND(N1172*AA$1%,0)))</f>
        <v/>
      </c>
      <c r="Q1172" s="9" t="str">
        <f>IF(AND(Y1166=""),"",IF(AND(C1172=""),"",IF(AND(O1172=""),"",SUM(O1172,P1172))))</f>
        <v/>
      </c>
      <c r="R1172" s="9" t="str">
        <f t="shared" ref="R1172:R1173" si="1480">IF(AND(N1172=""),"",IF(AND(Q1172=""),"",N1172-Q1172))</f>
        <v/>
      </c>
      <c r="S1172" s="20"/>
    </row>
    <row r="1173" spans="1:25" ht="21" customHeight="1">
      <c r="A1173" s="8">
        <v>3</v>
      </c>
      <c r="B1173" s="23">
        <v>44621</v>
      </c>
      <c r="C1173" s="9" t="str">
        <f>IF(AND(Y1166=""),"",C1172)</f>
        <v/>
      </c>
      <c r="D1173" s="9" t="str">
        <f>IF(AND(C1173=""),"",IF(AND(Y1166=""),"",ROUND(C1173*Master!C$5%,0)))</f>
        <v/>
      </c>
      <c r="E1173" s="9" t="str">
        <f>IF(AND(C1173=""),"",IF(AND(Y1166=""),"",ROUND(C1173*Master!H$5%,0)))</f>
        <v/>
      </c>
      <c r="F1173" s="9" t="str">
        <f t="shared" ref="F1173" si="1481">IF(AND(C1173=""),"",SUM(C1173:E1173))</f>
        <v/>
      </c>
      <c r="G1173" s="9" t="str">
        <f>IF(AND(Y1166=""),"",G1172)</f>
        <v/>
      </c>
      <c r="H1173" s="9" t="str">
        <f>IF(AND(G1173=""),"",IF(AND(Y1166=""),"",ROUND(G1173*Master!C$4%,0)))</f>
        <v/>
      </c>
      <c r="I1173" s="9" t="str">
        <f>IF(AND(G1173=""),"",IF(AND(Y1166=""),"",ROUND(G1173*Master!H$4%,0)))</f>
        <v/>
      </c>
      <c r="J1173" s="9" t="str">
        <f>IF(AND(C1173=""),"",SUM(G1173:I1173))</f>
        <v/>
      </c>
      <c r="K1173" s="9" t="str">
        <f t="shared" si="1475"/>
        <v/>
      </c>
      <c r="L1173" s="9" t="str">
        <f t="shared" si="1476"/>
        <v/>
      </c>
      <c r="M1173" s="9" t="str">
        <f>IF(AND(E1173=""),"",IF(AND(I1173=""),"",E1173-I1173))</f>
        <v/>
      </c>
      <c r="N1173" s="9" t="str">
        <f>IF(AND(F1173=""),"",IF(AND(J1173=""),"",F1173-J1173))</f>
        <v/>
      </c>
      <c r="O1173" s="9" t="str">
        <f t="shared" si="1479"/>
        <v/>
      </c>
      <c r="P1173" s="9" t="str">
        <f>IF(AND(Y1166=""),"",IF(AND(N1173=""),"",ROUND(N1173*AA$1%,0)))</f>
        <v/>
      </c>
      <c r="Q1173" s="9" t="str">
        <f>IF(AND(Y1166=""),"",IF(AND(C1173=""),"",IF(AND(O1173=""),"",SUM(O1173,P1173))))</f>
        <v/>
      </c>
      <c r="R1173" s="9" t="str">
        <f t="shared" si="1480"/>
        <v/>
      </c>
      <c r="S1173" s="20"/>
    </row>
    <row r="1174" spans="1:25" ht="23.25" customHeight="1">
      <c r="A1174" s="153" t="s">
        <v>9</v>
      </c>
      <c r="B1174" s="154"/>
      <c r="C1174" s="63">
        <f>IF(AND(Y1166=""),"",SUM(C1171:C1173))</f>
        <v>0</v>
      </c>
      <c r="D1174" s="63">
        <f>IF(AND(Y1166=""),"",SUM(D1171:D1173))</f>
        <v>0</v>
      </c>
      <c r="E1174" s="63">
        <f>IF(AND(Y1166=""),"",SUM(E1171:E1173))</f>
        <v>0</v>
      </c>
      <c r="F1174" s="63">
        <f>IF(AND(Y1166=""),"",SUM(F1171:F1173))</f>
        <v>0</v>
      </c>
      <c r="G1174" s="63">
        <f>IF(AND(Y1166=""),"",SUM(G1171:G1173))</f>
        <v>0</v>
      </c>
      <c r="H1174" s="63">
        <f>IF(AND(Y1166=""),"",SUM(H1171:H1173))</f>
        <v>0</v>
      </c>
      <c r="I1174" s="63">
        <f>IF(AND(Y1166=""),"",SUM(I1171:I1173))</f>
        <v>0</v>
      </c>
      <c r="J1174" s="63">
        <f>IF(AND(Y1166=""),"",SUM(J1171:J1173))</f>
        <v>0</v>
      </c>
      <c r="K1174" s="63">
        <f>IF(AND(Y1166=""),"",SUM(K1171:K1173))</f>
        <v>0</v>
      </c>
      <c r="L1174" s="63">
        <f>IF(AND(Y1166=""),"",SUM(L1171:L1173))</f>
        <v>0</v>
      </c>
      <c r="M1174" s="63">
        <f>IF(AND(Y1166=""),"",SUM(M1171:M1173))</f>
        <v>0</v>
      </c>
      <c r="N1174" s="63">
        <f>IF(AND(Y1166=""),"",SUM(N1171:N1173))</f>
        <v>0</v>
      </c>
      <c r="O1174" s="63">
        <f>IF(AND(Y1166=""),"",SUM(O1171:O1173))</f>
        <v>0</v>
      </c>
      <c r="P1174" s="63">
        <f>IF(AND(Y1166=""),"",SUM(P1171:P1173))</f>
        <v>0</v>
      </c>
      <c r="Q1174" s="63">
        <f>IF(AND(Y1166=""),"",SUM(Q1171:Q1173))</f>
        <v>0</v>
      </c>
      <c r="R1174" s="63">
        <f>IF(AND(Y1166=""),"",SUM(R1171:R1173))</f>
        <v>0</v>
      </c>
      <c r="S1174" s="49"/>
    </row>
    <row r="1175" spans="1:25" ht="10.5" customHeight="1">
      <c r="A1175" s="73"/>
      <c r="B1175" s="73"/>
      <c r="C1175" s="74"/>
      <c r="D1175" s="74"/>
      <c r="E1175" s="74"/>
      <c r="F1175" s="74"/>
      <c r="G1175" s="74"/>
      <c r="H1175" s="74"/>
      <c r="I1175" s="74"/>
      <c r="J1175" s="74"/>
      <c r="K1175" s="74"/>
      <c r="L1175" s="74"/>
      <c r="M1175" s="74"/>
      <c r="N1175" s="74"/>
      <c r="O1175" s="74"/>
      <c r="P1175" s="74"/>
      <c r="Q1175" s="74"/>
      <c r="R1175" s="74"/>
      <c r="S1175" s="75"/>
    </row>
    <row r="1176" spans="1:25" ht="23.25" customHeight="1">
      <c r="E1176" s="133" t="s">
        <v>10</v>
      </c>
      <c r="F1176" s="133"/>
      <c r="G1176" s="133"/>
      <c r="H1176" s="133"/>
      <c r="I1176" s="133"/>
      <c r="J1176" s="132" t="str">
        <f>IF(ISNA(VLOOKUP(Y1178,Master!A$8:N$127,2,FALSE)),"",VLOOKUP(Y1178,Master!A$8:AH$127,2,FALSE))</f>
        <v/>
      </c>
      <c r="K1176" s="132"/>
      <c r="L1176" s="132"/>
      <c r="M1176" s="132"/>
      <c r="N1176" s="132"/>
      <c r="O1176" s="60" t="s">
        <v>31</v>
      </c>
      <c r="P1176" s="132" t="str">
        <f>IF(ISNA(VLOOKUP(Y1178,Master!A$8:N$127,3,FALSE)),"",VLOOKUP(Y1178,Master!A$8:AH$127,3,FALSE))</f>
        <v/>
      </c>
      <c r="Q1176" s="132"/>
      <c r="R1176" s="132"/>
      <c r="S1176" s="132"/>
    </row>
    <row r="1177" spans="1:25" ht="9" customHeight="1">
      <c r="E1177" s="19"/>
      <c r="F1177" s="52"/>
      <c r="G1177" s="22"/>
      <c r="H1177" s="22"/>
      <c r="I1177" s="22"/>
      <c r="J1177" s="5"/>
      <c r="K1177" s="5"/>
      <c r="L1177" s="5"/>
      <c r="M1177" s="5"/>
      <c r="N1177" s="5"/>
      <c r="O1177" s="6"/>
      <c r="P1177" s="6"/>
    </row>
    <row r="1178" spans="1:25" ht="21" customHeight="1">
      <c r="A1178" s="8">
        <v>1</v>
      </c>
      <c r="B1178" s="23">
        <v>44562</v>
      </c>
      <c r="C1178" s="9" t="str">
        <f>IF(ISNA(VLOOKUP(Y1178,Master!A$8:N$127,5,FALSE)),"",VLOOKUP(Y1178,Master!A$8:AH$127,5,FALSE))</f>
        <v/>
      </c>
      <c r="D1178" s="9" t="str">
        <f>IF(AND(C1178=""),"",IF(AND(Y1178=""),"",ROUND(C1178*Master!C$5%,0)))</f>
        <v/>
      </c>
      <c r="E1178" s="9" t="str">
        <f>IF(AND(C1178=""),"",IF(AND(Y1178=""),"",ROUND(C1178*Master!H$5%,0)))</f>
        <v/>
      </c>
      <c r="F1178" s="9" t="str">
        <f t="shared" ref="F1178:F1179" si="1482">IF(AND(C1178=""),"",SUM(C1178:E1178))</f>
        <v/>
      </c>
      <c r="G1178" s="9" t="str">
        <f>IF(ISNA(VLOOKUP(Y1178,Master!A$8:N$127,5,FALSE)),"",VLOOKUP(Y1178,Master!A$8:AH$127,5,FALSE))</f>
        <v/>
      </c>
      <c r="H1178" s="9" t="str">
        <f>IF(AND(G1178=""),"",IF(AND(Y1178=""),"",ROUND(G1178*Master!C$4%,0)))</f>
        <v/>
      </c>
      <c r="I1178" s="9" t="str">
        <f>IF(AND(G1178=""),"",IF(AND(Y1178=""),"",ROUND(G1178*Master!H$4%,0)))</f>
        <v/>
      </c>
      <c r="J1178" s="9" t="str">
        <f t="shared" ref="J1178:J1180" si="1483">IF(AND(C1178=""),"",SUM(G1178:I1178))</f>
        <v/>
      </c>
      <c r="K1178" s="9" t="str">
        <f t="shared" ref="K1178" si="1484">IF(AND(C1178=""),"",IF(AND(G1178=""),"",C1178-G1178))</f>
        <v/>
      </c>
      <c r="L1178" s="9" t="str">
        <f>IF(AND(D1178=""),"",IF(AND(H1178=""),"",D1178-H1178))</f>
        <v/>
      </c>
      <c r="M1178" s="9" t="str">
        <f t="shared" ref="M1178:M1180" si="1485">IF(AND(E1178=""),"",IF(AND(I1178=""),"",E1178-I1178))</f>
        <v/>
      </c>
      <c r="N1178" s="9" t="str">
        <f t="shared" ref="N1178" si="1486">IF(AND(F1178=""),"",IF(AND(J1178=""),"",F1178-J1178))</f>
        <v/>
      </c>
      <c r="O1178" s="9" t="str">
        <f>IF(AND(C1178=""),"",N1178-P1178)</f>
        <v/>
      </c>
      <c r="P1178" s="9" t="str">
        <f>IF(AND(Y1178=""),"",IF(AND(N1178=""),"",ROUND(N1178*X$17%,0)))</f>
        <v/>
      </c>
      <c r="Q1178" s="9" t="str">
        <f>IF(AND(Y1178=""),"",IF(AND(C1178=""),"",IF(AND(O1178=""),"",SUM(O1178,P1178))))</f>
        <v/>
      </c>
      <c r="R1178" s="9" t="str">
        <f>IF(AND(N1178=""),"",IF(AND(Q1178=""),"",N1178-Q1178))</f>
        <v/>
      </c>
      <c r="S1178" s="20"/>
      <c r="X1178" s="61" t="s">
        <v>49</v>
      </c>
      <c r="Y1178" s="64">
        <v>98</v>
      </c>
    </row>
    <row r="1179" spans="1:25" ht="21" customHeight="1">
      <c r="A1179" s="8">
        <v>2</v>
      </c>
      <c r="B1179" s="23">
        <v>44593</v>
      </c>
      <c r="C1179" s="9" t="str">
        <f>IF(AND(Y1178=""),"",C1178)</f>
        <v/>
      </c>
      <c r="D1179" s="9" t="str">
        <f>IF(AND(C1179=""),"",IF(AND(Y1178=""),"",ROUND(C1179*Master!C$5%,0)))</f>
        <v/>
      </c>
      <c r="E1179" s="9" t="str">
        <f>IF(AND(C1179=""),"",IF(AND(Y1178=""),"",ROUND(C1179*Master!H$5%,0)))</f>
        <v/>
      </c>
      <c r="F1179" s="9" t="str">
        <f t="shared" si="1482"/>
        <v/>
      </c>
      <c r="G1179" s="9" t="str">
        <f>IF(AND(Y1178=""),"",G1178)</f>
        <v/>
      </c>
      <c r="H1179" s="9" t="str">
        <f>IF(AND(G1179=""),"",IF(AND(Y1178=""),"",ROUND(G1179*Master!C$4%,0)))</f>
        <v/>
      </c>
      <c r="I1179" s="9" t="str">
        <f>IF(AND(G1179=""),"",IF(AND(Y1178=""),"",ROUND(G1179*Master!H$4%,0)))</f>
        <v/>
      </c>
      <c r="J1179" s="9" t="str">
        <f t="shared" si="1483"/>
        <v/>
      </c>
      <c r="K1179" s="9" t="str">
        <f>IF(AND(C1179=""),"",IF(AND(G1179=""),"",C1179-G1179))</f>
        <v/>
      </c>
      <c r="L1179" s="9" t="str">
        <f t="shared" ref="L1179:L1180" si="1487">IF(AND(D1179=""),"",IF(AND(H1179=""),"",D1179-H1179))</f>
        <v/>
      </c>
      <c r="M1179" s="9" t="str">
        <f t="shared" si="1485"/>
        <v/>
      </c>
      <c r="N1179" s="9" t="str">
        <f>IF(AND(F1179=""),"",IF(AND(J1179=""),"",F1179-J1179))</f>
        <v/>
      </c>
      <c r="O1179" s="9" t="str">
        <f t="shared" ref="O1179:O1180" si="1488">IF(AND(C1179=""),"",N1179-P1179)</f>
        <v/>
      </c>
      <c r="P1179" s="9" t="str">
        <f>IF(AND(Y1178=""),"",IF(AND(N1179=""),"",ROUND(N1179*X$17%,0)))</f>
        <v/>
      </c>
      <c r="Q1179" s="9" t="str">
        <f>IF(AND(Y1178=""),"",IF(AND(C1179=""),"",IF(AND(O1179=""),"",SUM(O1179,P1179))))</f>
        <v/>
      </c>
      <c r="R1179" s="9" t="str">
        <f t="shared" ref="R1179:R1180" si="1489">IF(AND(N1179=""),"",IF(AND(Q1179=""),"",N1179-Q1179))</f>
        <v/>
      </c>
      <c r="S1179" s="20"/>
      <c r="X1179" s="4" t="str">
        <f>IF(ISNA(VLOOKUP(Y1178,Master!A$8:N$127,7,FALSE)),"",VLOOKUP(Y1178,Master!A$8:AH$127,7,FALSE))</f>
        <v/>
      </c>
    </row>
    <row r="1180" spans="1:25" ht="21" customHeight="1">
      <c r="A1180" s="8">
        <v>3</v>
      </c>
      <c r="B1180" s="23">
        <v>44621</v>
      </c>
      <c r="C1180" s="9" t="str">
        <f>IF(AND(Y1178=""),"",C1179)</f>
        <v/>
      </c>
      <c r="D1180" s="9" t="str">
        <f>IF(AND(C1180=""),"",IF(AND(Y1178=""),"",ROUND(C1180*Master!C$5%,0)))</f>
        <v/>
      </c>
      <c r="E1180" s="9" t="str">
        <f>IF(AND(C1180=""),"",IF(AND(Y1178=""),"",ROUND(C1180*Master!H$5%,0)))</f>
        <v/>
      </c>
      <c r="F1180" s="9" t="str">
        <f>IF(AND(C1180=""),"",SUM(C1180:E1180))</f>
        <v/>
      </c>
      <c r="G1180" s="9" t="str">
        <f>IF(AND(Y1178=""),"",G1179)</f>
        <v/>
      </c>
      <c r="H1180" s="9" t="str">
        <f>IF(AND(G1180=""),"",IF(AND(Y1178=""),"",ROUND(G1180*Master!C$4%,0)))</f>
        <v/>
      </c>
      <c r="I1180" s="9" t="str">
        <f>IF(AND(G1180=""),"",IF(AND(Y1178=""),"",ROUND(G1180*Master!H$4%,0)))</f>
        <v/>
      </c>
      <c r="J1180" s="9" t="str">
        <f t="shared" si="1483"/>
        <v/>
      </c>
      <c r="K1180" s="9" t="str">
        <f t="shared" ref="K1180" si="1490">IF(AND(C1180=""),"",IF(AND(G1180=""),"",C1180-G1180))</f>
        <v/>
      </c>
      <c r="L1180" s="9" t="str">
        <f t="shared" si="1487"/>
        <v/>
      </c>
      <c r="M1180" s="9" t="str">
        <f t="shared" si="1485"/>
        <v/>
      </c>
      <c r="N1180" s="9" t="str">
        <f t="shared" ref="N1180" si="1491">IF(AND(F1180=""),"",IF(AND(J1180=""),"",F1180-J1180))</f>
        <v/>
      </c>
      <c r="O1180" s="9" t="str">
        <f t="shared" si="1488"/>
        <v/>
      </c>
      <c r="P1180" s="9" t="str">
        <f>IF(AND(Y1178=""),"",IF(AND(N1180=""),"",ROUND(N1180*X$17%,0)))</f>
        <v/>
      </c>
      <c r="Q1180" s="9" t="str">
        <f>IF(AND(Y1178=""),"",IF(AND(C1180=""),"",IF(AND(O1180=""),"",SUM(O1180,P1180))))</f>
        <v/>
      </c>
      <c r="R1180" s="9" t="str">
        <f t="shared" si="1489"/>
        <v/>
      </c>
      <c r="S1180" s="20"/>
    </row>
    <row r="1181" spans="1:25" ht="30.75" customHeight="1">
      <c r="A1181" s="153" t="s">
        <v>9</v>
      </c>
      <c r="B1181" s="154"/>
      <c r="C1181" s="63">
        <f>IF(AND(Y1178=""),"",SUM(C1178:C1180))</f>
        <v>0</v>
      </c>
      <c r="D1181" s="63">
        <f>IF(AND(Y1178=""),"",SUM(D1178:D1180))</f>
        <v>0</v>
      </c>
      <c r="E1181" s="63">
        <f>IF(AND(Y1178=""),"",SUM(E1178:E1180))</f>
        <v>0</v>
      </c>
      <c r="F1181" s="63">
        <f>IF(AND(Y1178=""),"",SUM(F1178:F1180))</f>
        <v>0</v>
      </c>
      <c r="G1181" s="63">
        <f>IF(AND(Y1178=""),"",SUM(G1178:G1180))</f>
        <v>0</v>
      </c>
      <c r="H1181" s="63">
        <f>IF(AND(Y1178=""),"",SUM(H1178:H1180))</f>
        <v>0</v>
      </c>
      <c r="I1181" s="63">
        <f>IF(AND(Y1178=""),"",SUM(I1178:I1180))</f>
        <v>0</v>
      </c>
      <c r="J1181" s="63">
        <f>IF(AND(Y1178=""),"",SUM(J1178:J1180))</f>
        <v>0</v>
      </c>
      <c r="K1181" s="63">
        <f>IF(AND(Y1178=""),"",SUM(K1178:K1180))</f>
        <v>0</v>
      </c>
      <c r="L1181" s="63">
        <f>IF(AND(Y1178=""),"",SUM(L1178:L1180))</f>
        <v>0</v>
      </c>
      <c r="M1181" s="63">
        <f>IF(AND(Y1178=""),"",SUM(M1178:M1180))</f>
        <v>0</v>
      </c>
      <c r="N1181" s="63">
        <f>IF(AND(Y1178=""),"",SUM(N1178:N1180))</f>
        <v>0</v>
      </c>
      <c r="O1181" s="63">
        <f>IF(AND(Y1178=""),"",SUM(O1178:O1180))</f>
        <v>0</v>
      </c>
      <c r="P1181" s="63">
        <f>IF(AND(Y1178=""),"",SUM(P1178:P1180))</f>
        <v>0</v>
      </c>
      <c r="Q1181" s="63">
        <f>IF(AND(Y1178=""),"",SUM(Q1178:Q1180))</f>
        <v>0</v>
      </c>
      <c r="R1181" s="63">
        <f>IF(AND(Y1178=""),"",SUM(R1178:R1180))</f>
        <v>0</v>
      </c>
      <c r="S1181" s="49"/>
    </row>
    <row r="1182" spans="1:25" ht="11.25" customHeight="1">
      <c r="A1182" s="73"/>
      <c r="B1182" s="73"/>
      <c r="C1182" s="74"/>
      <c r="D1182" s="74"/>
      <c r="E1182" s="74"/>
      <c r="F1182" s="74"/>
      <c r="G1182" s="74"/>
      <c r="H1182" s="74"/>
      <c r="I1182" s="74"/>
      <c r="J1182" s="74"/>
      <c r="K1182" s="74"/>
      <c r="L1182" s="74"/>
      <c r="M1182" s="74"/>
      <c r="N1182" s="74"/>
      <c r="O1182" s="74"/>
      <c r="P1182" s="74"/>
      <c r="Q1182" s="74"/>
      <c r="R1182" s="74"/>
      <c r="S1182" s="75"/>
    </row>
    <row r="1183" spans="1:25" ht="23.25" customHeight="1">
      <c r="E1183" s="133" t="s">
        <v>10</v>
      </c>
      <c r="F1183" s="133"/>
      <c r="G1183" s="133"/>
      <c r="H1183" s="133"/>
      <c r="I1183" s="133"/>
      <c r="J1183" s="132" t="str">
        <f>IF(ISNA(VLOOKUP(Y1185,Master!A$8:N$127,2,FALSE)),"",VLOOKUP(Y1185,Master!A$8:AH$127,2,FALSE))</f>
        <v/>
      </c>
      <c r="K1183" s="132"/>
      <c r="L1183" s="132"/>
      <c r="M1183" s="132"/>
      <c r="N1183" s="132"/>
      <c r="O1183" s="60" t="s">
        <v>31</v>
      </c>
      <c r="P1183" s="132" t="str">
        <f>IF(ISNA(VLOOKUP($Y$431,Master!A$8:N$127,3,FALSE)),"",VLOOKUP($Y$431,Master!A$8:AH$127,3,FALSE))</f>
        <v/>
      </c>
      <c r="Q1183" s="132"/>
      <c r="R1183" s="132"/>
      <c r="S1183" s="132"/>
    </row>
    <row r="1184" spans="1:25" ht="9" customHeight="1">
      <c r="E1184" s="19"/>
      <c r="F1184" s="52"/>
      <c r="G1184" s="22"/>
      <c r="H1184" s="22"/>
      <c r="I1184" s="22"/>
      <c r="J1184" s="5"/>
      <c r="K1184" s="5"/>
      <c r="L1184" s="5"/>
      <c r="M1184" s="5"/>
      <c r="N1184" s="5"/>
      <c r="O1184" s="6"/>
      <c r="P1184" s="6"/>
    </row>
    <row r="1185" spans="1:27" ht="21" customHeight="1">
      <c r="A1185" s="8">
        <v>1</v>
      </c>
      <c r="B1185" s="23">
        <v>44562</v>
      </c>
      <c r="C1185" s="9" t="str">
        <f>IF(ISNA(VLOOKUP(Y1185,Master!A$8:N$127,5,FALSE)),"",VLOOKUP(Y1185,Master!A$8:AH$127,5,FALSE))</f>
        <v/>
      </c>
      <c r="D1185" s="9" t="str">
        <f>IF(AND(C1185=""),"",IF(AND(Y1185=""),"",ROUND(C1185*Master!C$5%,0)))</f>
        <v/>
      </c>
      <c r="E1185" s="9" t="str">
        <f>IF(AND(C1185=""),"",IF(AND(Y1185=""),"",ROUND(C1185*Master!H$5%,0)))</f>
        <v/>
      </c>
      <c r="F1185" s="9" t="str">
        <f t="shared" ref="F1185:F1187" si="1492">IF(AND(C1185=""),"",SUM(C1185:E1185))</f>
        <v/>
      </c>
      <c r="G1185" s="9" t="str">
        <f>IF(ISNA(VLOOKUP(Y1185,Master!A$8:N$127,5,FALSE)),"",VLOOKUP(Y1185,Master!A$8:AH$127,5,FALSE))</f>
        <v/>
      </c>
      <c r="H1185" s="9" t="str">
        <f>IF(AND(G1185=""),"",IF(AND(Y1185=""),"",ROUND(G1185*Master!C$4%,0)))</f>
        <v/>
      </c>
      <c r="I1185" s="9" t="str">
        <f>IF(AND(G1185=""),"",IF(AND(Y1185=""),"",ROUND(G1185*Master!H$4%,0)))</f>
        <v/>
      </c>
      <c r="J1185" s="9" t="str">
        <f t="shared" ref="J1185:J1187" si="1493">IF(AND(C1185=""),"",SUM(G1185:I1185))</f>
        <v/>
      </c>
      <c r="K1185" s="9" t="str">
        <f t="shared" ref="K1185:K1187" si="1494">IF(AND(C1185=""),"",IF(AND(G1185=""),"",C1185-G1185))</f>
        <v/>
      </c>
      <c r="L1185" s="9" t="str">
        <f t="shared" ref="L1185:L1187" si="1495">IF(AND(D1185=""),"",IF(AND(H1185=""),"",D1185-H1185))</f>
        <v/>
      </c>
      <c r="M1185" s="9" t="str">
        <f t="shared" ref="M1185:M1187" si="1496">IF(AND(E1185=""),"",IF(AND(I1185=""),"",E1185-I1185))</f>
        <v/>
      </c>
      <c r="N1185" s="9" t="str">
        <f t="shared" ref="N1185:N1187" si="1497">IF(AND(F1185=""),"",IF(AND(J1185=""),"",F1185-J1185))</f>
        <v/>
      </c>
      <c r="O1185" s="9" t="str">
        <f>IF(AND(C1185=""),"",N1185-P1185)</f>
        <v/>
      </c>
      <c r="P1185" s="9" t="str">
        <f>IF(AND(Y1185=""),"",IF(AND(N1185=""),"",ROUND(N1185*AA$1%,0)))</f>
        <v/>
      </c>
      <c r="Q1185" s="9" t="str">
        <f>IF(AND(Y1185=""),"",IF(AND(C1185=""),"",IF(AND(O1185=""),"",SUM(O1185,P1185))))</f>
        <v/>
      </c>
      <c r="R1185" s="9" t="str">
        <f>IF(AND(N1185=""),"",IF(AND(Q1185=""),"",N1185-Q1185))</f>
        <v/>
      </c>
      <c r="S1185" s="20"/>
      <c r="X1185" s="61" t="s">
        <v>49</v>
      </c>
      <c r="Y1185" s="64">
        <v>99</v>
      </c>
    </row>
    <row r="1186" spans="1:27" ht="21" customHeight="1">
      <c r="A1186" s="8">
        <v>2</v>
      </c>
      <c r="B1186" s="23">
        <v>44593</v>
      </c>
      <c r="C1186" s="9" t="str">
        <f>IF(AND(Y1185=""),"",C1185)</f>
        <v/>
      </c>
      <c r="D1186" s="9" t="str">
        <f>IF(AND(C1186=""),"",IF(AND(Y1185=""),"",ROUND(C1186*Master!C$5%,0)))</f>
        <v/>
      </c>
      <c r="E1186" s="9" t="str">
        <f>IF(AND(C1186=""),"",IF(AND(Y1185=""),"",ROUND(C1186*Master!H$5%,0)))</f>
        <v/>
      </c>
      <c r="F1186" s="9" t="str">
        <f t="shared" si="1492"/>
        <v/>
      </c>
      <c r="G1186" s="9" t="str">
        <f>IF(AND(Y1185=""),"",G1185)</f>
        <v/>
      </c>
      <c r="H1186" s="9" t="str">
        <f>IF(AND(G1186=""),"",IF(AND(Y1185=""),"",ROUND(G1186*Master!C$4%,0)))</f>
        <v/>
      </c>
      <c r="I1186" s="9" t="str">
        <f>IF(AND(G1186=""),"",IF(AND(Y1185=""),"",ROUND(G1186*Master!H$4%,0)))</f>
        <v/>
      </c>
      <c r="J1186" s="9" t="str">
        <f t="shared" si="1493"/>
        <v/>
      </c>
      <c r="K1186" s="9" t="str">
        <f t="shared" si="1494"/>
        <v/>
      </c>
      <c r="L1186" s="9" t="str">
        <f t="shared" si="1495"/>
        <v/>
      </c>
      <c r="M1186" s="9" t="str">
        <f t="shared" si="1496"/>
        <v/>
      </c>
      <c r="N1186" s="9" t="str">
        <f t="shared" si="1497"/>
        <v/>
      </c>
      <c r="O1186" s="9" t="str">
        <f t="shared" ref="O1186:O1187" si="1498">IF(AND(C1186=""),"",N1186-P1186)</f>
        <v/>
      </c>
      <c r="P1186" s="9" t="str">
        <f>IF(AND(Y1185=""),"",IF(AND(N1186=""),"",ROUND(N1186*AA$1%,0)))</f>
        <v/>
      </c>
      <c r="Q1186" s="9" t="str">
        <f>IF(AND(Y1185=""),"",IF(AND(C1186=""),"",IF(AND(O1186=""),"",SUM(O1186,P1186))))</f>
        <v/>
      </c>
      <c r="R1186" s="9" t="str">
        <f t="shared" ref="R1186:R1187" si="1499">IF(AND(N1186=""),"",IF(AND(Q1186=""),"",N1186-Q1186))</f>
        <v/>
      </c>
      <c r="S1186" s="20"/>
      <c r="X1186" s="4" t="str">
        <f>IF(ISNA(VLOOKUP(Y1185,Master!A$8:N$127,7,FALSE)),"",VLOOKUP(Y1185,Master!A$8:AH$127,7,FALSE))</f>
        <v/>
      </c>
    </row>
    <row r="1187" spans="1:27" ht="21" customHeight="1">
      <c r="A1187" s="8">
        <v>3</v>
      </c>
      <c r="B1187" s="23">
        <v>44621</v>
      </c>
      <c r="C1187" s="9" t="str">
        <f>IF(AND(Y1185=""),"",C1186)</f>
        <v/>
      </c>
      <c r="D1187" s="9" t="str">
        <f>IF(AND(C1187=""),"",IF(AND(Y1185=""),"",ROUND(C1187*Master!C$5%,0)))</f>
        <v/>
      </c>
      <c r="E1187" s="9" t="str">
        <f>IF(AND(C1187=""),"",IF(AND(Y1185=""),"",ROUND(C1187*Master!H$5%,0)))</f>
        <v/>
      </c>
      <c r="F1187" s="9" t="str">
        <f t="shared" si="1492"/>
        <v/>
      </c>
      <c r="G1187" s="9" t="str">
        <f>IF(AND(Y1185=""),"",G1186)</f>
        <v/>
      </c>
      <c r="H1187" s="9" t="str">
        <f>IF(AND(G1187=""),"",IF(AND(Y1185=""),"",ROUND(G1187*Master!C$4%,0)))</f>
        <v/>
      </c>
      <c r="I1187" s="9" t="str">
        <f>IF(AND(G1187=""),"",IF(AND(Y1185=""),"",ROUND(G1187*Master!H$4%,0)))</f>
        <v/>
      </c>
      <c r="J1187" s="9" t="str">
        <f t="shared" si="1493"/>
        <v/>
      </c>
      <c r="K1187" s="9" t="str">
        <f t="shared" si="1494"/>
        <v/>
      </c>
      <c r="L1187" s="9" t="str">
        <f t="shared" si="1495"/>
        <v/>
      </c>
      <c r="M1187" s="9" t="str">
        <f t="shared" si="1496"/>
        <v/>
      </c>
      <c r="N1187" s="9" t="str">
        <f t="shared" si="1497"/>
        <v/>
      </c>
      <c r="O1187" s="9" t="str">
        <f t="shared" si="1498"/>
        <v/>
      </c>
      <c r="P1187" s="9" t="str">
        <f>IF(AND(Y1185=""),"",IF(AND(N1187=""),"",ROUND(N1187*AA$1%,0)))</f>
        <v/>
      </c>
      <c r="Q1187" s="9" t="str">
        <f>IF(AND(Y1185=""),"",IF(AND(C1187=""),"",IF(AND(O1187=""),"",SUM(O1187,P1187))))</f>
        <v/>
      </c>
      <c r="R1187" s="9" t="str">
        <f t="shared" si="1499"/>
        <v/>
      </c>
      <c r="S1187" s="20"/>
    </row>
    <row r="1188" spans="1:27" ht="30.75" customHeight="1">
      <c r="A1188" s="153" t="s">
        <v>9</v>
      </c>
      <c r="B1188" s="154"/>
      <c r="C1188" s="63">
        <f>IF(AND(Y1185=""),"",SUM(C1185:C1187))</f>
        <v>0</v>
      </c>
      <c r="D1188" s="63">
        <f>IF(AND(Y1185=""),"",SUM(D1185:D1187))</f>
        <v>0</v>
      </c>
      <c r="E1188" s="63">
        <f>IF(AND(Y1185=""),"",SUM(E1185:E1187))</f>
        <v>0</v>
      </c>
      <c r="F1188" s="63">
        <f>IF(AND(Y1185=""),"",SUM(F1185:F1187))</f>
        <v>0</v>
      </c>
      <c r="G1188" s="63">
        <f>IF(AND(Y1185=""),"",SUM(G1185:G1187))</f>
        <v>0</v>
      </c>
      <c r="H1188" s="63">
        <f>IF(AND(Y1185=""),"",SUM(H1185:H1187))</f>
        <v>0</v>
      </c>
      <c r="I1188" s="63">
        <f>IF(AND(Y1185=""),"",SUM(I1185:I1187))</f>
        <v>0</v>
      </c>
      <c r="J1188" s="63">
        <f>IF(AND(Y1185=""),"",SUM(J1185:J1187))</f>
        <v>0</v>
      </c>
      <c r="K1188" s="63">
        <f>IF(AND(Y1185=""),"",SUM(K1185:K1187))</f>
        <v>0</v>
      </c>
      <c r="L1188" s="63">
        <f>IF(AND(Y1185=""),"",SUM(L1185:L1187))</f>
        <v>0</v>
      </c>
      <c r="M1188" s="63">
        <f>IF(AND(Y1185=""),"",SUM(M1185:M1187))</f>
        <v>0</v>
      </c>
      <c r="N1188" s="63">
        <f>IF(AND(Y1185=""),"",SUM(N1185:N1187))</f>
        <v>0</v>
      </c>
      <c r="O1188" s="63">
        <f>IF(AND(Y1185=""),"",SUM(O1185:O1187))</f>
        <v>0</v>
      </c>
      <c r="P1188" s="63">
        <f>IF(AND(Y1185=""),"",SUM(P1185:P1187))</f>
        <v>0</v>
      </c>
      <c r="Q1188" s="63">
        <f>IF(AND(Y1185=""),"",SUM(Q1185:Q1187))</f>
        <v>0</v>
      </c>
      <c r="R1188" s="63">
        <f>IF(AND(Y1185=""),"",SUM(R1185:R1187))</f>
        <v>0</v>
      </c>
      <c r="S1188" s="49"/>
    </row>
    <row r="1189" spans="1:27" ht="30.75" customHeight="1">
      <c r="A1189" s="73"/>
      <c r="B1189" s="73"/>
      <c r="C1189" s="74"/>
      <c r="D1189" s="74"/>
      <c r="E1189" s="74"/>
      <c r="F1189" s="74"/>
      <c r="G1189" s="74"/>
      <c r="H1189" s="74"/>
      <c r="I1189" s="74"/>
      <c r="J1189" s="74"/>
      <c r="K1189" s="74"/>
      <c r="L1189" s="74"/>
      <c r="M1189" s="74"/>
      <c r="N1189" s="74"/>
      <c r="O1189" s="74"/>
      <c r="P1189" s="74"/>
      <c r="Q1189" s="74"/>
      <c r="R1189" s="74"/>
      <c r="S1189" s="75"/>
    </row>
    <row r="1190" spans="1:27" ht="18.75">
      <c r="A1190" s="21"/>
      <c r="B1190" s="58"/>
      <c r="C1190" s="58"/>
      <c r="D1190" s="58"/>
      <c r="E1190" s="58"/>
      <c r="F1190" s="58"/>
      <c r="G1190" s="58"/>
      <c r="H1190" s="59"/>
      <c r="I1190" s="59"/>
      <c r="J1190" s="59"/>
      <c r="K1190" s="66"/>
      <c r="L1190" s="66"/>
      <c r="M1190" s="66"/>
      <c r="N1190" s="66"/>
      <c r="O1190" s="138" t="s">
        <v>42</v>
      </c>
      <c r="P1190" s="138"/>
      <c r="Q1190" s="138"/>
      <c r="R1190" s="138"/>
      <c r="S1190" s="138"/>
    </row>
    <row r="1191" spans="1:27" ht="18.75">
      <c r="A1191" s="1"/>
      <c r="B1191" s="24" t="s">
        <v>19</v>
      </c>
      <c r="C1191" s="139"/>
      <c r="D1191" s="139"/>
      <c r="E1191" s="139"/>
      <c r="F1191" s="139"/>
      <c r="G1191" s="139"/>
      <c r="H1191" s="25"/>
      <c r="I1191" s="143" t="s">
        <v>20</v>
      </c>
      <c r="J1191" s="143"/>
      <c r="K1191" s="141"/>
      <c r="L1191" s="141"/>
      <c r="M1191" s="141"/>
      <c r="O1191" s="138"/>
      <c r="P1191" s="138"/>
      <c r="Q1191" s="138"/>
      <c r="R1191" s="138"/>
      <c r="S1191" s="138"/>
    </row>
    <row r="1192" spans="1:27" ht="18.75">
      <c r="A1192" s="1"/>
      <c r="B1192" s="140" t="s">
        <v>21</v>
      </c>
      <c r="C1192" s="140"/>
      <c r="D1192" s="140"/>
      <c r="E1192" s="140"/>
      <c r="F1192" s="140"/>
      <c r="G1192" s="140"/>
      <c r="H1192" s="140"/>
      <c r="I1192" s="27"/>
      <c r="J1192" s="26"/>
      <c r="K1192" s="26"/>
      <c r="L1192" s="26"/>
      <c r="M1192" s="26"/>
    </row>
    <row r="1193" spans="1:27" ht="18.75">
      <c r="A1193" s="22">
        <v>1</v>
      </c>
      <c r="B1193" s="142" t="s">
        <v>22</v>
      </c>
      <c r="C1193" s="142"/>
      <c r="D1193" s="142"/>
      <c r="E1193" s="142"/>
      <c r="F1193" s="142"/>
      <c r="G1193" s="142"/>
      <c r="H1193" s="142"/>
      <c r="I1193" s="28"/>
      <c r="J1193" s="26"/>
      <c r="K1193" s="26"/>
      <c r="L1193" s="26"/>
      <c r="M1193" s="26"/>
    </row>
    <row r="1194" spans="1:27" ht="18.75">
      <c r="A1194" s="2">
        <v>2</v>
      </c>
      <c r="B1194" s="142" t="s">
        <v>23</v>
      </c>
      <c r="C1194" s="142"/>
      <c r="D1194" s="142"/>
      <c r="E1194" s="142"/>
      <c r="F1194" s="142"/>
      <c r="G1194" s="132"/>
      <c r="H1194" s="132"/>
      <c r="I1194" s="132"/>
      <c r="J1194" s="132"/>
      <c r="K1194" s="132"/>
      <c r="L1194" s="132"/>
      <c r="M1194" s="132"/>
    </row>
    <row r="1195" spans="1:27" ht="18.75">
      <c r="A1195" s="3">
        <v>3</v>
      </c>
      <c r="B1195" s="142" t="s">
        <v>24</v>
      </c>
      <c r="C1195" s="142"/>
      <c r="D1195" s="142"/>
      <c r="E1195" s="29"/>
      <c r="F1195" s="28"/>
      <c r="G1195" s="28"/>
      <c r="H1195" s="30"/>
      <c r="I1195" s="31"/>
      <c r="J1195" s="26"/>
      <c r="K1195" s="26"/>
      <c r="L1195" s="26"/>
      <c r="M1195" s="26"/>
    </row>
    <row r="1196" spans="1:27" ht="15.75">
      <c r="O1196" s="138" t="s">
        <v>42</v>
      </c>
      <c r="P1196" s="138"/>
      <c r="Q1196" s="138"/>
      <c r="R1196" s="138"/>
      <c r="S1196" s="138"/>
    </row>
    <row r="1198" spans="1:27" ht="18" customHeight="1">
      <c r="A1198" s="148" t="str">
        <f>A1164</f>
        <v xml:space="preserve">DA (46% to 50%) Drawn Statement  </v>
      </c>
      <c r="B1198" s="148"/>
      <c r="C1198" s="148"/>
      <c r="D1198" s="148"/>
      <c r="E1198" s="148"/>
      <c r="F1198" s="148"/>
      <c r="G1198" s="148"/>
      <c r="H1198" s="148"/>
      <c r="I1198" s="148"/>
      <c r="J1198" s="148"/>
      <c r="K1198" s="148"/>
      <c r="L1198" s="148"/>
      <c r="M1198" s="148"/>
      <c r="N1198" s="148"/>
      <c r="O1198" s="148"/>
      <c r="P1198" s="148"/>
      <c r="Q1198" s="148"/>
      <c r="R1198" s="148"/>
      <c r="S1198" s="148"/>
      <c r="W1198" s="4">
        <f>IF(ISNA(VLOOKUP($Y$3,Master!A$8:N$127,4,FALSE)),"",VLOOKUP($Y$3,Master!A$8:AH$127,4,FALSE))</f>
        <v>2</v>
      </c>
      <c r="X1198" s="4" t="str">
        <f>IF(ISNA(VLOOKUP($Y$3,Master!A$8:N$127,6,FALSE)),"",VLOOKUP($Y$3,Master!A$8:AH$127,6,FALSE))</f>
        <v>GPF-2004</v>
      </c>
      <c r="Y1198" s="4" t="s">
        <v>45</v>
      </c>
      <c r="Z1198" s="4" t="s">
        <v>18</v>
      </c>
      <c r="AA1198" s="4" t="str">
        <f>IF(ISNA(VLOOKUP(Y1200,Master!A$8:N$127,7,FALSE)),"",VLOOKUP(Y1200,Master!A$8:AH$127,7,FALSE))</f>
        <v/>
      </c>
    </row>
    <row r="1199" spans="1:27" ht="18">
      <c r="A1199" s="131" t="str">
        <f>IF(AND(Master!C1125=""),"",CONCATENATE("Office Of  ",Master!C1125))</f>
        <v/>
      </c>
      <c r="B1199" s="131"/>
      <c r="C1199" s="131"/>
      <c r="D1199" s="131"/>
      <c r="E1199" s="131"/>
      <c r="F1199" s="131"/>
      <c r="G1199" s="131"/>
      <c r="H1199" s="131"/>
      <c r="I1199" s="131"/>
      <c r="J1199" s="131"/>
      <c r="K1199" s="131"/>
      <c r="L1199" s="131"/>
      <c r="M1199" s="131"/>
      <c r="N1199" s="131"/>
      <c r="O1199" s="131"/>
      <c r="P1199" s="131"/>
      <c r="Q1199" s="131"/>
      <c r="R1199" s="131"/>
      <c r="S1199" s="131"/>
      <c r="X1199" s="4">
        <f>IF(ISNA(VLOOKUP($Y$3,Master!A$8:N$127,8,FALSE)),"",VLOOKUP($Y$3,Master!A$8:AH$127,8,FALSE))</f>
        <v>45292</v>
      </c>
      <c r="Y1199" s="4" t="s">
        <v>43</v>
      </c>
    </row>
    <row r="1200" spans="1:27" ht="18.75">
      <c r="E1200" s="133" t="s">
        <v>10</v>
      </c>
      <c r="F1200" s="133"/>
      <c r="G1200" s="133"/>
      <c r="H1200" s="133"/>
      <c r="I1200" s="133"/>
      <c r="J1200" s="132" t="str">
        <f>IF(ISNA(VLOOKUP(Y1200,Master!A$8:N$127,2,FALSE)),"",VLOOKUP(Y1200,Master!A$8:AH$127,2,FALSE))</f>
        <v/>
      </c>
      <c r="K1200" s="132"/>
      <c r="L1200" s="132"/>
      <c r="M1200" s="132"/>
      <c r="N1200" s="132"/>
      <c r="O1200" s="60" t="s">
        <v>31</v>
      </c>
      <c r="P1200" s="132" t="str">
        <f>IF(ISNA(VLOOKUP(Y1200,Master!A$8:N$127,3,FALSE)),"",VLOOKUP(Y1200,Master!A$8:AH$127,3,FALSE))</f>
        <v/>
      </c>
      <c r="Q1200" s="132"/>
      <c r="R1200" s="132"/>
      <c r="S1200" s="132"/>
      <c r="X1200" s="61" t="s">
        <v>49</v>
      </c>
      <c r="Y1200" s="64">
        <v>100</v>
      </c>
    </row>
    <row r="1201" spans="1:25" ht="8.25" customHeight="1">
      <c r="E1201" s="19"/>
      <c r="F1201" s="52"/>
      <c r="G1201" s="22"/>
      <c r="H1201" s="22"/>
      <c r="I1201" s="22"/>
      <c r="J1201" s="5"/>
      <c r="K1201" s="5"/>
      <c r="L1201" s="5"/>
      <c r="M1201" s="5"/>
      <c r="N1201" s="5"/>
      <c r="O1201" s="6"/>
      <c r="P1201" s="6"/>
    </row>
    <row r="1202" spans="1:25" ht="24.75" customHeight="1">
      <c r="A1202" s="157" t="s">
        <v>0</v>
      </c>
      <c r="B1202" s="158" t="s">
        <v>3</v>
      </c>
      <c r="C1202" s="159" t="s">
        <v>5</v>
      </c>
      <c r="D1202" s="159"/>
      <c r="E1202" s="159"/>
      <c r="F1202" s="159"/>
      <c r="G1202" s="159" t="s">
        <v>6</v>
      </c>
      <c r="H1202" s="159"/>
      <c r="I1202" s="159"/>
      <c r="J1202" s="159"/>
      <c r="K1202" s="159" t="s">
        <v>7</v>
      </c>
      <c r="L1202" s="159"/>
      <c r="M1202" s="159"/>
      <c r="N1202" s="159"/>
      <c r="O1202" s="149" t="s">
        <v>8</v>
      </c>
      <c r="P1202" s="150"/>
      <c r="Q1202" s="151"/>
      <c r="R1202" s="162" t="s">
        <v>54</v>
      </c>
      <c r="S1202" s="162" t="s">
        <v>40</v>
      </c>
    </row>
    <row r="1203" spans="1:25" ht="69" customHeight="1">
      <c r="A1203" s="157"/>
      <c r="B1203" s="158"/>
      <c r="C1203" s="54" t="s">
        <v>29</v>
      </c>
      <c r="D1203" s="55" t="s">
        <v>1</v>
      </c>
      <c r="E1203" s="56" t="s">
        <v>2</v>
      </c>
      <c r="F1203" s="54" t="s">
        <v>46</v>
      </c>
      <c r="G1203" s="54" t="s">
        <v>29</v>
      </c>
      <c r="H1203" s="55" t="s">
        <v>1</v>
      </c>
      <c r="I1203" s="56" t="s">
        <v>2</v>
      </c>
      <c r="J1203" s="54" t="s">
        <v>47</v>
      </c>
      <c r="K1203" s="54" t="s">
        <v>4</v>
      </c>
      <c r="L1203" s="55" t="s">
        <v>1</v>
      </c>
      <c r="M1203" s="56" t="s">
        <v>2</v>
      </c>
      <c r="N1203" s="57" t="s">
        <v>48</v>
      </c>
      <c r="O1203" s="53" t="s">
        <v>69</v>
      </c>
      <c r="P1203" s="65" t="s">
        <v>41</v>
      </c>
      <c r="Q1203" s="57" t="s">
        <v>53</v>
      </c>
      <c r="R1203" s="162"/>
      <c r="S1203" s="162"/>
    </row>
    <row r="1204" spans="1:25" ht="18" customHeight="1">
      <c r="A1204" s="7">
        <v>1</v>
      </c>
      <c r="B1204" s="7">
        <v>2</v>
      </c>
      <c r="C1204" s="7">
        <v>3</v>
      </c>
      <c r="D1204" s="7">
        <v>4</v>
      </c>
      <c r="E1204" s="7">
        <v>5</v>
      </c>
      <c r="F1204" s="7">
        <v>6</v>
      </c>
      <c r="G1204" s="7">
        <v>7</v>
      </c>
      <c r="H1204" s="7">
        <v>8</v>
      </c>
      <c r="I1204" s="7">
        <v>9</v>
      </c>
      <c r="J1204" s="7">
        <v>10</v>
      </c>
      <c r="K1204" s="7">
        <v>11</v>
      </c>
      <c r="L1204" s="7">
        <v>12</v>
      </c>
      <c r="M1204" s="7">
        <v>13</v>
      </c>
      <c r="N1204" s="7">
        <v>14</v>
      </c>
      <c r="O1204" s="7">
        <v>15</v>
      </c>
      <c r="P1204" s="7">
        <v>17</v>
      </c>
      <c r="Q1204" s="7">
        <v>18</v>
      </c>
      <c r="R1204" s="7">
        <v>19</v>
      </c>
      <c r="S1204" s="7">
        <v>20</v>
      </c>
    </row>
    <row r="1205" spans="1:25" ht="21" customHeight="1">
      <c r="A1205" s="8">
        <v>1</v>
      </c>
      <c r="B1205" s="23">
        <v>44562</v>
      </c>
      <c r="C1205" s="9" t="str">
        <f>IF(ISNA(VLOOKUP(Y1200,Master!A$8:N$127,5,FALSE)),"",VLOOKUP(Y1200,Master!A$8:AH$127,5,FALSE))</f>
        <v/>
      </c>
      <c r="D1205" s="9" t="str">
        <f>IF(AND(C1205=""),"",IF(AND(Y1200=""),"",ROUND(C1205*Master!C$5%,0)))</f>
        <v/>
      </c>
      <c r="E1205" s="9" t="str">
        <f>IF(AND(C1205=""),"",IF(AND(Y1200=""),"",ROUND(C1205*Master!H$5%,0)))</f>
        <v/>
      </c>
      <c r="F1205" s="9" t="str">
        <f t="shared" ref="F1205" si="1500">IF(AND(C1205=""),"",SUM(C1205:E1205))</f>
        <v/>
      </c>
      <c r="G1205" s="9" t="str">
        <f>IF(ISNA(VLOOKUP(Y1200,Master!A$8:N$127,5,FALSE)),"",VLOOKUP(Y1200,Master!A$8:AH$127,5,FALSE))</f>
        <v/>
      </c>
      <c r="H1205" s="9" t="str">
        <f>IF(AND(G1205=""),"",IF(AND(Y1200=""),"",ROUND(G1205*Master!C$4%,0)))</f>
        <v/>
      </c>
      <c r="I1205" s="9" t="str">
        <f>IF(AND(G1205=""),"",IF(AND(Y1200=""),"",ROUND(G1205*Master!H$4%,0)))</f>
        <v/>
      </c>
      <c r="J1205" s="9" t="str">
        <f t="shared" ref="J1205:J1206" si="1501">IF(AND(C1205=""),"",SUM(G1205:I1205))</f>
        <v/>
      </c>
      <c r="K1205" s="9" t="str">
        <f t="shared" ref="K1205:K1207" si="1502">IF(AND(C1205=""),"",IF(AND(G1205=""),"",C1205-G1205))</f>
        <v/>
      </c>
      <c r="L1205" s="9" t="str">
        <f t="shared" ref="L1205:L1207" si="1503">IF(AND(D1205=""),"",IF(AND(H1205=""),"",D1205-H1205))</f>
        <v/>
      </c>
      <c r="M1205" s="9" t="str">
        <f t="shared" ref="M1205:M1206" si="1504">IF(AND(E1205=""),"",IF(AND(I1205=""),"",E1205-I1205))</f>
        <v/>
      </c>
      <c r="N1205" s="9" t="str">
        <f t="shared" ref="N1205:N1206" si="1505">IF(AND(F1205=""),"",IF(AND(J1205=""),"",F1205-J1205))</f>
        <v/>
      </c>
      <c r="O1205" s="9" t="str">
        <f>IF(AND(C1205=""),"",N1205-P1205)</f>
        <v/>
      </c>
      <c r="P1205" s="9" t="str">
        <f>IF(AND(Y1200=""),"",IF(AND(N1205=""),"",ROUND(N1205*AA$1%,0)))</f>
        <v/>
      </c>
      <c r="Q1205" s="9" t="str">
        <f>IF(AND(Y1200=""),"",IF(AND(C1205=""),"",IF(AND(O1205=""),"",SUM(O1205,P1205))))</f>
        <v/>
      </c>
      <c r="R1205" s="9" t="str">
        <f>IF(AND(N1205=""),"",IF(AND(Q1205=""),"",N1205-Q1205))</f>
        <v/>
      </c>
      <c r="S1205" s="20"/>
    </row>
    <row r="1206" spans="1:25" ht="21" customHeight="1">
      <c r="A1206" s="8">
        <v>2</v>
      </c>
      <c r="B1206" s="23">
        <v>44593</v>
      </c>
      <c r="C1206" s="9" t="str">
        <f>IF(AND(Y1200=""),"",C1205)</f>
        <v/>
      </c>
      <c r="D1206" s="9" t="str">
        <f>IF(AND(C1206=""),"",IF(AND(Y1200=""),"",ROUND(C1206*Master!C$5%,0)))</f>
        <v/>
      </c>
      <c r="E1206" s="9" t="str">
        <f>IF(AND(C1206=""),"",IF(AND(Y1200=""),"",ROUND(C1206*Master!H$5%,0)))</f>
        <v/>
      </c>
      <c r="F1206" s="9" t="str">
        <f>IF(AND(C1206=""),"",SUM(C1206:E1206))</f>
        <v/>
      </c>
      <c r="G1206" s="9" t="str">
        <f>IF(AND(Y1200=""),"",G1205)</f>
        <v/>
      </c>
      <c r="H1206" s="9" t="str">
        <f>IF(AND(G1206=""),"",IF(AND(Y1200=""),"",ROUND(G1206*Master!C$4%,0)))</f>
        <v/>
      </c>
      <c r="I1206" s="9" t="str">
        <f>IF(AND(G1206=""),"",IF(AND(Y1200=""),"",ROUND(G1206*Master!H$4%,0)))</f>
        <v/>
      </c>
      <c r="J1206" s="9" t="str">
        <f t="shared" si="1501"/>
        <v/>
      </c>
      <c r="K1206" s="9" t="str">
        <f t="shared" si="1502"/>
        <v/>
      </c>
      <c r="L1206" s="9" t="str">
        <f t="shared" si="1503"/>
        <v/>
      </c>
      <c r="M1206" s="9" t="str">
        <f t="shared" si="1504"/>
        <v/>
      </c>
      <c r="N1206" s="9" t="str">
        <f t="shared" si="1505"/>
        <v/>
      </c>
      <c r="O1206" s="9" t="str">
        <f t="shared" ref="O1206:O1207" si="1506">IF(AND(C1206=""),"",N1206-P1206)</f>
        <v/>
      </c>
      <c r="P1206" s="9" t="str">
        <f>IF(AND(Y1200=""),"",IF(AND(N1206=""),"",ROUND(N1206*AA$1%,0)))</f>
        <v/>
      </c>
      <c r="Q1206" s="9" t="str">
        <f>IF(AND(Y1200=""),"",IF(AND(C1206=""),"",IF(AND(O1206=""),"",SUM(O1206,P1206))))</f>
        <v/>
      </c>
      <c r="R1206" s="9" t="str">
        <f t="shared" ref="R1206:R1207" si="1507">IF(AND(N1206=""),"",IF(AND(Q1206=""),"",N1206-Q1206))</f>
        <v/>
      </c>
      <c r="S1206" s="20"/>
    </row>
    <row r="1207" spans="1:25" ht="21" customHeight="1">
      <c r="A1207" s="8">
        <v>3</v>
      </c>
      <c r="B1207" s="23">
        <v>44621</v>
      </c>
      <c r="C1207" s="9" t="str">
        <f>IF(AND(Y1200=""),"",C1206)</f>
        <v/>
      </c>
      <c r="D1207" s="9" t="str">
        <f>IF(AND(C1207=""),"",IF(AND(Y1200=""),"",ROUND(C1207*Master!C$5%,0)))</f>
        <v/>
      </c>
      <c r="E1207" s="9" t="str">
        <f>IF(AND(C1207=""),"",IF(AND(Y1200=""),"",ROUND(C1207*Master!H$5%,0)))</f>
        <v/>
      </c>
      <c r="F1207" s="9" t="str">
        <f t="shared" ref="F1207" si="1508">IF(AND(C1207=""),"",SUM(C1207:E1207))</f>
        <v/>
      </c>
      <c r="G1207" s="9" t="str">
        <f>IF(AND(Y1200=""),"",G1206)</f>
        <v/>
      </c>
      <c r="H1207" s="9" t="str">
        <f>IF(AND(G1207=""),"",IF(AND(Y1200=""),"",ROUND(G1207*Master!C$4%,0)))</f>
        <v/>
      </c>
      <c r="I1207" s="9" t="str">
        <f>IF(AND(G1207=""),"",IF(AND(Y1200=""),"",ROUND(G1207*Master!H$4%,0)))</f>
        <v/>
      </c>
      <c r="J1207" s="9" t="str">
        <f>IF(AND(C1207=""),"",SUM(G1207:I1207))</f>
        <v/>
      </c>
      <c r="K1207" s="9" t="str">
        <f t="shared" si="1502"/>
        <v/>
      </c>
      <c r="L1207" s="9" t="str">
        <f t="shared" si="1503"/>
        <v/>
      </c>
      <c r="M1207" s="9" t="str">
        <f>IF(AND(E1207=""),"",IF(AND(I1207=""),"",E1207-I1207))</f>
        <v/>
      </c>
      <c r="N1207" s="9" t="str">
        <f>IF(AND(F1207=""),"",IF(AND(J1207=""),"",F1207-J1207))</f>
        <v/>
      </c>
      <c r="O1207" s="9" t="str">
        <f t="shared" si="1506"/>
        <v/>
      </c>
      <c r="P1207" s="9" t="str">
        <f>IF(AND(Y1200=""),"",IF(AND(N1207=""),"",ROUND(N1207*AA$1%,0)))</f>
        <v/>
      </c>
      <c r="Q1207" s="9" t="str">
        <f>IF(AND(Y1200=""),"",IF(AND(C1207=""),"",IF(AND(O1207=""),"",SUM(O1207,P1207))))</f>
        <v/>
      </c>
      <c r="R1207" s="9" t="str">
        <f t="shared" si="1507"/>
        <v/>
      </c>
      <c r="S1207" s="20"/>
    </row>
    <row r="1208" spans="1:25" ht="23.25" customHeight="1">
      <c r="A1208" s="153" t="s">
        <v>9</v>
      </c>
      <c r="B1208" s="154"/>
      <c r="C1208" s="63">
        <f>IF(AND(Y1200=""),"",SUM(C1205:C1207))</f>
        <v>0</v>
      </c>
      <c r="D1208" s="63">
        <f>IF(AND(Y1200=""),"",SUM(D1205:D1207))</f>
        <v>0</v>
      </c>
      <c r="E1208" s="63">
        <f>IF(AND(Y1200=""),"",SUM(E1205:E1207))</f>
        <v>0</v>
      </c>
      <c r="F1208" s="63">
        <f>IF(AND(Y1200=""),"",SUM(F1205:F1207))</f>
        <v>0</v>
      </c>
      <c r="G1208" s="63">
        <f>IF(AND(Y1200=""),"",SUM(G1205:G1207))</f>
        <v>0</v>
      </c>
      <c r="H1208" s="63">
        <f>IF(AND(Y1200=""),"",SUM(H1205:H1207))</f>
        <v>0</v>
      </c>
      <c r="I1208" s="63">
        <f>IF(AND(Y1200=""),"",SUM(I1205:I1207))</f>
        <v>0</v>
      </c>
      <c r="J1208" s="63">
        <f>IF(AND(Y1200=""),"",SUM(J1205:J1207))</f>
        <v>0</v>
      </c>
      <c r="K1208" s="63">
        <f>IF(AND(Y1200=""),"",SUM(K1205:K1207))</f>
        <v>0</v>
      </c>
      <c r="L1208" s="63">
        <f>IF(AND(Y1200=""),"",SUM(L1205:L1207))</f>
        <v>0</v>
      </c>
      <c r="M1208" s="63">
        <f>IF(AND(Y1200=""),"",SUM(M1205:M1207))</f>
        <v>0</v>
      </c>
      <c r="N1208" s="63">
        <f>IF(AND(Y1200=""),"",SUM(N1205:N1207))</f>
        <v>0</v>
      </c>
      <c r="O1208" s="63">
        <f>IF(AND(Y1200=""),"",SUM(O1205:O1207))</f>
        <v>0</v>
      </c>
      <c r="P1208" s="63">
        <f>IF(AND(Y1200=""),"",SUM(P1205:P1207))</f>
        <v>0</v>
      </c>
      <c r="Q1208" s="63">
        <f>IF(AND(Y1200=""),"",SUM(Q1205:Q1207))</f>
        <v>0</v>
      </c>
      <c r="R1208" s="63">
        <f>IF(AND(Y1200=""),"",SUM(R1205:R1207))</f>
        <v>0</v>
      </c>
      <c r="S1208" s="49"/>
    </row>
    <row r="1209" spans="1:25" ht="10.5" customHeight="1">
      <c r="A1209" s="73"/>
      <c r="B1209" s="73"/>
      <c r="C1209" s="74"/>
      <c r="D1209" s="74"/>
      <c r="E1209" s="74"/>
      <c r="F1209" s="74"/>
      <c r="G1209" s="74"/>
      <c r="H1209" s="74"/>
      <c r="I1209" s="74"/>
      <c r="J1209" s="74"/>
      <c r="K1209" s="74"/>
      <c r="L1209" s="74"/>
      <c r="M1209" s="74"/>
      <c r="N1209" s="74"/>
      <c r="O1209" s="74"/>
      <c r="P1209" s="74"/>
      <c r="Q1209" s="74"/>
      <c r="R1209" s="74"/>
      <c r="S1209" s="75"/>
    </row>
    <row r="1210" spans="1:25" ht="23.25" customHeight="1">
      <c r="E1210" s="133" t="s">
        <v>10</v>
      </c>
      <c r="F1210" s="133"/>
      <c r="G1210" s="133"/>
      <c r="H1210" s="133"/>
      <c r="I1210" s="133"/>
      <c r="J1210" s="132" t="str">
        <f>IF(ISNA(VLOOKUP(Y1212,Master!A$8:N$127,2,FALSE)),"",VLOOKUP(Y1212,Master!A$8:AH$127,2,FALSE))</f>
        <v/>
      </c>
      <c r="K1210" s="132"/>
      <c r="L1210" s="132"/>
      <c r="M1210" s="132"/>
      <c r="N1210" s="132"/>
      <c r="O1210" s="60" t="s">
        <v>31</v>
      </c>
      <c r="P1210" s="132" t="str">
        <f>IF(ISNA(VLOOKUP(Y1212,Master!A$8:N$127,3,FALSE)),"",VLOOKUP(Y1212,Master!A$8:AH$127,3,FALSE))</f>
        <v/>
      </c>
      <c r="Q1210" s="132"/>
      <c r="R1210" s="132"/>
      <c r="S1210" s="132"/>
    </row>
    <row r="1211" spans="1:25" ht="9" customHeight="1">
      <c r="E1211" s="19"/>
      <c r="F1211" s="52"/>
      <c r="G1211" s="22"/>
      <c r="H1211" s="22"/>
      <c r="I1211" s="22"/>
      <c r="J1211" s="5"/>
      <c r="K1211" s="5"/>
      <c r="L1211" s="5"/>
      <c r="M1211" s="5"/>
      <c r="N1211" s="5"/>
      <c r="O1211" s="6"/>
      <c r="P1211" s="6"/>
    </row>
    <row r="1212" spans="1:25" ht="21" customHeight="1">
      <c r="A1212" s="8">
        <v>1</v>
      </c>
      <c r="B1212" s="23">
        <v>44562</v>
      </c>
      <c r="C1212" s="9" t="str">
        <f>IF(ISNA(VLOOKUP(Y1212,Master!A$8:N$127,5,FALSE)),"",VLOOKUP(Y1212,Master!A$8:AH$127,5,FALSE))</f>
        <v/>
      </c>
      <c r="D1212" s="9" t="str">
        <f>IF(AND(C1212=""),"",IF(AND(Y1212=""),"",ROUND(C1212*Master!C$5%,0)))</f>
        <v/>
      </c>
      <c r="E1212" s="9" t="str">
        <f>IF(AND(C1212=""),"",IF(AND(Y1212=""),"",ROUND(C1212*Master!H$5%,0)))</f>
        <v/>
      </c>
      <c r="F1212" s="9" t="str">
        <f t="shared" ref="F1212:F1213" si="1509">IF(AND(C1212=""),"",SUM(C1212:E1212))</f>
        <v/>
      </c>
      <c r="G1212" s="9" t="str">
        <f>IF(ISNA(VLOOKUP(Y1212,Master!A$8:N$127,5,FALSE)),"",VLOOKUP(Y1212,Master!A$8:AH$127,5,FALSE))</f>
        <v/>
      </c>
      <c r="H1212" s="9" t="str">
        <f>IF(AND(G1212=""),"",IF(AND(Y1212=""),"",ROUND(G1212*Master!C$4%,0)))</f>
        <v/>
      </c>
      <c r="I1212" s="9" t="str">
        <f>IF(AND(G1212=""),"",IF(AND(Y1212=""),"",ROUND(G1212*Master!H$4%,0)))</f>
        <v/>
      </c>
      <c r="J1212" s="9" t="str">
        <f t="shared" ref="J1212:J1214" si="1510">IF(AND(C1212=""),"",SUM(G1212:I1212))</f>
        <v/>
      </c>
      <c r="K1212" s="9" t="str">
        <f t="shared" ref="K1212" si="1511">IF(AND(C1212=""),"",IF(AND(G1212=""),"",C1212-G1212))</f>
        <v/>
      </c>
      <c r="L1212" s="9" t="str">
        <f>IF(AND(D1212=""),"",IF(AND(H1212=""),"",D1212-H1212))</f>
        <v/>
      </c>
      <c r="M1212" s="9" t="str">
        <f t="shared" ref="M1212:M1214" si="1512">IF(AND(E1212=""),"",IF(AND(I1212=""),"",E1212-I1212))</f>
        <v/>
      </c>
      <c r="N1212" s="9" t="str">
        <f t="shared" ref="N1212" si="1513">IF(AND(F1212=""),"",IF(AND(J1212=""),"",F1212-J1212))</f>
        <v/>
      </c>
      <c r="O1212" s="9" t="str">
        <f>IF(AND(C1212=""),"",N1212-P1212)</f>
        <v/>
      </c>
      <c r="P1212" s="9" t="str">
        <f>IF(AND(Y1212=""),"",IF(AND(N1212=""),"",ROUND(N1212*X$17%,0)))</f>
        <v/>
      </c>
      <c r="Q1212" s="9" t="str">
        <f>IF(AND(Y1212=""),"",IF(AND(C1212=""),"",IF(AND(O1212=""),"",SUM(O1212,P1212))))</f>
        <v/>
      </c>
      <c r="R1212" s="9" t="str">
        <f>IF(AND(N1212=""),"",IF(AND(Q1212=""),"",N1212-Q1212))</f>
        <v/>
      </c>
      <c r="S1212" s="20"/>
      <c r="X1212" s="61" t="s">
        <v>49</v>
      </c>
      <c r="Y1212" s="64">
        <v>101</v>
      </c>
    </row>
    <row r="1213" spans="1:25" ht="21" customHeight="1">
      <c r="A1213" s="8">
        <v>2</v>
      </c>
      <c r="B1213" s="23">
        <v>44593</v>
      </c>
      <c r="C1213" s="9" t="str">
        <f>IF(AND(Y1212=""),"",C1212)</f>
        <v/>
      </c>
      <c r="D1213" s="9" t="str">
        <f>IF(AND(C1213=""),"",IF(AND(Y1212=""),"",ROUND(C1213*Master!C$5%,0)))</f>
        <v/>
      </c>
      <c r="E1213" s="9" t="str">
        <f>IF(AND(C1213=""),"",IF(AND(Y1212=""),"",ROUND(C1213*Master!H$5%,0)))</f>
        <v/>
      </c>
      <c r="F1213" s="9" t="str">
        <f t="shared" si="1509"/>
        <v/>
      </c>
      <c r="G1213" s="9" t="str">
        <f>IF(AND(Y1212=""),"",G1212)</f>
        <v/>
      </c>
      <c r="H1213" s="9" t="str">
        <f>IF(AND(G1213=""),"",IF(AND(Y1212=""),"",ROUND(G1213*Master!C$4%,0)))</f>
        <v/>
      </c>
      <c r="I1213" s="9" t="str">
        <f>IF(AND(G1213=""),"",IF(AND(Y1212=""),"",ROUND(G1213*Master!H$4%,0)))</f>
        <v/>
      </c>
      <c r="J1213" s="9" t="str">
        <f t="shared" si="1510"/>
        <v/>
      </c>
      <c r="K1213" s="9" t="str">
        <f>IF(AND(C1213=""),"",IF(AND(G1213=""),"",C1213-G1213))</f>
        <v/>
      </c>
      <c r="L1213" s="9" t="str">
        <f t="shared" ref="L1213:L1214" si="1514">IF(AND(D1213=""),"",IF(AND(H1213=""),"",D1213-H1213))</f>
        <v/>
      </c>
      <c r="M1213" s="9" t="str">
        <f t="shared" si="1512"/>
        <v/>
      </c>
      <c r="N1213" s="9" t="str">
        <f>IF(AND(F1213=""),"",IF(AND(J1213=""),"",F1213-J1213))</f>
        <v/>
      </c>
      <c r="O1213" s="9" t="str">
        <f t="shared" ref="O1213:O1214" si="1515">IF(AND(C1213=""),"",N1213-P1213)</f>
        <v/>
      </c>
      <c r="P1213" s="9" t="str">
        <f>IF(AND(Y1212=""),"",IF(AND(N1213=""),"",ROUND(N1213*X$17%,0)))</f>
        <v/>
      </c>
      <c r="Q1213" s="9" t="str">
        <f>IF(AND(Y1212=""),"",IF(AND(C1213=""),"",IF(AND(O1213=""),"",SUM(O1213,P1213))))</f>
        <v/>
      </c>
      <c r="R1213" s="9" t="str">
        <f t="shared" ref="R1213:R1214" si="1516">IF(AND(N1213=""),"",IF(AND(Q1213=""),"",N1213-Q1213))</f>
        <v/>
      </c>
      <c r="S1213" s="20"/>
      <c r="X1213" s="4" t="str">
        <f>IF(ISNA(VLOOKUP(Y1212,Master!A$8:N$127,7,FALSE)),"",VLOOKUP(Y1212,Master!A$8:AH$127,7,FALSE))</f>
        <v/>
      </c>
    </row>
    <row r="1214" spans="1:25" ht="21" customHeight="1">
      <c r="A1214" s="8">
        <v>3</v>
      </c>
      <c r="B1214" s="23">
        <v>44621</v>
      </c>
      <c r="C1214" s="9" t="str">
        <f>IF(AND(Y1212=""),"",C1213)</f>
        <v/>
      </c>
      <c r="D1214" s="9" t="str">
        <f>IF(AND(C1214=""),"",IF(AND(Y1212=""),"",ROUND(C1214*Master!C$5%,0)))</f>
        <v/>
      </c>
      <c r="E1214" s="9" t="str">
        <f>IF(AND(C1214=""),"",IF(AND(Y1212=""),"",ROUND(C1214*Master!H$5%,0)))</f>
        <v/>
      </c>
      <c r="F1214" s="9" t="str">
        <f>IF(AND(C1214=""),"",SUM(C1214:E1214))</f>
        <v/>
      </c>
      <c r="G1214" s="9" t="str">
        <f>IF(AND(Y1212=""),"",G1213)</f>
        <v/>
      </c>
      <c r="H1214" s="9" t="str">
        <f>IF(AND(G1214=""),"",IF(AND(Y1212=""),"",ROUND(G1214*Master!C$4%,0)))</f>
        <v/>
      </c>
      <c r="I1214" s="9" t="str">
        <f>IF(AND(G1214=""),"",IF(AND(Y1212=""),"",ROUND(G1214*Master!H$4%,0)))</f>
        <v/>
      </c>
      <c r="J1214" s="9" t="str">
        <f t="shared" si="1510"/>
        <v/>
      </c>
      <c r="K1214" s="9" t="str">
        <f t="shared" ref="K1214" si="1517">IF(AND(C1214=""),"",IF(AND(G1214=""),"",C1214-G1214))</f>
        <v/>
      </c>
      <c r="L1214" s="9" t="str">
        <f t="shared" si="1514"/>
        <v/>
      </c>
      <c r="M1214" s="9" t="str">
        <f t="shared" si="1512"/>
        <v/>
      </c>
      <c r="N1214" s="9" t="str">
        <f t="shared" ref="N1214" si="1518">IF(AND(F1214=""),"",IF(AND(J1214=""),"",F1214-J1214))</f>
        <v/>
      </c>
      <c r="O1214" s="9" t="str">
        <f t="shared" si="1515"/>
        <v/>
      </c>
      <c r="P1214" s="9" t="str">
        <f>IF(AND(Y1212=""),"",IF(AND(N1214=""),"",ROUND(N1214*X$17%,0)))</f>
        <v/>
      </c>
      <c r="Q1214" s="9" t="str">
        <f>IF(AND(Y1212=""),"",IF(AND(C1214=""),"",IF(AND(O1214=""),"",SUM(O1214,P1214))))</f>
        <v/>
      </c>
      <c r="R1214" s="9" t="str">
        <f t="shared" si="1516"/>
        <v/>
      </c>
      <c r="S1214" s="20"/>
    </row>
    <row r="1215" spans="1:25" ht="30.75" customHeight="1">
      <c r="A1215" s="153" t="s">
        <v>9</v>
      </c>
      <c r="B1215" s="154"/>
      <c r="C1215" s="63">
        <f>IF(AND(Y1212=""),"",SUM(C1212:C1214))</f>
        <v>0</v>
      </c>
      <c r="D1215" s="63">
        <f>IF(AND(Y1212=""),"",SUM(D1212:D1214))</f>
        <v>0</v>
      </c>
      <c r="E1215" s="63">
        <f>IF(AND(Y1212=""),"",SUM(E1212:E1214))</f>
        <v>0</v>
      </c>
      <c r="F1215" s="63">
        <f>IF(AND(Y1212=""),"",SUM(F1212:F1214))</f>
        <v>0</v>
      </c>
      <c r="G1215" s="63">
        <f>IF(AND(Y1212=""),"",SUM(G1212:G1214))</f>
        <v>0</v>
      </c>
      <c r="H1215" s="63">
        <f>IF(AND(Y1212=""),"",SUM(H1212:H1214))</f>
        <v>0</v>
      </c>
      <c r="I1215" s="63">
        <f>IF(AND(Y1212=""),"",SUM(I1212:I1214))</f>
        <v>0</v>
      </c>
      <c r="J1215" s="63">
        <f>IF(AND(Y1212=""),"",SUM(J1212:J1214))</f>
        <v>0</v>
      </c>
      <c r="K1215" s="63">
        <f>IF(AND(Y1212=""),"",SUM(K1212:K1214))</f>
        <v>0</v>
      </c>
      <c r="L1215" s="63">
        <f>IF(AND(Y1212=""),"",SUM(L1212:L1214))</f>
        <v>0</v>
      </c>
      <c r="M1215" s="63">
        <f>IF(AND(Y1212=""),"",SUM(M1212:M1214))</f>
        <v>0</v>
      </c>
      <c r="N1215" s="63">
        <f>IF(AND(Y1212=""),"",SUM(N1212:N1214))</f>
        <v>0</v>
      </c>
      <c r="O1215" s="63">
        <f>IF(AND(Y1212=""),"",SUM(O1212:O1214))</f>
        <v>0</v>
      </c>
      <c r="P1215" s="63">
        <f>IF(AND(Y1212=""),"",SUM(P1212:P1214))</f>
        <v>0</v>
      </c>
      <c r="Q1215" s="63">
        <f>IF(AND(Y1212=""),"",SUM(Q1212:Q1214))</f>
        <v>0</v>
      </c>
      <c r="R1215" s="63">
        <f>IF(AND(Y1212=""),"",SUM(R1212:R1214))</f>
        <v>0</v>
      </c>
      <c r="S1215" s="49"/>
    </row>
    <row r="1216" spans="1:25" ht="11.25" customHeight="1">
      <c r="A1216" s="73"/>
      <c r="B1216" s="73"/>
      <c r="C1216" s="74"/>
      <c r="D1216" s="74"/>
      <c r="E1216" s="74"/>
      <c r="F1216" s="74"/>
      <c r="G1216" s="74"/>
      <c r="H1216" s="74"/>
      <c r="I1216" s="74"/>
      <c r="J1216" s="74"/>
      <c r="K1216" s="74"/>
      <c r="L1216" s="74"/>
      <c r="M1216" s="74"/>
      <c r="N1216" s="74"/>
      <c r="O1216" s="74"/>
      <c r="P1216" s="74"/>
      <c r="Q1216" s="74"/>
      <c r="R1216" s="74"/>
      <c r="S1216" s="75"/>
    </row>
    <row r="1217" spans="1:25" ht="23.25" customHeight="1">
      <c r="E1217" s="133" t="s">
        <v>10</v>
      </c>
      <c r="F1217" s="133"/>
      <c r="G1217" s="133"/>
      <c r="H1217" s="133"/>
      <c r="I1217" s="133"/>
      <c r="J1217" s="132" t="str">
        <f>IF(ISNA(VLOOKUP(Y1219,Master!A$8:N$127,2,FALSE)),"",VLOOKUP(Y1219,Master!A$8:AH$127,2,FALSE))</f>
        <v/>
      </c>
      <c r="K1217" s="132"/>
      <c r="L1217" s="132"/>
      <c r="M1217" s="132"/>
      <c r="N1217" s="132"/>
      <c r="O1217" s="60" t="s">
        <v>31</v>
      </c>
      <c r="P1217" s="132" t="str">
        <f>IF(ISNA(VLOOKUP($Y$431,Master!A$8:N$127,3,FALSE)),"",VLOOKUP($Y$431,Master!A$8:AH$127,3,FALSE))</f>
        <v/>
      </c>
      <c r="Q1217" s="132"/>
      <c r="R1217" s="132"/>
      <c r="S1217" s="132"/>
    </row>
    <row r="1218" spans="1:25" ht="9" customHeight="1">
      <c r="E1218" s="19"/>
      <c r="F1218" s="52"/>
      <c r="G1218" s="22"/>
      <c r="H1218" s="22"/>
      <c r="I1218" s="22"/>
      <c r="J1218" s="5"/>
      <c r="K1218" s="5"/>
      <c r="L1218" s="5"/>
      <c r="M1218" s="5"/>
      <c r="N1218" s="5"/>
      <c r="O1218" s="6"/>
      <c r="P1218" s="6"/>
    </row>
    <row r="1219" spans="1:25" ht="21" customHeight="1">
      <c r="A1219" s="8">
        <v>1</v>
      </c>
      <c r="B1219" s="23">
        <v>44562</v>
      </c>
      <c r="C1219" s="9" t="str">
        <f>IF(ISNA(VLOOKUP(Y1219,Master!A$8:N$127,5,FALSE)),"",VLOOKUP(Y1219,Master!A$8:AH$127,5,FALSE))</f>
        <v/>
      </c>
      <c r="D1219" s="9" t="str">
        <f>IF(AND(C1219=""),"",IF(AND(Y1219=""),"",ROUND(C1219*Master!C$5%,0)))</f>
        <v/>
      </c>
      <c r="E1219" s="9" t="str">
        <f>IF(AND(C1219=""),"",IF(AND(Y1219=""),"",ROUND(C1219*Master!H$5%,0)))</f>
        <v/>
      </c>
      <c r="F1219" s="9" t="str">
        <f t="shared" ref="F1219:F1221" si="1519">IF(AND(C1219=""),"",SUM(C1219:E1219))</f>
        <v/>
      </c>
      <c r="G1219" s="9" t="str">
        <f>IF(ISNA(VLOOKUP(Y1219,Master!A$8:N$127,5,FALSE)),"",VLOOKUP(Y1219,Master!A$8:AH$127,5,FALSE))</f>
        <v/>
      </c>
      <c r="H1219" s="9" t="str">
        <f>IF(AND(G1219=""),"",IF(AND(Y1219=""),"",ROUND(G1219*Master!C$4%,0)))</f>
        <v/>
      </c>
      <c r="I1219" s="9" t="str">
        <f>IF(AND(G1219=""),"",IF(AND(Y1219=""),"",ROUND(G1219*Master!H$4%,0)))</f>
        <v/>
      </c>
      <c r="J1219" s="9" t="str">
        <f t="shared" ref="J1219:J1221" si="1520">IF(AND(C1219=""),"",SUM(G1219:I1219))</f>
        <v/>
      </c>
      <c r="K1219" s="9" t="str">
        <f t="shared" ref="K1219:K1221" si="1521">IF(AND(C1219=""),"",IF(AND(G1219=""),"",C1219-G1219))</f>
        <v/>
      </c>
      <c r="L1219" s="9" t="str">
        <f t="shared" ref="L1219:L1221" si="1522">IF(AND(D1219=""),"",IF(AND(H1219=""),"",D1219-H1219))</f>
        <v/>
      </c>
      <c r="M1219" s="9" t="str">
        <f t="shared" ref="M1219:M1221" si="1523">IF(AND(E1219=""),"",IF(AND(I1219=""),"",E1219-I1219))</f>
        <v/>
      </c>
      <c r="N1219" s="9" t="str">
        <f t="shared" ref="N1219:N1221" si="1524">IF(AND(F1219=""),"",IF(AND(J1219=""),"",F1219-J1219))</f>
        <v/>
      </c>
      <c r="O1219" s="9" t="str">
        <f>IF(AND(C1219=""),"",N1219-P1219)</f>
        <v/>
      </c>
      <c r="P1219" s="9" t="str">
        <f>IF(AND(Y1219=""),"",IF(AND(N1219=""),"",ROUND(N1219*AA$1%,0)))</f>
        <v/>
      </c>
      <c r="Q1219" s="9" t="str">
        <f>IF(AND(Y1219=""),"",IF(AND(C1219=""),"",IF(AND(O1219=""),"",SUM(O1219,P1219))))</f>
        <v/>
      </c>
      <c r="R1219" s="9" t="str">
        <f>IF(AND(N1219=""),"",IF(AND(Q1219=""),"",N1219-Q1219))</f>
        <v/>
      </c>
      <c r="S1219" s="20"/>
      <c r="X1219" s="61" t="s">
        <v>49</v>
      </c>
      <c r="Y1219" s="64">
        <v>102</v>
      </c>
    </row>
    <row r="1220" spans="1:25" ht="21" customHeight="1">
      <c r="A1220" s="8">
        <v>2</v>
      </c>
      <c r="B1220" s="23">
        <v>44593</v>
      </c>
      <c r="C1220" s="9" t="str">
        <f>IF(AND(Y1219=""),"",C1219)</f>
        <v/>
      </c>
      <c r="D1220" s="9" t="str">
        <f>IF(AND(C1220=""),"",IF(AND(Y1219=""),"",ROUND(C1220*Master!C$5%,0)))</f>
        <v/>
      </c>
      <c r="E1220" s="9" t="str">
        <f>IF(AND(C1220=""),"",IF(AND(Y1219=""),"",ROUND(C1220*Master!H$5%,0)))</f>
        <v/>
      </c>
      <c r="F1220" s="9" t="str">
        <f t="shared" si="1519"/>
        <v/>
      </c>
      <c r="G1220" s="9" t="str">
        <f>IF(AND(Y1219=""),"",G1219)</f>
        <v/>
      </c>
      <c r="H1220" s="9" t="str">
        <f>IF(AND(G1220=""),"",IF(AND(Y1219=""),"",ROUND(G1220*Master!C$4%,0)))</f>
        <v/>
      </c>
      <c r="I1220" s="9" t="str">
        <f>IF(AND(G1220=""),"",IF(AND(Y1219=""),"",ROUND(G1220*Master!H$4%,0)))</f>
        <v/>
      </c>
      <c r="J1220" s="9" t="str">
        <f t="shared" si="1520"/>
        <v/>
      </c>
      <c r="K1220" s="9" t="str">
        <f t="shared" si="1521"/>
        <v/>
      </c>
      <c r="L1220" s="9" t="str">
        <f t="shared" si="1522"/>
        <v/>
      </c>
      <c r="M1220" s="9" t="str">
        <f t="shared" si="1523"/>
        <v/>
      </c>
      <c r="N1220" s="9" t="str">
        <f t="shared" si="1524"/>
        <v/>
      </c>
      <c r="O1220" s="9" t="str">
        <f t="shared" ref="O1220:O1221" si="1525">IF(AND(C1220=""),"",N1220-P1220)</f>
        <v/>
      </c>
      <c r="P1220" s="9" t="str">
        <f>IF(AND(Y1219=""),"",IF(AND(N1220=""),"",ROUND(N1220*AA$1%,0)))</f>
        <v/>
      </c>
      <c r="Q1220" s="9" t="str">
        <f>IF(AND(Y1219=""),"",IF(AND(C1220=""),"",IF(AND(O1220=""),"",SUM(O1220,P1220))))</f>
        <v/>
      </c>
      <c r="R1220" s="9" t="str">
        <f t="shared" ref="R1220:R1221" si="1526">IF(AND(N1220=""),"",IF(AND(Q1220=""),"",N1220-Q1220))</f>
        <v/>
      </c>
      <c r="S1220" s="20"/>
      <c r="X1220" s="4" t="str">
        <f>IF(ISNA(VLOOKUP(Y1219,Master!A$8:N$127,7,FALSE)),"",VLOOKUP(Y1219,Master!A$8:AH$127,7,FALSE))</f>
        <v/>
      </c>
    </row>
    <row r="1221" spans="1:25" ht="21" customHeight="1">
      <c r="A1221" s="8">
        <v>3</v>
      </c>
      <c r="B1221" s="23">
        <v>44621</v>
      </c>
      <c r="C1221" s="9" t="str">
        <f>IF(AND(Y1219=""),"",C1220)</f>
        <v/>
      </c>
      <c r="D1221" s="9" t="str">
        <f>IF(AND(C1221=""),"",IF(AND(Y1219=""),"",ROUND(C1221*Master!C$5%,0)))</f>
        <v/>
      </c>
      <c r="E1221" s="9" t="str">
        <f>IF(AND(C1221=""),"",IF(AND(Y1219=""),"",ROUND(C1221*Master!H$5%,0)))</f>
        <v/>
      </c>
      <c r="F1221" s="9" t="str">
        <f t="shared" si="1519"/>
        <v/>
      </c>
      <c r="G1221" s="9" t="str">
        <f>IF(AND(Y1219=""),"",G1220)</f>
        <v/>
      </c>
      <c r="H1221" s="9" t="str">
        <f>IF(AND(G1221=""),"",IF(AND(Y1219=""),"",ROUND(G1221*Master!C$4%,0)))</f>
        <v/>
      </c>
      <c r="I1221" s="9" t="str">
        <f>IF(AND(G1221=""),"",IF(AND(Y1219=""),"",ROUND(G1221*Master!H$4%,0)))</f>
        <v/>
      </c>
      <c r="J1221" s="9" t="str">
        <f t="shared" si="1520"/>
        <v/>
      </c>
      <c r="K1221" s="9" t="str">
        <f t="shared" si="1521"/>
        <v/>
      </c>
      <c r="L1221" s="9" t="str">
        <f t="shared" si="1522"/>
        <v/>
      </c>
      <c r="M1221" s="9" t="str">
        <f t="shared" si="1523"/>
        <v/>
      </c>
      <c r="N1221" s="9" t="str">
        <f t="shared" si="1524"/>
        <v/>
      </c>
      <c r="O1221" s="9" t="str">
        <f t="shared" si="1525"/>
        <v/>
      </c>
      <c r="P1221" s="9" t="str">
        <f>IF(AND(Y1219=""),"",IF(AND(N1221=""),"",ROUND(N1221*AA$1%,0)))</f>
        <v/>
      </c>
      <c r="Q1221" s="9" t="str">
        <f>IF(AND(Y1219=""),"",IF(AND(C1221=""),"",IF(AND(O1221=""),"",SUM(O1221,P1221))))</f>
        <v/>
      </c>
      <c r="R1221" s="9" t="str">
        <f t="shared" si="1526"/>
        <v/>
      </c>
      <c r="S1221" s="20"/>
    </row>
    <row r="1222" spans="1:25" ht="30.75" customHeight="1">
      <c r="A1222" s="153" t="s">
        <v>9</v>
      </c>
      <c r="B1222" s="154"/>
      <c r="C1222" s="63">
        <f>IF(AND(Y1219=""),"",SUM(C1219:C1221))</f>
        <v>0</v>
      </c>
      <c r="D1222" s="63">
        <f>IF(AND(Y1219=""),"",SUM(D1219:D1221))</f>
        <v>0</v>
      </c>
      <c r="E1222" s="63">
        <f>IF(AND(Y1219=""),"",SUM(E1219:E1221))</f>
        <v>0</v>
      </c>
      <c r="F1222" s="63">
        <f>IF(AND(Y1219=""),"",SUM(F1219:F1221))</f>
        <v>0</v>
      </c>
      <c r="G1222" s="63">
        <f>IF(AND(Y1219=""),"",SUM(G1219:G1221))</f>
        <v>0</v>
      </c>
      <c r="H1222" s="63">
        <f>IF(AND(Y1219=""),"",SUM(H1219:H1221))</f>
        <v>0</v>
      </c>
      <c r="I1222" s="63">
        <f>IF(AND(Y1219=""),"",SUM(I1219:I1221))</f>
        <v>0</v>
      </c>
      <c r="J1222" s="63">
        <f>IF(AND(Y1219=""),"",SUM(J1219:J1221))</f>
        <v>0</v>
      </c>
      <c r="K1222" s="63">
        <f>IF(AND(Y1219=""),"",SUM(K1219:K1221))</f>
        <v>0</v>
      </c>
      <c r="L1222" s="63">
        <f>IF(AND(Y1219=""),"",SUM(L1219:L1221))</f>
        <v>0</v>
      </c>
      <c r="M1222" s="63">
        <f>IF(AND(Y1219=""),"",SUM(M1219:M1221))</f>
        <v>0</v>
      </c>
      <c r="N1222" s="63">
        <f>IF(AND(Y1219=""),"",SUM(N1219:N1221))</f>
        <v>0</v>
      </c>
      <c r="O1222" s="63">
        <f>IF(AND(Y1219=""),"",SUM(O1219:O1221))</f>
        <v>0</v>
      </c>
      <c r="P1222" s="63">
        <f>IF(AND(Y1219=""),"",SUM(P1219:P1221))</f>
        <v>0</v>
      </c>
      <c r="Q1222" s="63">
        <f>IF(AND(Y1219=""),"",SUM(Q1219:Q1221))</f>
        <v>0</v>
      </c>
      <c r="R1222" s="63">
        <f>IF(AND(Y1219=""),"",SUM(R1219:R1221))</f>
        <v>0</v>
      </c>
      <c r="S1222" s="49"/>
    </row>
    <row r="1223" spans="1:25" ht="30.75" customHeight="1">
      <c r="A1223" s="73"/>
      <c r="B1223" s="73"/>
      <c r="C1223" s="74"/>
      <c r="D1223" s="74"/>
      <c r="E1223" s="74"/>
      <c r="F1223" s="74"/>
      <c r="G1223" s="74"/>
      <c r="H1223" s="74"/>
      <c r="I1223" s="74"/>
      <c r="J1223" s="74"/>
      <c r="K1223" s="74"/>
      <c r="L1223" s="74"/>
      <c r="M1223" s="74"/>
      <c r="N1223" s="74"/>
      <c r="O1223" s="74"/>
      <c r="P1223" s="74"/>
      <c r="Q1223" s="74"/>
      <c r="R1223" s="74"/>
      <c r="S1223" s="75"/>
    </row>
    <row r="1224" spans="1:25" ht="18.75">
      <c r="A1224" s="21"/>
      <c r="B1224" s="58"/>
      <c r="C1224" s="58"/>
      <c r="D1224" s="58"/>
      <c r="E1224" s="58"/>
      <c r="F1224" s="58"/>
      <c r="G1224" s="58"/>
      <c r="H1224" s="59"/>
      <c r="I1224" s="59"/>
      <c r="J1224" s="59"/>
      <c r="K1224" s="66"/>
      <c r="L1224" s="66"/>
      <c r="M1224" s="66"/>
      <c r="N1224" s="66"/>
      <c r="O1224" s="138" t="s">
        <v>42</v>
      </c>
      <c r="P1224" s="138"/>
      <c r="Q1224" s="138"/>
      <c r="R1224" s="138"/>
      <c r="S1224" s="138"/>
    </row>
    <row r="1225" spans="1:25" ht="18.75">
      <c r="A1225" s="1"/>
      <c r="B1225" s="24" t="s">
        <v>19</v>
      </c>
      <c r="C1225" s="139"/>
      <c r="D1225" s="139"/>
      <c r="E1225" s="139"/>
      <c r="F1225" s="139"/>
      <c r="G1225" s="139"/>
      <c r="H1225" s="25"/>
      <c r="I1225" s="143" t="s">
        <v>20</v>
      </c>
      <c r="J1225" s="143"/>
      <c r="K1225" s="141"/>
      <c r="L1225" s="141"/>
      <c r="M1225" s="141"/>
      <c r="O1225" s="138"/>
      <c r="P1225" s="138"/>
      <c r="Q1225" s="138"/>
      <c r="R1225" s="138"/>
      <c r="S1225" s="138"/>
    </row>
    <row r="1226" spans="1:25" ht="18.75">
      <c r="A1226" s="1"/>
      <c r="B1226" s="140" t="s">
        <v>21</v>
      </c>
      <c r="C1226" s="140"/>
      <c r="D1226" s="140"/>
      <c r="E1226" s="140"/>
      <c r="F1226" s="140"/>
      <c r="G1226" s="140"/>
      <c r="H1226" s="140"/>
      <c r="I1226" s="27"/>
      <c r="J1226" s="26"/>
      <c r="K1226" s="26"/>
      <c r="L1226" s="26"/>
      <c r="M1226" s="26"/>
    </row>
    <row r="1227" spans="1:25" ht="18.75">
      <c r="A1227" s="22">
        <v>1</v>
      </c>
      <c r="B1227" s="142" t="s">
        <v>22</v>
      </c>
      <c r="C1227" s="142"/>
      <c r="D1227" s="142"/>
      <c r="E1227" s="142"/>
      <c r="F1227" s="142"/>
      <c r="G1227" s="142"/>
      <c r="H1227" s="142"/>
      <c r="I1227" s="28"/>
      <c r="J1227" s="26"/>
      <c r="K1227" s="26"/>
      <c r="L1227" s="26"/>
      <c r="M1227" s="26"/>
    </row>
    <row r="1228" spans="1:25" ht="18.75">
      <c r="A1228" s="2">
        <v>2</v>
      </c>
      <c r="B1228" s="142" t="s">
        <v>23</v>
      </c>
      <c r="C1228" s="142"/>
      <c r="D1228" s="142"/>
      <c r="E1228" s="142"/>
      <c r="F1228" s="142"/>
      <c r="G1228" s="132"/>
      <c r="H1228" s="132"/>
      <c r="I1228" s="132"/>
      <c r="J1228" s="132"/>
      <c r="K1228" s="132"/>
      <c r="L1228" s="132"/>
      <c r="M1228" s="132"/>
    </row>
    <row r="1229" spans="1:25" ht="18.75">
      <c r="A1229" s="3">
        <v>3</v>
      </c>
      <c r="B1229" s="142" t="s">
        <v>24</v>
      </c>
      <c r="C1229" s="142"/>
      <c r="D1229" s="142"/>
      <c r="E1229" s="29"/>
      <c r="F1229" s="28"/>
      <c r="G1229" s="28"/>
      <c r="H1229" s="30"/>
      <c r="I1229" s="31"/>
      <c r="J1229" s="26"/>
      <c r="K1229" s="26"/>
      <c r="L1229" s="26"/>
      <c r="M1229" s="26"/>
    </row>
    <row r="1230" spans="1:25" ht="15.75">
      <c r="O1230" s="138" t="s">
        <v>42</v>
      </c>
      <c r="P1230" s="138"/>
      <c r="Q1230" s="138"/>
      <c r="R1230" s="138"/>
      <c r="S1230" s="138"/>
    </row>
  </sheetData>
  <sheetProtection password="DD78" sheet="1" objects="1" scenarios="1" formatColumns="0" formatRows="0"/>
  <mergeCells count="1124">
    <mergeCell ref="B1228:F1228"/>
    <mergeCell ref="G1228:M1228"/>
    <mergeCell ref="B1229:D1229"/>
    <mergeCell ref="O1230:S1230"/>
    <mergeCell ref="C1225:G1225"/>
    <mergeCell ref="I1225:J1225"/>
    <mergeCell ref="K1225:M1225"/>
    <mergeCell ref="O1225:S1225"/>
    <mergeCell ref="B1226:H1226"/>
    <mergeCell ref="B1227:H1227"/>
    <mergeCell ref="A1215:B1215"/>
    <mergeCell ref="E1217:I1217"/>
    <mergeCell ref="J1217:N1217"/>
    <mergeCell ref="P1217:S1217"/>
    <mergeCell ref="A1222:B1222"/>
    <mergeCell ref="O1224:S1224"/>
    <mergeCell ref="O1202:Q1202"/>
    <mergeCell ref="R1202:R1203"/>
    <mergeCell ref="S1202:S1203"/>
    <mergeCell ref="A1208:B1208"/>
    <mergeCell ref="E1210:I1210"/>
    <mergeCell ref="J1210:N1210"/>
    <mergeCell ref="P1210:S1210"/>
    <mergeCell ref="A1198:S1198"/>
    <mergeCell ref="A1199:S1199"/>
    <mergeCell ref="E1200:I1200"/>
    <mergeCell ref="J1200:N1200"/>
    <mergeCell ref="P1200:S1200"/>
    <mergeCell ref="A1202:A1203"/>
    <mergeCell ref="B1202:B1203"/>
    <mergeCell ref="C1202:F1202"/>
    <mergeCell ref="G1202:J1202"/>
    <mergeCell ref="K1202:N1202"/>
    <mergeCell ref="B1192:H1192"/>
    <mergeCell ref="B1193:H1193"/>
    <mergeCell ref="B1194:F1194"/>
    <mergeCell ref="G1194:M1194"/>
    <mergeCell ref="B1195:D1195"/>
    <mergeCell ref="O1196:S1196"/>
    <mergeCell ref="E1183:I1183"/>
    <mergeCell ref="J1183:N1183"/>
    <mergeCell ref="P1183:S1183"/>
    <mergeCell ref="A1188:B1188"/>
    <mergeCell ref="O1190:S1190"/>
    <mergeCell ref="C1191:G1191"/>
    <mergeCell ref="I1191:J1191"/>
    <mergeCell ref="K1191:M1191"/>
    <mergeCell ref="O1191:S1191"/>
    <mergeCell ref="S1168:S1169"/>
    <mergeCell ref="A1174:B1174"/>
    <mergeCell ref="E1176:I1176"/>
    <mergeCell ref="J1176:N1176"/>
    <mergeCell ref="P1176:S1176"/>
    <mergeCell ref="A1181:B1181"/>
    <mergeCell ref="E1166:I1166"/>
    <mergeCell ref="J1166:N1166"/>
    <mergeCell ref="P1166:S1166"/>
    <mergeCell ref="A1168:A1169"/>
    <mergeCell ref="B1168:B1169"/>
    <mergeCell ref="C1168:F1168"/>
    <mergeCell ref="G1168:J1168"/>
    <mergeCell ref="K1168:N1168"/>
    <mergeCell ref="O1168:Q1168"/>
    <mergeCell ref="R1168:R1169"/>
    <mergeCell ref="B1160:F1160"/>
    <mergeCell ref="G1160:M1160"/>
    <mergeCell ref="B1161:D1161"/>
    <mergeCell ref="O1162:S1162"/>
    <mergeCell ref="A1164:S1164"/>
    <mergeCell ref="A1165:S1165"/>
    <mergeCell ref="C1157:G1157"/>
    <mergeCell ref="I1157:J1157"/>
    <mergeCell ref="K1157:M1157"/>
    <mergeCell ref="O1157:S1157"/>
    <mergeCell ref="B1158:H1158"/>
    <mergeCell ref="B1159:H1159"/>
    <mergeCell ref="A1147:B1147"/>
    <mergeCell ref="E1149:I1149"/>
    <mergeCell ref="J1149:N1149"/>
    <mergeCell ref="P1149:S1149"/>
    <mergeCell ref="A1154:B1154"/>
    <mergeCell ref="O1156:S1156"/>
    <mergeCell ref="O1134:Q1134"/>
    <mergeCell ref="R1134:R1135"/>
    <mergeCell ref="S1134:S1135"/>
    <mergeCell ref="A1140:B1140"/>
    <mergeCell ref="E1142:I1142"/>
    <mergeCell ref="J1142:N1142"/>
    <mergeCell ref="P1142:S1142"/>
    <mergeCell ref="A1130:S1130"/>
    <mergeCell ref="A1131:S1131"/>
    <mergeCell ref="E1132:I1132"/>
    <mergeCell ref="J1132:N1132"/>
    <mergeCell ref="P1132:S1132"/>
    <mergeCell ref="A1134:A1135"/>
    <mergeCell ref="B1134:B1135"/>
    <mergeCell ref="C1134:F1134"/>
    <mergeCell ref="G1134:J1134"/>
    <mergeCell ref="K1134:N1134"/>
    <mergeCell ref="B1124:H1124"/>
    <mergeCell ref="B1125:H1125"/>
    <mergeCell ref="B1126:F1126"/>
    <mergeCell ref="G1126:M1126"/>
    <mergeCell ref="B1127:D1127"/>
    <mergeCell ref="O1128:S1128"/>
    <mergeCell ref="E1115:I1115"/>
    <mergeCell ref="J1115:N1115"/>
    <mergeCell ref="P1115:S1115"/>
    <mergeCell ref="A1120:B1120"/>
    <mergeCell ref="O1122:S1122"/>
    <mergeCell ref="C1123:G1123"/>
    <mergeCell ref="I1123:J1123"/>
    <mergeCell ref="K1123:M1123"/>
    <mergeCell ref="O1123:S1123"/>
    <mergeCell ref="S1100:S1101"/>
    <mergeCell ref="A1106:B1106"/>
    <mergeCell ref="E1108:I1108"/>
    <mergeCell ref="J1108:N1108"/>
    <mergeCell ref="P1108:S1108"/>
    <mergeCell ref="A1113:B1113"/>
    <mergeCell ref="E1098:I1098"/>
    <mergeCell ref="J1098:N1098"/>
    <mergeCell ref="P1098:S1098"/>
    <mergeCell ref="A1100:A1101"/>
    <mergeCell ref="B1100:B1101"/>
    <mergeCell ref="C1100:F1100"/>
    <mergeCell ref="G1100:J1100"/>
    <mergeCell ref="K1100:N1100"/>
    <mergeCell ref="O1100:Q1100"/>
    <mergeCell ref="R1100:R1101"/>
    <mergeCell ref="B1092:F1092"/>
    <mergeCell ref="G1092:M1092"/>
    <mergeCell ref="B1093:D1093"/>
    <mergeCell ref="O1094:S1094"/>
    <mergeCell ref="A1096:S1096"/>
    <mergeCell ref="A1097:S1097"/>
    <mergeCell ref="C1089:G1089"/>
    <mergeCell ref="I1089:J1089"/>
    <mergeCell ref="K1089:M1089"/>
    <mergeCell ref="O1089:S1089"/>
    <mergeCell ref="B1090:H1090"/>
    <mergeCell ref="B1091:H1091"/>
    <mergeCell ref="A1079:B1079"/>
    <mergeCell ref="E1081:I1081"/>
    <mergeCell ref="J1081:N1081"/>
    <mergeCell ref="P1081:S1081"/>
    <mergeCell ref="A1086:B1086"/>
    <mergeCell ref="O1088:S1088"/>
    <mergeCell ref="O1066:Q1066"/>
    <mergeCell ref="R1066:R1067"/>
    <mergeCell ref="S1066:S1067"/>
    <mergeCell ref="A1072:B1072"/>
    <mergeCell ref="E1074:I1074"/>
    <mergeCell ref="J1074:N1074"/>
    <mergeCell ref="P1074:S1074"/>
    <mergeCell ref="A1062:S1062"/>
    <mergeCell ref="A1063:S1063"/>
    <mergeCell ref="E1064:I1064"/>
    <mergeCell ref="J1064:N1064"/>
    <mergeCell ref="P1064:S1064"/>
    <mergeCell ref="A1066:A1067"/>
    <mergeCell ref="B1066:B1067"/>
    <mergeCell ref="C1066:F1066"/>
    <mergeCell ref="G1066:J1066"/>
    <mergeCell ref="K1066:N1066"/>
    <mergeCell ref="B1056:H1056"/>
    <mergeCell ref="B1057:H1057"/>
    <mergeCell ref="B1058:F1058"/>
    <mergeCell ref="G1058:M1058"/>
    <mergeCell ref="B1059:D1059"/>
    <mergeCell ref="O1060:S1060"/>
    <mergeCell ref="E1047:I1047"/>
    <mergeCell ref="J1047:N1047"/>
    <mergeCell ref="P1047:S1047"/>
    <mergeCell ref="A1052:B1052"/>
    <mergeCell ref="O1054:S1054"/>
    <mergeCell ref="C1055:G1055"/>
    <mergeCell ref="I1055:J1055"/>
    <mergeCell ref="K1055:M1055"/>
    <mergeCell ref="O1055:S1055"/>
    <mergeCell ref="S1032:S1033"/>
    <mergeCell ref="A1038:B1038"/>
    <mergeCell ref="E1040:I1040"/>
    <mergeCell ref="J1040:N1040"/>
    <mergeCell ref="P1040:S1040"/>
    <mergeCell ref="A1045:B1045"/>
    <mergeCell ref="E1030:I1030"/>
    <mergeCell ref="J1030:N1030"/>
    <mergeCell ref="P1030:S1030"/>
    <mergeCell ref="A1032:A1033"/>
    <mergeCell ref="B1032:B1033"/>
    <mergeCell ref="C1032:F1032"/>
    <mergeCell ref="G1032:J1032"/>
    <mergeCell ref="K1032:N1032"/>
    <mergeCell ref="O1032:Q1032"/>
    <mergeCell ref="R1032:R1033"/>
    <mergeCell ref="B1024:F1024"/>
    <mergeCell ref="G1024:M1024"/>
    <mergeCell ref="B1025:D1025"/>
    <mergeCell ref="O1026:S1026"/>
    <mergeCell ref="A1028:S1028"/>
    <mergeCell ref="A1029:S1029"/>
    <mergeCell ref="C1021:G1021"/>
    <mergeCell ref="I1021:J1021"/>
    <mergeCell ref="K1021:M1021"/>
    <mergeCell ref="O1021:S1021"/>
    <mergeCell ref="B1022:H1022"/>
    <mergeCell ref="B1023:H1023"/>
    <mergeCell ref="A1011:B1011"/>
    <mergeCell ref="E1013:I1013"/>
    <mergeCell ref="J1013:N1013"/>
    <mergeCell ref="P1013:S1013"/>
    <mergeCell ref="A1018:B1018"/>
    <mergeCell ref="O1020:S1020"/>
    <mergeCell ref="O998:Q998"/>
    <mergeCell ref="R998:R999"/>
    <mergeCell ref="S998:S999"/>
    <mergeCell ref="A1004:B1004"/>
    <mergeCell ref="E1006:I1006"/>
    <mergeCell ref="J1006:N1006"/>
    <mergeCell ref="P1006:S1006"/>
    <mergeCell ref="A994:S994"/>
    <mergeCell ref="A995:S995"/>
    <mergeCell ref="E996:I996"/>
    <mergeCell ref="J996:N996"/>
    <mergeCell ref="P996:S996"/>
    <mergeCell ref="A998:A999"/>
    <mergeCell ref="B998:B999"/>
    <mergeCell ref="C998:F998"/>
    <mergeCell ref="G998:J998"/>
    <mergeCell ref="K998:N998"/>
    <mergeCell ref="B988:H988"/>
    <mergeCell ref="B989:H989"/>
    <mergeCell ref="B990:F990"/>
    <mergeCell ref="G990:M990"/>
    <mergeCell ref="B991:D991"/>
    <mergeCell ref="O992:S992"/>
    <mergeCell ref="E979:I979"/>
    <mergeCell ref="J979:N979"/>
    <mergeCell ref="P979:S979"/>
    <mergeCell ref="A984:B984"/>
    <mergeCell ref="O986:S986"/>
    <mergeCell ref="C987:G987"/>
    <mergeCell ref="I987:J987"/>
    <mergeCell ref="K987:M987"/>
    <mergeCell ref="O987:S987"/>
    <mergeCell ref="S964:S965"/>
    <mergeCell ref="A970:B970"/>
    <mergeCell ref="E972:I972"/>
    <mergeCell ref="J972:N972"/>
    <mergeCell ref="P972:S972"/>
    <mergeCell ref="A977:B977"/>
    <mergeCell ref="E962:I962"/>
    <mergeCell ref="J962:N962"/>
    <mergeCell ref="P962:S962"/>
    <mergeCell ref="A964:A965"/>
    <mergeCell ref="B964:B965"/>
    <mergeCell ref="C964:F964"/>
    <mergeCell ref="G964:J964"/>
    <mergeCell ref="K964:N964"/>
    <mergeCell ref="O964:Q964"/>
    <mergeCell ref="R964:R965"/>
    <mergeCell ref="B956:F956"/>
    <mergeCell ref="G956:M956"/>
    <mergeCell ref="B957:D957"/>
    <mergeCell ref="O958:S958"/>
    <mergeCell ref="A960:S960"/>
    <mergeCell ref="A961:S961"/>
    <mergeCell ref="C953:G953"/>
    <mergeCell ref="I953:J953"/>
    <mergeCell ref="K953:M953"/>
    <mergeCell ref="O953:S953"/>
    <mergeCell ref="B954:H954"/>
    <mergeCell ref="B955:H955"/>
    <mergeCell ref="A943:B943"/>
    <mergeCell ref="E945:I945"/>
    <mergeCell ref="J945:N945"/>
    <mergeCell ref="P945:S945"/>
    <mergeCell ref="A950:B950"/>
    <mergeCell ref="O952:S952"/>
    <mergeCell ref="O930:Q930"/>
    <mergeCell ref="R930:R931"/>
    <mergeCell ref="S930:S931"/>
    <mergeCell ref="A936:B936"/>
    <mergeCell ref="E938:I938"/>
    <mergeCell ref="J938:N938"/>
    <mergeCell ref="P938:S938"/>
    <mergeCell ref="A926:S926"/>
    <mergeCell ref="A927:S927"/>
    <mergeCell ref="E928:I928"/>
    <mergeCell ref="J928:N928"/>
    <mergeCell ref="P928:S928"/>
    <mergeCell ref="A930:A931"/>
    <mergeCell ref="B930:B931"/>
    <mergeCell ref="C930:F930"/>
    <mergeCell ref="G930:J930"/>
    <mergeCell ref="K930:N930"/>
    <mergeCell ref="B920:H920"/>
    <mergeCell ref="B921:H921"/>
    <mergeCell ref="B922:F922"/>
    <mergeCell ref="G922:M922"/>
    <mergeCell ref="B923:D923"/>
    <mergeCell ref="O924:S924"/>
    <mergeCell ref="E910:I910"/>
    <mergeCell ref="J910:N910"/>
    <mergeCell ref="P910:S910"/>
    <mergeCell ref="A916:B916"/>
    <mergeCell ref="O918:S918"/>
    <mergeCell ref="C919:G919"/>
    <mergeCell ref="I919:J919"/>
    <mergeCell ref="K919:M919"/>
    <mergeCell ref="O919:S919"/>
    <mergeCell ref="S893:S894"/>
    <mergeCell ref="A900:B900"/>
    <mergeCell ref="E902:I902"/>
    <mergeCell ref="J902:N902"/>
    <mergeCell ref="P902:S902"/>
    <mergeCell ref="A908:B908"/>
    <mergeCell ref="E891:I891"/>
    <mergeCell ref="J891:N891"/>
    <mergeCell ref="P891:S891"/>
    <mergeCell ref="A893:A894"/>
    <mergeCell ref="B893:B894"/>
    <mergeCell ref="C893:F893"/>
    <mergeCell ref="G893:J893"/>
    <mergeCell ref="K893:N893"/>
    <mergeCell ref="O893:Q893"/>
    <mergeCell ref="R893:R894"/>
    <mergeCell ref="B885:F885"/>
    <mergeCell ref="G885:M885"/>
    <mergeCell ref="B886:D886"/>
    <mergeCell ref="O887:S887"/>
    <mergeCell ref="A889:S889"/>
    <mergeCell ref="A890:S890"/>
    <mergeCell ref="C882:G882"/>
    <mergeCell ref="I882:J882"/>
    <mergeCell ref="K882:M882"/>
    <mergeCell ref="O882:S882"/>
    <mergeCell ref="B883:H883"/>
    <mergeCell ref="B884:H884"/>
    <mergeCell ref="A871:B871"/>
    <mergeCell ref="E873:I873"/>
    <mergeCell ref="J873:N873"/>
    <mergeCell ref="P873:S873"/>
    <mergeCell ref="A879:B879"/>
    <mergeCell ref="O881:S881"/>
    <mergeCell ref="O856:Q856"/>
    <mergeCell ref="R856:R857"/>
    <mergeCell ref="S856:S857"/>
    <mergeCell ref="A863:B863"/>
    <mergeCell ref="E865:I865"/>
    <mergeCell ref="J865:N865"/>
    <mergeCell ref="P865:S865"/>
    <mergeCell ref="A852:S852"/>
    <mergeCell ref="A853:S853"/>
    <mergeCell ref="E854:I854"/>
    <mergeCell ref="J854:N854"/>
    <mergeCell ref="P854:S854"/>
    <mergeCell ref="A856:A857"/>
    <mergeCell ref="B856:B857"/>
    <mergeCell ref="C856:F856"/>
    <mergeCell ref="G856:J856"/>
    <mergeCell ref="K856:N856"/>
    <mergeCell ref="B846:H846"/>
    <mergeCell ref="B847:H847"/>
    <mergeCell ref="B848:F848"/>
    <mergeCell ref="G848:M848"/>
    <mergeCell ref="B849:D849"/>
    <mergeCell ref="O850:S850"/>
    <mergeCell ref="E836:I836"/>
    <mergeCell ref="J836:N836"/>
    <mergeCell ref="P836:S836"/>
    <mergeCell ref="A842:B842"/>
    <mergeCell ref="O844:S844"/>
    <mergeCell ref="C845:G845"/>
    <mergeCell ref="I845:J845"/>
    <mergeCell ref="K845:M845"/>
    <mergeCell ref="O845:S845"/>
    <mergeCell ref="S819:S820"/>
    <mergeCell ref="A826:B826"/>
    <mergeCell ref="E828:I828"/>
    <mergeCell ref="J828:N828"/>
    <mergeCell ref="P828:S828"/>
    <mergeCell ref="A834:B834"/>
    <mergeCell ref="E817:I817"/>
    <mergeCell ref="J817:N817"/>
    <mergeCell ref="P817:S817"/>
    <mergeCell ref="A819:A820"/>
    <mergeCell ref="B819:B820"/>
    <mergeCell ref="C819:F819"/>
    <mergeCell ref="G819:J819"/>
    <mergeCell ref="K819:N819"/>
    <mergeCell ref="O819:Q819"/>
    <mergeCell ref="R819:R820"/>
    <mergeCell ref="B811:F811"/>
    <mergeCell ref="G811:M811"/>
    <mergeCell ref="B812:D812"/>
    <mergeCell ref="O813:S813"/>
    <mergeCell ref="A815:S815"/>
    <mergeCell ref="A816:S816"/>
    <mergeCell ref="C808:G808"/>
    <mergeCell ref="I808:J808"/>
    <mergeCell ref="K808:M808"/>
    <mergeCell ref="O808:S808"/>
    <mergeCell ref="B809:H809"/>
    <mergeCell ref="B810:H810"/>
    <mergeCell ref="A797:B797"/>
    <mergeCell ref="E799:I799"/>
    <mergeCell ref="J799:N799"/>
    <mergeCell ref="P799:S799"/>
    <mergeCell ref="A805:B805"/>
    <mergeCell ref="O807:S807"/>
    <mergeCell ref="O782:Q782"/>
    <mergeCell ref="R782:R783"/>
    <mergeCell ref="S782:S783"/>
    <mergeCell ref="A789:B789"/>
    <mergeCell ref="E791:I791"/>
    <mergeCell ref="J791:N791"/>
    <mergeCell ref="P791:S791"/>
    <mergeCell ref="A778:S778"/>
    <mergeCell ref="A779:S779"/>
    <mergeCell ref="E780:I780"/>
    <mergeCell ref="J780:N780"/>
    <mergeCell ref="P780:S780"/>
    <mergeCell ref="A782:A783"/>
    <mergeCell ref="B782:B783"/>
    <mergeCell ref="C782:F782"/>
    <mergeCell ref="G782:J782"/>
    <mergeCell ref="K782:N782"/>
    <mergeCell ref="B772:H772"/>
    <mergeCell ref="B773:H773"/>
    <mergeCell ref="B774:F774"/>
    <mergeCell ref="G774:M774"/>
    <mergeCell ref="B775:D775"/>
    <mergeCell ref="O776:S776"/>
    <mergeCell ref="E762:I762"/>
    <mergeCell ref="J762:N762"/>
    <mergeCell ref="P762:S762"/>
    <mergeCell ref="A768:B768"/>
    <mergeCell ref="O770:S770"/>
    <mergeCell ref="C771:G771"/>
    <mergeCell ref="I771:J771"/>
    <mergeCell ref="K771:M771"/>
    <mergeCell ref="O771:S771"/>
    <mergeCell ref="S745:S746"/>
    <mergeCell ref="A752:B752"/>
    <mergeCell ref="E754:I754"/>
    <mergeCell ref="J754:N754"/>
    <mergeCell ref="P754:S754"/>
    <mergeCell ref="A760:B760"/>
    <mergeCell ref="E743:I743"/>
    <mergeCell ref="J743:N743"/>
    <mergeCell ref="P743:S743"/>
    <mergeCell ref="A745:A746"/>
    <mergeCell ref="B745:B746"/>
    <mergeCell ref="C745:F745"/>
    <mergeCell ref="G745:J745"/>
    <mergeCell ref="K745:N745"/>
    <mergeCell ref="O745:Q745"/>
    <mergeCell ref="R745:R746"/>
    <mergeCell ref="B737:F737"/>
    <mergeCell ref="G737:M737"/>
    <mergeCell ref="B738:D738"/>
    <mergeCell ref="O739:S739"/>
    <mergeCell ref="A741:S741"/>
    <mergeCell ref="A742:S742"/>
    <mergeCell ref="C734:G734"/>
    <mergeCell ref="I734:J734"/>
    <mergeCell ref="K734:M734"/>
    <mergeCell ref="O734:S734"/>
    <mergeCell ref="B735:H735"/>
    <mergeCell ref="B736:H736"/>
    <mergeCell ref="A723:B723"/>
    <mergeCell ref="E725:I725"/>
    <mergeCell ref="J725:N725"/>
    <mergeCell ref="P725:S725"/>
    <mergeCell ref="A731:B731"/>
    <mergeCell ref="O733:S733"/>
    <mergeCell ref="O708:Q708"/>
    <mergeCell ref="R708:R709"/>
    <mergeCell ref="S708:S709"/>
    <mergeCell ref="A715:B715"/>
    <mergeCell ref="E717:I717"/>
    <mergeCell ref="J717:N717"/>
    <mergeCell ref="P717:S717"/>
    <mergeCell ref="A704:S704"/>
    <mergeCell ref="A705:S705"/>
    <mergeCell ref="E706:I706"/>
    <mergeCell ref="J706:N706"/>
    <mergeCell ref="P706:S706"/>
    <mergeCell ref="A708:A709"/>
    <mergeCell ref="B708:B709"/>
    <mergeCell ref="C708:F708"/>
    <mergeCell ref="G708:J708"/>
    <mergeCell ref="K708:N708"/>
    <mergeCell ref="B698:H698"/>
    <mergeCell ref="B699:H699"/>
    <mergeCell ref="B700:F700"/>
    <mergeCell ref="G700:M700"/>
    <mergeCell ref="B701:D701"/>
    <mergeCell ref="O702:S702"/>
    <mergeCell ref="E688:I688"/>
    <mergeCell ref="J688:N688"/>
    <mergeCell ref="P688:S688"/>
    <mergeCell ref="A694:B694"/>
    <mergeCell ref="O696:S696"/>
    <mergeCell ref="C697:G697"/>
    <mergeCell ref="I697:J697"/>
    <mergeCell ref="K697:M697"/>
    <mergeCell ref="O697:S697"/>
    <mergeCell ref="S671:S672"/>
    <mergeCell ref="A678:B678"/>
    <mergeCell ref="E680:I680"/>
    <mergeCell ref="J680:N680"/>
    <mergeCell ref="P680:S680"/>
    <mergeCell ref="A686:B686"/>
    <mergeCell ref="E669:I669"/>
    <mergeCell ref="J669:N669"/>
    <mergeCell ref="P669:S669"/>
    <mergeCell ref="A671:A672"/>
    <mergeCell ref="B671:B672"/>
    <mergeCell ref="C671:F671"/>
    <mergeCell ref="G671:J671"/>
    <mergeCell ref="K671:N671"/>
    <mergeCell ref="O671:Q671"/>
    <mergeCell ref="R671:R672"/>
    <mergeCell ref="B663:F663"/>
    <mergeCell ref="G663:M663"/>
    <mergeCell ref="B664:D664"/>
    <mergeCell ref="O665:S665"/>
    <mergeCell ref="A667:S667"/>
    <mergeCell ref="A668:S668"/>
    <mergeCell ref="C660:G660"/>
    <mergeCell ref="I660:J660"/>
    <mergeCell ref="K660:M660"/>
    <mergeCell ref="O660:S660"/>
    <mergeCell ref="B661:H661"/>
    <mergeCell ref="B662:H662"/>
    <mergeCell ref="A649:B649"/>
    <mergeCell ref="E651:I651"/>
    <mergeCell ref="J651:N651"/>
    <mergeCell ref="P651:S651"/>
    <mergeCell ref="A657:B657"/>
    <mergeCell ref="O659:S659"/>
    <mergeCell ref="O634:Q634"/>
    <mergeCell ref="R634:R635"/>
    <mergeCell ref="S634:S635"/>
    <mergeCell ref="A641:B641"/>
    <mergeCell ref="E643:I643"/>
    <mergeCell ref="J643:N643"/>
    <mergeCell ref="P643:S643"/>
    <mergeCell ref="A630:S630"/>
    <mergeCell ref="A631:S631"/>
    <mergeCell ref="E632:I632"/>
    <mergeCell ref="J632:N632"/>
    <mergeCell ref="P632:S632"/>
    <mergeCell ref="A634:A635"/>
    <mergeCell ref="B634:B635"/>
    <mergeCell ref="C634:F634"/>
    <mergeCell ref="G634:J634"/>
    <mergeCell ref="K634:N634"/>
    <mergeCell ref="B624:H624"/>
    <mergeCell ref="B625:H625"/>
    <mergeCell ref="B626:F626"/>
    <mergeCell ref="G626:M626"/>
    <mergeCell ref="B627:D627"/>
    <mergeCell ref="O628:S628"/>
    <mergeCell ref="E614:I614"/>
    <mergeCell ref="J614:N614"/>
    <mergeCell ref="P614:S614"/>
    <mergeCell ref="A620:B620"/>
    <mergeCell ref="O622:S622"/>
    <mergeCell ref="C623:G623"/>
    <mergeCell ref="I623:J623"/>
    <mergeCell ref="K623:M623"/>
    <mergeCell ref="O623:S623"/>
    <mergeCell ref="S597:S598"/>
    <mergeCell ref="A604:B604"/>
    <mergeCell ref="E606:I606"/>
    <mergeCell ref="J606:N606"/>
    <mergeCell ref="P606:S606"/>
    <mergeCell ref="A612:B612"/>
    <mergeCell ref="E595:I595"/>
    <mergeCell ref="J595:N595"/>
    <mergeCell ref="P595:S595"/>
    <mergeCell ref="A597:A598"/>
    <mergeCell ref="B597:B598"/>
    <mergeCell ref="C597:F597"/>
    <mergeCell ref="G597:J597"/>
    <mergeCell ref="K597:N597"/>
    <mergeCell ref="O597:Q597"/>
    <mergeCell ref="R597:R598"/>
    <mergeCell ref="B589:F589"/>
    <mergeCell ref="G589:M589"/>
    <mergeCell ref="B590:D590"/>
    <mergeCell ref="O591:S591"/>
    <mergeCell ref="A593:S593"/>
    <mergeCell ref="A594:S594"/>
    <mergeCell ref="C586:G586"/>
    <mergeCell ref="I586:J586"/>
    <mergeCell ref="K586:M586"/>
    <mergeCell ref="O586:S586"/>
    <mergeCell ref="B587:H587"/>
    <mergeCell ref="B588:H588"/>
    <mergeCell ref="A575:B575"/>
    <mergeCell ref="E577:I577"/>
    <mergeCell ref="J577:N577"/>
    <mergeCell ref="P577:S577"/>
    <mergeCell ref="A583:B583"/>
    <mergeCell ref="O585:S585"/>
    <mergeCell ref="O560:Q560"/>
    <mergeCell ref="R560:R561"/>
    <mergeCell ref="S560:S561"/>
    <mergeCell ref="A567:B567"/>
    <mergeCell ref="E569:I569"/>
    <mergeCell ref="J569:N569"/>
    <mergeCell ref="P569:S569"/>
    <mergeCell ref="A556:S556"/>
    <mergeCell ref="A557:S557"/>
    <mergeCell ref="E558:I558"/>
    <mergeCell ref="J558:N558"/>
    <mergeCell ref="P558:S558"/>
    <mergeCell ref="A560:A561"/>
    <mergeCell ref="B560:B561"/>
    <mergeCell ref="C560:F560"/>
    <mergeCell ref="G560:J560"/>
    <mergeCell ref="K560:N560"/>
    <mergeCell ref="B550:H550"/>
    <mergeCell ref="B551:H551"/>
    <mergeCell ref="B552:F552"/>
    <mergeCell ref="G552:M552"/>
    <mergeCell ref="B553:D553"/>
    <mergeCell ref="O554:S554"/>
    <mergeCell ref="E540:I540"/>
    <mergeCell ref="J540:N540"/>
    <mergeCell ref="P540:S540"/>
    <mergeCell ref="A546:B546"/>
    <mergeCell ref="O548:S548"/>
    <mergeCell ref="C549:G549"/>
    <mergeCell ref="I549:J549"/>
    <mergeCell ref="K549:M549"/>
    <mergeCell ref="O549:S549"/>
    <mergeCell ref="S523:S524"/>
    <mergeCell ref="A530:B530"/>
    <mergeCell ref="E532:I532"/>
    <mergeCell ref="J532:N532"/>
    <mergeCell ref="P532:S532"/>
    <mergeCell ref="A538:B538"/>
    <mergeCell ref="E521:I521"/>
    <mergeCell ref="J521:N521"/>
    <mergeCell ref="P521:S521"/>
    <mergeCell ref="A523:A524"/>
    <mergeCell ref="B523:B524"/>
    <mergeCell ref="C523:F523"/>
    <mergeCell ref="G523:J523"/>
    <mergeCell ref="K523:N523"/>
    <mergeCell ref="O523:Q523"/>
    <mergeCell ref="R523:R524"/>
    <mergeCell ref="B515:F515"/>
    <mergeCell ref="G515:M515"/>
    <mergeCell ref="B516:D516"/>
    <mergeCell ref="O517:S517"/>
    <mergeCell ref="A519:S519"/>
    <mergeCell ref="A520:S520"/>
    <mergeCell ref="C512:G512"/>
    <mergeCell ref="I512:J512"/>
    <mergeCell ref="K512:M512"/>
    <mergeCell ref="O512:S512"/>
    <mergeCell ref="B513:H513"/>
    <mergeCell ref="B514:H514"/>
    <mergeCell ref="A501:B501"/>
    <mergeCell ref="E503:I503"/>
    <mergeCell ref="J503:N503"/>
    <mergeCell ref="P503:S503"/>
    <mergeCell ref="A509:B509"/>
    <mergeCell ref="O511:S511"/>
    <mergeCell ref="O486:Q486"/>
    <mergeCell ref="R486:R487"/>
    <mergeCell ref="S486:S487"/>
    <mergeCell ref="A493:B493"/>
    <mergeCell ref="E495:I495"/>
    <mergeCell ref="J495:N495"/>
    <mergeCell ref="P495:S495"/>
    <mergeCell ref="A482:S482"/>
    <mergeCell ref="A483:S483"/>
    <mergeCell ref="E484:I484"/>
    <mergeCell ref="J484:N484"/>
    <mergeCell ref="P484:S484"/>
    <mergeCell ref="A486:A487"/>
    <mergeCell ref="B486:B487"/>
    <mergeCell ref="C486:F486"/>
    <mergeCell ref="G486:J486"/>
    <mergeCell ref="K486:N486"/>
    <mergeCell ref="B476:H476"/>
    <mergeCell ref="B477:H477"/>
    <mergeCell ref="B478:F478"/>
    <mergeCell ref="G478:M478"/>
    <mergeCell ref="B479:D479"/>
    <mergeCell ref="O480:S480"/>
    <mergeCell ref="E466:I466"/>
    <mergeCell ref="J466:N466"/>
    <mergeCell ref="P466:S466"/>
    <mergeCell ref="A472:B472"/>
    <mergeCell ref="O474:S474"/>
    <mergeCell ref="C475:G475"/>
    <mergeCell ref="I475:J475"/>
    <mergeCell ref="K475:M475"/>
    <mergeCell ref="O475:S475"/>
    <mergeCell ref="S449:S450"/>
    <mergeCell ref="A456:B456"/>
    <mergeCell ref="E458:I458"/>
    <mergeCell ref="J458:N458"/>
    <mergeCell ref="P458:S458"/>
    <mergeCell ref="A464:B464"/>
    <mergeCell ref="E447:I447"/>
    <mergeCell ref="J447:N447"/>
    <mergeCell ref="P447:S447"/>
    <mergeCell ref="A449:A450"/>
    <mergeCell ref="B449:B450"/>
    <mergeCell ref="C449:F449"/>
    <mergeCell ref="G449:J449"/>
    <mergeCell ref="K449:N449"/>
    <mergeCell ref="O449:Q449"/>
    <mergeCell ref="R449:R450"/>
    <mergeCell ref="B441:F441"/>
    <mergeCell ref="G441:M441"/>
    <mergeCell ref="B442:D442"/>
    <mergeCell ref="O443:S443"/>
    <mergeCell ref="A445:S445"/>
    <mergeCell ref="A446:S446"/>
    <mergeCell ref="C438:G438"/>
    <mergeCell ref="I438:J438"/>
    <mergeCell ref="K438:M438"/>
    <mergeCell ref="O438:S438"/>
    <mergeCell ref="B439:H439"/>
    <mergeCell ref="B440:H440"/>
    <mergeCell ref="A427:B427"/>
    <mergeCell ref="E429:I429"/>
    <mergeCell ref="J429:N429"/>
    <mergeCell ref="P429:S429"/>
    <mergeCell ref="A435:B435"/>
    <mergeCell ref="O437:S437"/>
    <mergeCell ref="O412:Q412"/>
    <mergeCell ref="R412:R413"/>
    <mergeCell ref="S412:S413"/>
    <mergeCell ref="A419:B419"/>
    <mergeCell ref="E421:I421"/>
    <mergeCell ref="J421:N421"/>
    <mergeCell ref="P421:S421"/>
    <mergeCell ref="A408:S408"/>
    <mergeCell ref="A409:S409"/>
    <mergeCell ref="E410:I410"/>
    <mergeCell ref="J410:N410"/>
    <mergeCell ref="P410:S410"/>
    <mergeCell ref="A412:A413"/>
    <mergeCell ref="B412:B413"/>
    <mergeCell ref="C412:F412"/>
    <mergeCell ref="G412:J412"/>
    <mergeCell ref="K412:N412"/>
    <mergeCell ref="B402:H402"/>
    <mergeCell ref="B403:H403"/>
    <mergeCell ref="B404:F404"/>
    <mergeCell ref="G404:M404"/>
    <mergeCell ref="B405:D405"/>
    <mergeCell ref="O406:S406"/>
    <mergeCell ref="E392:I392"/>
    <mergeCell ref="J392:N392"/>
    <mergeCell ref="P392:S392"/>
    <mergeCell ref="A398:B398"/>
    <mergeCell ref="O400:S400"/>
    <mergeCell ref="C401:G401"/>
    <mergeCell ref="I401:J401"/>
    <mergeCell ref="K401:M401"/>
    <mergeCell ref="O401:S401"/>
    <mergeCell ref="S375:S376"/>
    <mergeCell ref="A382:B382"/>
    <mergeCell ref="E384:I384"/>
    <mergeCell ref="J384:N384"/>
    <mergeCell ref="P384:S384"/>
    <mergeCell ref="A390:B390"/>
    <mergeCell ref="E373:I373"/>
    <mergeCell ref="J373:N373"/>
    <mergeCell ref="P373:S373"/>
    <mergeCell ref="A375:A376"/>
    <mergeCell ref="B375:B376"/>
    <mergeCell ref="C375:F375"/>
    <mergeCell ref="G375:J375"/>
    <mergeCell ref="K375:N375"/>
    <mergeCell ref="O375:Q375"/>
    <mergeCell ref="R375:R376"/>
    <mergeCell ref="B367:F367"/>
    <mergeCell ref="G367:M367"/>
    <mergeCell ref="B368:D368"/>
    <mergeCell ref="O369:S369"/>
    <mergeCell ref="A371:S371"/>
    <mergeCell ref="A372:S372"/>
    <mergeCell ref="C364:G364"/>
    <mergeCell ref="I364:J364"/>
    <mergeCell ref="K364:M364"/>
    <mergeCell ref="O364:S364"/>
    <mergeCell ref="B365:H365"/>
    <mergeCell ref="B366:H366"/>
    <mergeCell ref="A353:B353"/>
    <mergeCell ref="E355:I355"/>
    <mergeCell ref="J355:N355"/>
    <mergeCell ref="P355:S355"/>
    <mergeCell ref="A361:B361"/>
    <mergeCell ref="O363:S363"/>
    <mergeCell ref="O338:Q338"/>
    <mergeCell ref="R338:R339"/>
    <mergeCell ref="S338:S339"/>
    <mergeCell ref="A345:B345"/>
    <mergeCell ref="E347:I347"/>
    <mergeCell ref="J347:N347"/>
    <mergeCell ref="P347:S347"/>
    <mergeCell ref="A334:S334"/>
    <mergeCell ref="A335:S335"/>
    <mergeCell ref="E336:I336"/>
    <mergeCell ref="J336:N336"/>
    <mergeCell ref="P336:S336"/>
    <mergeCell ref="A338:A339"/>
    <mergeCell ref="B338:B339"/>
    <mergeCell ref="C338:F338"/>
    <mergeCell ref="G338:J338"/>
    <mergeCell ref="K338:N338"/>
    <mergeCell ref="B328:H328"/>
    <mergeCell ref="B329:H329"/>
    <mergeCell ref="B330:F330"/>
    <mergeCell ref="G330:M330"/>
    <mergeCell ref="B331:D331"/>
    <mergeCell ref="O332:S332"/>
    <mergeCell ref="E318:I318"/>
    <mergeCell ref="J318:N318"/>
    <mergeCell ref="P318:S318"/>
    <mergeCell ref="A324:B324"/>
    <mergeCell ref="O326:S326"/>
    <mergeCell ref="C327:G327"/>
    <mergeCell ref="I327:J327"/>
    <mergeCell ref="K327:M327"/>
    <mergeCell ref="O327:S327"/>
    <mergeCell ref="S301:S302"/>
    <mergeCell ref="A308:B308"/>
    <mergeCell ref="E310:I310"/>
    <mergeCell ref="J310:N310"/>
    <mergeCell ref="P310:S310"/>
    <mergeCell ref="A316:B316"/>
    <mergeCell ref="E299:I299"/>
    <mergeCell ref="J299:N299"/>
    <mergeCell ref="P299:S299"/>
    <mergeCell ref="A301:A302"/>
    <mergeCell ref="B301:B302"/>
    <mergeCell ref="C301:F301"/>
    <mergeCell ref="G301:J301"/>
    <mergeCell ref="K301:N301"/>
    <mergeCell ref="O301:Q301"/>
    <mergeCell ref="R301:R302"/>
    <mergeCell ref="B293:F293"/>
    <mergeCell ref="G293:M293"/>
    <mergeCell ref="B294:D294"/>
    <mergeCell ref="O295:S295"/>
    <mergeCell ref="A297:S297"/>
    <mergeCell ref="A298:S298"/>
    <mergeCell ref="C290:G290"/>
    <mergeCell ref="I290:J290"/>
    <mergeCell ref="K290:M290"/>
    <mergeCell ref="O290:S290"/>
    <mergeCell ref="B291:H291"/>
    <mergeCell ref="B292:H292"/>
    <mergeCell ref="A279:B279"/>
    <mergeCell ref="E281:I281"/>
    <mergeCell ref="J281:N281"/>
    <mergeCell ref="P281:S281"/>
    <mergeCell ref="A287:B287"/>
    <mergeCell ref="O289:S289"/>
    <mergeCell ref="O264:Q264"/>
    <mergeCell ref="R264:R265"/>
    <mergeCell ref="S264:S265"/>
    <mergeCell ref="A271:B271"/>
    <mergeCell ref="E273:I273"/>
    <mergeCell ref="J273:N273"/>
    <mergeCell ref="P273:S273"/>
    <mergeCell ref="A260:S260"/>
    <mergeCell ref="A261:S261"/>
    <mergeCell ref="E262:I262"/>
    <mergeCell ref="J262:N262"/>
    <mergeCell ref="P262:S262"/>
    <mergeCell ref="A264:A265"/>
    <mergeCell ref="B264:B265"/>
    <mergeCell ref="C264:F264"/>
    <mergeCell ref="G264:J264"/>
    <mergeCell ref="K264:N264"/>
    <mergeCell ref="B254:H254"/>
    <mergeCell ref="B255:H255"/>
    <mergeCell ref="B256:F256"/>
    <mergeCell ref="G256:M256"/>
    <mergeCell ref="B257:D257"/>
    <mergeCell ref="O258:S258"/>
    <mergeCell ref="E244:I244"/>
    <mergeCell ref="J244:N244"/>
    <mergeCell ref="P244:S244"/>
    <mergeCell ref="A250:B250"/>
    <mergeCell ref="O252:S252"/>
    <mergeCell ref="C253:G253"/>
    <mergeCell ref="I253:J253"/>
    <mergeCell ref="K253:M253"/>
    <mergeCell ref="O253:S253"/>
    <mergeCell ref="S227:S228"/>
    <mergeCell ref="A234:B234"/>
    <mergeCell ref="E236:I236"/>
    <mergeCell ref="J236:N236"/>
    <mergeCell ref="P236:S236"/>
    <mergeCell ref="A242:B242"/>
    <mergeCell ref="E225:I225"/>
    <mergeCell ref="J225:N225"/>
    <mergeCell ref="P225:S225"/>
    <mergeCell ref="A227:A228"/>
    <mergeCell ref="B227:B228"/>
    <mergeCell ref="C227:F227"/>
    <mergeCell ref="G227:J227"/>
    <mergeCell ref="K227:N227"/>
    <mergeCell ref="O227:Q227"/>
    <mergeCell ref="R227:R228"/>
    <mergeCell ref="B219:F219"/>
    <mergeCell ref="G219:M219"/>
    <mergeCell ref="B220:D220"/>
    <mergeCell ref="O221:S221"/>
    <mergeCell ref="A223:S223"/>
    <mergeCell ref="A224:S224"/>
    <mergeCell ref="C216:G216"/>
    <mergeCell ref="I216:J216"/>
    <mergeCell ref="K216:M216"/>
    <mergeCell ref="O216:S216"/>
    <mergeCell ref="B217:H217"/>
    <mergeCell ref="B218:H218"/>
    <mergeCell ref="A205:B205"/>
    <mergeCell ref="E207:I207"/>
    <mergeCell ref="J207:N207"/>
    <mergeCell ref="P207:S207"/>
    <mergeCell ref="A213:B213"/>
    <mergeCell ref="O215:S215"/>
    <mergeCell ref="O190:Q190"/>
    <mergeCell ref="R190:R191"/>
    <mergeCell ref="S190:S191"/>
    <mergeCell ref="A197:B197"/>
    <mergeCell ref="E199:I199"/>
    <mergeCell ref="J199:N199"/>
    <mergeCell ref="P199:S199"/>
    <mergeCell ref="A186:S186"/>
    <mergeCell ref="A187:S187"/>
    <mergeCell ref="E188:I188"/>
    <mergeCell ref="J188:N188"/>
    <mergeCell ref="P188:S188"/>
    <mergeCell ref="A190:A191"/>
    <mergeCell ref="B190:B191"/>
    <mergeCell ref="C190:F190"/>
    <mergeCell ref="G190:J190"/>
    <mergeCell ref="K190:N190"/>
    <mergeCell ref="B180:H180"/>
    <mergeCell ref="B181:H181"/>
    <mergeCell ref="B182:F182"/>
    <mergeCell ref="G182:M182"/>
    <mergeCell ref="B183:D183"/>
    <mergeCell ref="O184:S184"/>
    <mergeCell ref="E170:I170"/>
    <mergeCell ref="J170:N170"/>
    <mergeCell ref="P170:S170"/>
    <mergeCell ref="A176:B176"/>
    <mergeCell ref="O178:S178"/>
    <mergeCell ref="C179:G179"/>
    <mergeCell ref="I179:J179"/>
    <mergeCell ref="K179:M179"/>
    <mergeCell ref="O179:S179"/>
    <mergeCell ref="S153:S154"/>
    <mergeCell ref="A160:B160"/>
    <mergeCell ref="E162:I162"/>
    <mergeCell ref="J162:N162"/>
    <mergeCell ref="P162:S162"/>
    <mergeCell ref="A168:B168"/>
    <mergeCell ref="E151:I151"/>
    <mergeCell ref="J151:N151"/>
    <mergeCell ref="P151:S151"/>
    <mergeCell ref="A153:A154"/>
    <mergeCell ref="B153:B154"/>
    <mergeCell ref="C153:F153"/>
    <mergeCell ref="G153:J153"/>
    <mergeCell ref="K153:N153"/>
    <mergeCell ref="O153:Q153"/>
    <mergeCell ref="R153:R154"/>
    <mergeCell ref="B145:F145"/>
    <mergeCell ref="G145:M145"/>
    <mergeCell ref="B146:D146"/>
    <mergeCell ref="O147:S147"/>
    <mergeCell ref="A149:S149"/>
    <mergeCell ref="A150:S150"/>
    <mergeCell ref="C142:G142"/>
    <mergeCell ref="I142:J142"/>
    <mergeCell ref="K142:M142"/>
    <mergeCell ref="O142:S142"/>
    <mergeCell ref="B143:H143"/>
    <mergeCell ref="B144:H144"/>
    <mergeCell ref="A131:B131"/>
    <mergeCell ref="E133:I133"/>
    <mergeCell ref="J133:N133"/>
    <mergeCell ref="P133:S133"/>
    <mergeCell ref="A139:B139"/>
    <mergeCell ref="O141:S141"/>
    <mergeCell ref="O116:Q116"/>
    <mergeCell ref="R116:R117"/>
    <mergeCell ref="S116:S117"/>
    <mergeCell ref="A123:B123"/>
    <mergeCell ref="E125:I125"/>
    <mergeCell ref="J125:N125"/>
    <mergeCell ref="P125:S125"/>
    <mergeCell ref="A112:S112"/>
    <mergeCell ref="A113:S113"/>
    <mergeCell ref="E114:I114"/>
    <mergeCell ref="J114:N114"/>
    <mergeCell ref="P114:S114"/>
    <mergeCell ref="A116:A117"/>
    <mergeCell ref="B116:B117"/>
    <mergeCell ref="C116:F116"/>
    <mergeCell ref="G116:J116"/>
    <mergeCell ref="K116:N116"/>
    <mergeCell ref="B106:H106"/>
    <mergeCell ref="B107:H107"/>
    <mergeCell ref="B108:F108"/>
    <mergeCell ref="G108:M108"/>
    <mergeCell ref="B109:D109"/>
    <mergeCell ref="O110:S110"/>
    <mergeCell ref="E96:I96"/>
    <mergeCell ref="J96:N96"/>
    <mergeCell ref="P96:S96"/>
    <mergeCell ref="A102:B102"/>
    <mergeCell ref="O104:S104"/>
    <mergeCell ref="C105:G105"/>
    <mergeCell ref="I105:J105"/>
    <mergeCell ref="K105:M105"/>
    <mergeCell ref="O105:S105"/>
    <mergeCell ref="S79:S80"/>
    <mergeCell ref="A86:B86"/>
    <mergeCell ref="E88:I88"/>
    <mergeCell ref="J88:N88"/>
    <mergeCell ref="P88:S88"/>
    <mergeCell ref="A94:B94"/>
    <mergeCell ref="E77:I77"/>
    <mergeCell ref="J77:N77"/>
    <mergeCell ref="P77:S77"/>
    <mergeCell ref="A79:A80"/>
    <mergeCell ref="B79:B80"/>
    <mergeCell ref="C79:F79"/>
    <mergeCell ref="G79:J79"/>
    <mergeCell ref="K79:N79"/>
    <mergeCell ref="O79:Q79"/>
    <mergeCell ref="R79:R80"/>
    <mergeCell ref="B71:F71"/>
    <mergeCell ref="G71:M71"/>
    <mergeCell ref="B72:D72"/>
    <mergeCell ref="O73:S73"/>
    <mergeCell ref="A75:S75"/>
    <mergeCell ref="A76:S76"/>
    <mergeCell ref="C68:G68"/>
    <mergeCell ref="I68:J68"/>
    <mergeCell ref="K68:M68"/>
    <mergeCell ref="O68:S68"/>
    <mergeCell ref="B69:H69"/>
    <mergeCell ref="B70:H70"/>
    <mergeCell ref="A57:B57"/>
    <mergeCell ref="E59:I59"/>
    <mergeCell ref="J59:N59"/>
    <mergeCell ref="P59:S59"/>
    <mergeCell ref="A65:B65"/>
    <mergeCell ref="O67:S67"/>
    <mergeCell ref="R42:R43"/>
    <mergeCell ref="S42:S43"/>
    <mergeCell ref="A49:B49"/>
    <mergeCell ref="E51:I51"/>
    <mergeCell ref="J51:N51"/>
    <mergeCell ref="P51:S51"/>
    <mergeCell ref="A39:S39"/>
    <mergeCell ref="E40:I40"/>
    <mergeCell ref="J40:N40"/>
    <mergeCell ref="P40:S40"/>
    <mergeCell ref="A42:A43"/>
    <mergeCell ref="B42:B43"/>
    <mergeCell ref="C42:F42"/>
    <mergeCell ref="G42:J42"/>
    <mergeCell ref="K42:N42"/>
    <mergeCell ref="O42:Q42"/>
    <mergeCell ref="A20:B20"/>
    <mergeCell ref="E22:I22"/>
    <mergeCell ref="J22:N22"/>
    <mergeCell ref="P22:S22"/>
    <mergeCell ref="A28:B28"/>
    <mergeCell ref="A38:S38"/>
    <mergeCell ref="B32:H32"/>
    <mergeCell ref="B33:H33"/>
    <mergeCell ref="B34:F34"/>
    <mergeCell ref="G34:M34"/>
    <mergeCell ref="B35:D35"/>
    <mergeCell ref="O36:S36"/>
    <mergeCell ref="O30:S30"/>
    <mergeCell ref="C31:G31"/>
    <mergeCell ref="I31:J31"/>
    <mergeCell ref="K31:M31"/>
    <mergeCell ref="O31:S31"/>
    <mergeCell ref="U5:V5"/>
    <mergeCell ref="U6:V6"/>
    <mergeCell ref="E14:I14"/>
    <mergeCell ref="J14:N14"/>
    <mergeCell ref="P14:S14"/>
    <mergeCell ref="O5:Q5"/>
    <mergeCell ref="R5:R6"/>
    <mergeCell ref="S5:S6"/>
    <mergeCell ref="A12:B12"/>
    <mergeCell ref="A1:S1"/>
    <mergeCell ref="A2:S2"/>
    <mergeCell ref="E3:I3"/>
    <mergeCell ref="J3:N3"/>
    <mergeCell ref="P3:S3"/>
    <mergeCell ref="A5:A6"/>
    <mergeCell ref="B5:B6"/>
    <mergeCell ref="C5:F5"/>
    <mergeCell ref="G5:J5"/>
    <mergeCell ref="K5:N5"/>
  </mergeCells>
  <pageMargins left="0.7" right="0.2" top="0.25" bottom="0.2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Master</vt:lpstr>
      <vt:lpstr>Arrear</vt:lpstr>
      <vt:lpstr>Unlock</vt:lpstr>
      <vt:lpstr>Surrender Arrear</vt:lpstr>
      <vt:lpstr>All Employees Report</vt:lpstr>
      <vt:lpstr>month</vt:lpstr>
      <vt:lpstr>'All Employees Report'!Print_Area</vt:lpstr>
      <vt:lpstr>Arrear!Print_Area</vt:lpstr>
      <vt:lpstr>'Surrender Arrear'!Print_Area</vt:lpstr>
      <vt:lpstr>Unlock!Print_Area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Windows User</cp:lastModifiedBy>
  <cp:lastPrinted>2022-04-04T17:19:25Z</cp:lastPrinted>
  <dcterms:created xsi:type="dcterms:W3CDTF">2017-11-28T05:50:55Z</dcterms:created>
  <dcterms:modified xsi:type="dcterms:W3CDTF">2024-04-03T03:06:55Z</dcterms:modified>
</cp:coreProperties>
</file>