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75" windowWidth="20055" windowHeight="7935"/>
  </bookViews>
  <sheets>
    <sheet name="Master" sheetId="20" r:id="rId1"/>
    <sheet name="Arrear" sheetId="2" r:id="rId2"/>
    <sheet name="Unlock" sheetId="21" r:id="rId3"/>
    <sheet name="Surrender Arrear" sheetId="22" r:id="rId4"/>
    <sheet name="All Employees Report" sheetId="23" r:id="rId5"/>
  </sheets>
  <definedNames>
    <definedName name="month">Master!$AA$8:$AA$54</definedName>
    <definedName name="_xlnm.Print_Area" localSheetId="4">'All Employees Report'!$A$1:$S$33,'All Employees Report'!$A$35:$S$67,'All Employees Report'!$A$69:$S$101,'All Employees Report'!$A$103:$S$135,'All Employees Report'!$A$137:$S$169,'All Employees Report'!$A$171:$S$203,'All Employees Report'!$A$205:$S$237,'All Employees Report'!$A$239:$S$271,'All Employees Report'!$A$273:$S$305,'All Employees Report'!$A$307:$S$339,'All Employees Report'!$A$341:$S$373,'All Employees Report'!$A$375:$S$407,'All Employees Report'!$A$409:$S$441,'All Employees Report'!$A$443:$S$475,'All Employees Report'!$A$477:$S$509,'All Employees Report'!$A$511:$S$543,'All Employees Report'!$A$545:$S$577,'All Employees Report'!$A$579:$S$611,'All Employees Report'!$A$613:$S$645,'All Employees Report'!$A$647:$S$679,'All Employees Report'!$A$681:$S$713,'All Employees Report'!$A$715:$S$747,'All Employees Report'!$A$749:$S$781,'All Employees Report'!$A$783:$S$815,'All Employees Report'!$A$817:$S$849,'All Employees Report'!$A$851:$S$883,'All Employees Report'!$A$885:$S$917,'All Employees Report'!$A$919:$S$951,'All Employees Report'!$A$953:$S$985,'All Employees Report'!$A$987:$S$1019,'All Employees Report'!$A$1021:$S$1053,'All Employees Report'!$A$1055:$S$1087,'All Employees Report'!$A$1089:$S$1121,'All Employees Report'!$A$1123:$S$1155</definedName>
    <definedName name="_xlnm.Print_Area" localSheetId="1">Arrear!$A$1:$S$26</definedName>
    <definedName name="_xlnm.Print_Area" localSheetId="3">'Surrender Arrear'!$A$1:$S$18</definedName>
    <definedName name="_xlnm.Print_Area" localSheetId="2">Unlock!$A$1:$S$26</definedName>
  </definedNames>
  <calcPr calcId="124519"/>
</workbook>
</file>

<file path=xl/calcChain.xml><?xml version="1.0" encoding="utf-8"?>
<calcChain xmlns="http://schemas.openxmlformats.org/spreadsheetml/2006/main">
  <c r="B668" i="23"/>
  <c r="B669" s="1"/>
  <c r="B670" s="1"/>
  <c r="B661"/>
  <c r="B662" s="1"/>
  <c r="B663" s="1"/>
  <c r="B634"/>
  <c r="B635" s="1"/>
  <c r="B636" s="1"/>
  <c r="B627"/>
  <c r="B628" s="1"/>
  <c r="B629" s="1"/>
  <c r="B600"/>
  <c r="B601" s="1"/>
  <c r="B602" s="1"/>
  <c r="B593"/>
  <c r="B594" s="1"/>
  <c r="B595" s="1"/>
  <c r="B566"/>
  <c r="B567" s="1"/>
  <c r="B568" s="1"/>
  <c r="B559"/>
  <c r="B560" s="1"/>
  <c r="B561" s="1"/>
  <c r="B532"/>
  <c r="B533" s="1"/>
  <c r="B534" s="1"/>
  <c r="B525"/>
  <c r="B526" s="1"/>
  <c r="B527" s="1"/>
  <c r="B498"/>
  <c r="B499" s="1"/>
  <c r="B500" s="1"/>
  <c r="B491"/>
  <c r="B492" s="1"/>
  <c r="B493" s="1"/>
  <c r="B464"/>
  <c r="B465" s="1"/>
  <c r="B466" s="1"/>
  <c r="B457"/>
  <c r="B458" s="1"/>
  <c r="B459" s="1"/>
  <c r="B430"/>
  <c r="B431" s="1"/>
  <c r="B432" s="1"/>
  <c r="B423"/>
  <c r="B424" s="1"/>
  <c r="B425" s="1"/>
  <c r="B396"/>
  <c r="B397" s="1"/>
  <c r="B398" s="1"/>
  <c r="B389"/>
  <c r="B390" s="1"/>
  <c r="B391" s="1"/>
  <c r="B362"/>
  <c r="B363" s="1"/>
  <c r="B364" s="1"/>
  <c r="B355"/>
  <c r="B356" s="1"/>
  <c r="B357" s="1"/>
  <c r="B654"/>
  <c r="B655" s="1"/>
  <c r="B656" s="1"/>
  <c r="B620"/>
  <c r="B621" s="1"/>
  <c r="B622" s="1"/>
  <c r="B586"/>
  <c r="B587" s="1"/>
  <c r="B588" s="1"/>
  <c r="B552"/>
  <c r="B553" s="1"/>
  <c r="B554" s="1"/>
  <c r="B518"/>
  <c r="B519" s="1"/>
  <c r="B520" s="1"/>
  <c r="B484"/>
  <c r="B485" s="1"/>
  <c r="B486" s="1"/>
  <c r="B450"/>
  <c r="B451" s="1"/>
  <c r="B452" s="1"/>
  <c r="B416"/>
  <c r="B417" s="1"/>
  <c r="B418" s="1"/>
  <c r="B382"/>
  <c r="B383" s="1"/>
  <c r="B384" s="1"/>
  <c r="B348"/>
  <c r="B349" s="1"/>
  <c r="B350" s="1"/>
  <c r="B328"/>
  <c r="B329" s="1"/>
  <c r="B330" s="1"/>
  <c r="B321"/>
  <c r="B322" s="1"/>
  <c r="B323" s="1"/>
  <c r="B294"/>
  <c r="B295" s="1"/>
  <c r="B296" s="1"/>
  <c r="B287"/>
  <c r="B288" s="1"/>
  <c r="B289" s="1"/>
  <c r="B314"/>
  <c r="B315" s="1"/>
  <c r="B316" s="1"/>
  <c r="B280"/>
  <c r="B281" s="1"/>
  <c r="B282" s="1"/>
  <c r="J3" i="21"/>
  <c r="A1123" i="23"/>
  <c r="A1089"/>
  <c r="A1055"/>
  <c r="A1021"/>
  <c r="A987"/>
  <c r="A953"/>
  <c r="A919"/>
  <c r="A885"/>
  <c r="A851"/>
  <c r="A817"/>
  <c r="A783"/>
  <c r="A749"/>
  <c r="A715"/>
  <c r="A681"/>
  <c r="A647"/>
  <c r="A613"/>
  <c r="A579"/>
  <c r="A545"/>
  <c r="A511"/>
  <c r="A477"/>
  <c r="A443"/>
  <c r="A409"/>
  <c r="A375"/>
  <c r="A341"/>
  <c r="A307"/>
  <c r="A273"/>
  <c r="A239"/>
  <c r="A205"/>
  <c r="A171"/>
  <c r="A137"/>
  <c r="A103"/>
  <c r="A69"/>
  <c r="A35"/>
  <c r="A1"/>
  <c r="X8" i="21"/>
  <c r="X9" s="1"/>
  <c r="X8" i="2"/>
  <c r="X9" s="1"/>
  <c r="X10" i="21" l="1"/>
  <c r="X11" s="1"/>
  <c r="X12" s="1"/>
  <c r="X13" s="1"/>
  <c r="X14" s="1"/>
  <c r="X10" i="2"/>
  <c r="X11" s="1"/>
  <c r="X12" s="1"/>
  <c r="X13" s="1"/>
  <c r="X14" s="1"/>
  <c r="AA1"/>
  <c r="X1"/>
  <c r="X703" i="23"/>
  <c r="G1137"/>
  <c r="I1137" s="1"/>
  <c r="X1145"/>
  <c r="G1144"/>
  <c r="C1144"/>
  <c r="P1142"/>
  <c r="J1142"/>
  <c r="X1138"/>
  <c r="C1137"/>
  <c r="C1138" s="1"/>
  <c r="P1135"/>
  <c r="J1135"/>
  <c r="G1130"/>
  <c r="I1130" s="1"/>
  <c r="C1130"/>
  <c r="P1125"/>
  <c r="J1125"/>
  <c r="A1124"/>
  <c r="AA1123"/>
  <c r="X1111"/>
  <c r="G1110"/>
  <c r="C1110"/>
  <c r="P1108"/>
  <c r="J1108"/>
  <c r="X1104"/>
  <c r="G1103"/>
  <c r="G1104" s="1"/>
  <c r="C1103"/>
  <c r="C1104" s="1"/>
  <c r="P1101"/>
  <c r="J1101"/>
  <c r="G1096"/>
  <c r="I1096" s="1"/>
  <c r="C1096"/>
  <c r="P1091"/>
  <c r="J1091"/>
  <c r="A1090"/>
  <c r="AA1089"/>
  <c r="X1077"/>
  <c r="G1076"/>
  <c r="C1076"/>
  <c r="P1074"/>
  <c r="J1074"/>
  <c r="X1070"/>
  <c r="G1069"/>
  <c r="G1070" s="1"/>
  <c r="C1069"/>
  <c r="C1070" s="1"/>
  <c r="P1067"/>
  <c r="J1067"/>
  <c r="G1062"/>
  <c r="I1062" s="1"/>
  <c r="C1062"/>
  <c r="D1062" s="1"/>
  <c r="P1057"/>
  <c r="J1057"/>
  <c r="A1056"/>
  <c r="AA1055"/>
  <c r="X1043"/>
  <c r="G1042"/>
  <c r="C1042"/>
  <c r="P1040"/>
  <c r="J1040"/>
  <c r="X1036"/>
  <c r="G1035"/>
  <c r="G1036" s="1"/>
  <c r="C1035"/>
  <c r="C1036" s="1"/>
  <c r="P1033"/>
  <c r="J1033"/>
  <c r="G1028"/>
  <c r="I1028" s="1"/>
  <c r="C1028"/>
  <c r="P1023"/>
  <c r="J1023"/>
  <c r="A1022"/>
  <c r="AA1021"/>
  <c r="X1009"/>
  <c r="G1008"/>
  <c r="C1008"/>
  <c r="P1006"/>
  <c r="J1006"/>
  <c r="X1002"/>
  <c r="G1001"/>
  <c r="G1002" s="1"/>
  <c r="C1001"/>
  <c r="C1002" s="1"/>
  <c r="P999"/>
  <c r="J999"/>
  <c r="G994"/>
  <c r="I994" s="1"/>
  <c r="C994"/>
  <c r="P989"/>
  <c r="J989"/>
  <c r="A988"/>
  <c r="AA987"/>
  <c r="X975"/>
  <c r="G974"/>
  <c r="C974"/>
  <c r="P972"/>
  <c r="J972"/>
  <c r="X968"/>
  <c r="G967"/>
  <c r="G968" s="1"/>
  <c r="C967"/>
  <c r="C968" s="1"/>
  <c r="P965"/>
  <c r="J965"/>
  <c r="G960"/>
  <c r="I960" s="1"/>
  <c r="C960"/>
  <c r="P955"/>
  <c r="J955"/>
  <c r="A954"/>
  <c r="AA953"/>
  <c r="G926"/>
  <c r="I926" s="1"/>
  <c r="X941"/>
  <c r="G940"/>
  <c r="C940"/>
  <c r="D940" s="1"/>
  <c r="P938"/>
  <c r="J938"/>
  <c r="X934"/>
  <c r="G933"/>
  <c r="G934" s="1"/>
  <c r="G935" s="1"/>
  <c r="C933"/>
  <c r="C934" s="1"/>
  <c r="P931"/>
  <c r="J931"/>
  <c r="C926"/>
  <c r="P921"/>
  <c r="J921"/>
  <c r="A920"/>
  <c r="AA919"/>
  <c r="X907"/>
  <c r="G906"/>
  <c r="C906"/>
  <c r="P904"/>
  <c r="J904"/>
  <c r="X900"/>
  <c r="G899"/>
  <c r="G900" s="1"/>
  <c r="C899"/>
  <c r="C900" s="1"/>
  <c r="P897"/>
  <c r="J897"/>
  <c r="G892"/>
  <c r="I892" s="1"/>
  <c r="C892"/>
  <c r="P887"/>
  <c r="J887"/>
  <c r="A886"/>
  <c r="AA885"/>
  <c r="X873"/>
  <c r="G872"/>
  <c r="I872" s="1"/>
  <c r="C872"/>
  <c r="E872" s="1"/>
  <c r="M872" s="1"/>
  <c r="P870"/>
  <c r="J870"/>
  <c r="X866"/>
  <c r="G865"/>
  <c r="G866" s="1"/>
  <c r="C865"/>
  <c r="C866" s="1"/>
  <c r="P863"/>
  <c r="J863"/>
  <c r="G858"/>
  <c r="I858" s="1"/>
  <c r="C858"/>
  <c r="D858" s="1"/>
  <c r="P853"/>
  <c r="J853"/>
  <c r="A852"/>
  <c r="AA851"/>
  <c r="X839"/>
  <c r="G838"/>
  <c r="C838"/>
  <c r="P836"/>
  <c r="J836"/>
  <c r="X832"/>
  <c r="G831"/>
  <c r="G832" s="1"/>
  <c r="C831"/>
  <c r="C832" s="1"/>
  <c r="P829"/>
  <c r="J829"/>
  <c r="G824"/>
  <c r="I824" s="1"/>
  <c r="C824"/>
  <c r="P819"/>
  <c r="J819"/>
  <c r="A818"/>
  <c r="AA817"/>
  <c r="X805"/>
  <c r="G804"/>
  <c r="C804"/>
  <c r="P802"/>
  <c r="J802"/>
  <c r="X798"/>
  <c r="G797"/>
  <c r="G798" s="1"/>
  <c r="C797"/>
  <c r="C798" s="1"/>
  <c r="P795"/>
  <c r="J795"/>
  <c r="G790"/>
  <c r="I790" s="1"/>
  <c r="C790"/>
  <c r="P785"/>
  <c r="J785"/>
  <c r="A784"/>
  <c r="AA783"/>
  <c r="X771"/>
  <c r="G770"/>
  <c r="C770"/>
  <c r="P768"/>
  <c r="J768"/>
  <c r="X764"/>
  <c r="G763"/>
  <c r="G764" s="1"/>
  <c r="C763"/>
  <c r="C764" s="1"/>
  <c r="P761"/>
  <c r="J761"/>
  <c r="G756"/>
  <c r="I756" s="1"/>
  <c r="C756"/>
  <c r="P751"/>
  <c r="J751"/>
  <c r="A750"/>
  <c r="AA749"/>
  <c r="X737"/>
  <c r="G736"/>
  <c r="C736"/>
  <c r="P734"/>
  <c r="J734"/>
  <c r="X730"/>
  <c r="G729"/>
  <c r="G730" s="1"/>
  <c r="C729"/>
  <c r="C730" s="1"/>
  <c r="P727"/>
  <c r="J727"/>
  <c r="G722"/>
  <c r="I722" s="1"/>
  <c r="C722"/>
  <c r="P717"/>
  <c r="J717"/>
  <c r="A716"/>
  <c r="AA715"/>
  <c r="G702"/>
  <c r="C702"/>
  <c r="P700"/>
  <c r="J700"/>
  <c r="X696"/>
  <c r="G695"/>
  <c r="G696" s="1"/>
  <c r="C695"/>
  <c r="C696" s="1"/>
  <c r="P693"/>
  <c r="J693"/>
  <c r="G688"/>
  <c r="I688" s="1"/>
  <c r="C688"/>
  <c r="P683"/>
  <c r="J683"/>
  <c r="A682"/>
  <c r="AA681"/>
  <c r="X669"/>
  <c r="G668"/>
  <c r="C668"/>
  <c r="P666"/>
  <c r="J666"/>
  <c r="X662"/>
  <c r="G661"/>
  <c r="G662" s="1"/>
  <c r="C661"/>
  <c r="C662" s="1"/>
  <c r="P659"/>
  <c r="J659"/>
  <c r="G654"/>
  <c r="I654" s="1"/>
  <c r="C654"/>
  <c r="P649"/>
  <c r="J649"/>
  <c r="A648"/>
  <c r="AA647"/>
  <c r="X635"/>
  <c r="G634"/>
  <c r="C634"/>
  <c r="P632"/>
  <c r="J632"/>
  <c r="X628"/>
  <c r="G627"/>
  <c r="G628" s="1"/>
  <c r="C627"/>
  <c r="C628" s="1"/>
  <c r="P625"/>
  <c r="J625"/>
  <c r="G620"/>
  <c r="I620" s="1"/>
  <c r="C620"/>
  <c r="P615"/>
  <c r="J615"/>
  <c r="A614"/>
  <c r="AA613"/>
  <c r="X601"/>
  <c r="G600"/>
  <c r="C600"/>
  <c r="P598"/>
  <c r="J598"/>
  <c r="X594"/>
  <c r="G593"/>
  <c r="G594" s="1"/>
  <c r="C593"/>
  <c r="C594" s="1"/>
  <c r="P591"/>
  <c r="J591"/>
  <c r="G586"/>
  <c r="I586" s="1"/>
  <c r="C586"/>
  <c r="P581"/>
  <c r="J581"/>
  <c r="A580"/>
  <c r="AA579"/>
  <c r="X567"/>
  <c r="G566"/>
  <c r="C566"/>
  <c r="P564"/>
  <c r="J564"/>
  <c r="X560"/>
  <c r="G559"/>
  <c r="G560" s="1"/>
  <c r="C559"/>
  <c r="C560" s="1"/>
  <c r="P557"/>
  <c r="J557"/>
  <c r="G552"/>
  <c r="I552" s="1"/>
  <c r="C552"/>
  <c r="P547"/>
  <c r="J547"/>
  <c r="A546"/>
  <c r="AA545"/>
  <c r="X533"/>
  <c r="G532"/>
  <c r="C532"/>
  <c r="P530"/>
  <c r="J530"/>
  <c r="X526"/>
  <c r="G525"/>
  <c r="G526" s="1"/>
  <c r="C525"/>
  <c r="C526" s="1"/>
  <c r="P523"/>
  <c r="J523"/>
  <c r="G518"/>
  <c r="I518" s="1"/>
  <c r="C518"/>
  <c r="P513"/>
  <c r="J513"/>
  <c r="A512"/>
  <c r="AA511"/>
  <c r="X499"/>
  <c r="G498"/>
  <c r="C498"/>
  <c r="P496"/>
  <c r="J496"/>
  <c r="X492"/>
  <c r="G491"/>
  <c r="G492" s="1"/>
  <c r="C491"/>
  <c r="C492" s="1"/>
  <c r="P489"/>
  <c r="J489"/>
  <c r="G484"/>
  <c r="I484" s="1"/>
  <c r="C484"/>
  <c r="P479"/>
  <c r="J479"/>
  <c r="A478"/>
  <c r="AA477"/>
  <c r="X465"/>
  <c r="G464"/>
  <c r="C464"/>
  <c r="P462"/>
  <c r="J462"/>
  <c r="X458"/>
  <c r="G457"/>
  <c r="G458" s="1"/>
  <c r="C457"/>
  <c r="C458" s="1"/>
  <c r="P455"/>
  <c r="J455"/>
  <c r="G450"/>
  <c r="I450" s="1"/>
  <c r="C450"/>
  <c r="P445"/>
  <c r="J445"/>
  <c r="A444"/>
  <c r="AA443"/>
  <c r="X431"/>
  <c r="G430"/>
  <c r="C430"/>
  <c r="P428"/>
  <c r="J428"/>
  <c r="X424"/>
  <c r="G423"/>
  <c r="G424" s="1"/>
  <c r="C423"/>
  <c r="C424" s="1"/>
  <c r="P421"/>
  <c r="J421"/>
  <c r="G416"/>
  <c r="I416" s="1"/>
  <c r="C416"/>
  <c r="P411"/>
  <c r="J411"/>
  <c r="A410"/>
  <c r="AA409"/>
  <c r="AA375"/>
  <c r="X397"/>
  <c r="G396"/>
  <c r="G397" s="1"/>
  <c r="C396"/>
  <c r="Q396" s="1"/>
  <c r="P394"/>
  <c r="J394"/>
  <c r="X390"/>
  <c r="G389"/>
  <c r="G390" s="1"/>
  <c r="C389"/>
  <c r="E389" s="1"/>
  <c r="P387"/>
  <c r="J387"/>
  <c r="G382"/>
  <c r="H382" s="1"/>
  <c r="C382"/>
  <c r="C383" s="1"/>
  <c r="P377"/>
  <c r="J377"/>
  <c r="X363"/>
  <c r="G362"/>
  <c r="C362"/>
  <c r="J360"/>
  <c r="P360"/>
  <c r="X356"/>
  <c r="G355"/>
  <c r="H355" s="1"/>
  <c r="C355"/>
  <c r="C356" s="1"/>
  <c r="P353"/>
  <c r="J353"/>
  <c r="G348"/>
  <c r="H348" s="1"/>
  <c r="C348"/>
  <c r="Q348" s="1"/>
  <c r="P343"/>
  <c r="J343"/>
  <c r="AA341"/>
  <c r="AA307"/>
  <c r="X329"/>
  <c r="G328"/>
  <c r="G329" s="1"/>
  <c r="C328"/>
  <c r="E328" s="1"/>
  <c r="P326"/>
  <c r="J326"/>
  <c r="X322"/>
  <c r="G321"/>
  <c r="H321" s="1"/>
  <c r="C321"/>
  <c r="P319"/>
  <c r="J319"/>
  <c r="G314"/>
  <c r="H314" s="1"/>
  <c r="C314"/>
  <c r="C315" s="1"/>
  <c r="P309"/>
  <c r="J309"/>
  <c r="J292"/>
  <c r="X295"/>
  <c r="G294"/>
  <c r="H294" s="1"/>
  <c r="C294"/>
  <c r="P292"/>
  <c r="X288"/>
  <c r="G287"/>
  <c r="H287" s="1"/>
  <c r="C287"/>
  <c r="C288" s="1"/>
  <c r="P285"/>
  <c r="J285"/>
  <c r="G280"/>
  <c r="G281" s="1"/>
  <c r="C280"/>
  <c r="P275"/>
  <c r="J275"/>
  <c r="AA273"/>
  <c r="P262"/>
  <c r="P248"/>
  <c r="AA239"/>
  <c r="Y260"/>
  <c r="Y253"/>
  <c r="D256" s="1"/>
  <c r="Y241"/>
  <c r="P247" s="1"/>
  <c r="Y226"/>
  <c r="P226" s="1"/>
  <c r="R263"/>
  <c r="N263"/>
  <c r="J263"/>
  <c r="F263"/>
  <c r="Q262"/>
  <c r="G262"/>
  <c r="H262" s="1"/>
  <c r="X261"/>
  <c r="C261"/>
  <c r="D261" s="1"/>
  <c r="C260"/>
  <c r="D260" s="1"/>
  <c r="P256"/>
  <c r="H256"/>
  <c r="J251"/>
  <c r="R249"/>
  <c r="P249"/>
  <c r="N249"/>
  <c r="L249"/>
  <c r="J249"/>
  <c r="H249"/>
  <c r="F249"/>
  <c r="D249"/>
  <c r="Q248"/>
  <c r="I248"/>
  <c r="G248"/>
  <c r="H248" s="1"/>
  <c r="Q247"/>
  <c r="G247"/>
  <c r="H247" s="1"/>
  <c r="Q246"/>
  <c r="G246"/>
  <c r="H246" s="1"/>
  <c r="P241"/>
  <c r="Y219"/>
  <c r="P219" s="1"/>
  <c r="Y207"/>
  <c r="AA205" s="1"/>
  <c r="Y192"/>
  <c r="B192" s="1"/>
  <c r="B193" s="1"/>
  <c r="B194" s="1"/>
  <c r="F229"/>
  <c r="C227"/>
  <c r="D227" s="1"/>
  <c r="P222"/>
  <c r="L222"/>
  <c r="H222"/>
  <c r="D222"/>
  <c r="J217"/>
  <c r="R215"/>
  <c r="N215"/>
  <c r="F215"/>
  <c r="Q214"/>
  <c r="G214"/>
  <c r="H214" s="1"/>
  <c r="G213"/>
  <c r="H213" s="1"/>
  <c r="Q212"/>
  <c r="G212"/>
  <c r="H212" s="1"/>
  <c r="Y185"/>
  <c r="B185" s="1"/>
  <c r="B186" s="1"/>
  <c r="B187" s="1"/>
  <c r="Y173"/>
  <c r="P179" s="1"/>
  <c r="Y158"/>
  <c r="Y151"/>
  <c r="Y139"/>
  <c r="Y124"/>
  <c r="Y117"/>
  <c r="Y105"/>
  <c r="Y90"/>
  <c r="Y83"/>
  <c r="Y71"/>
  <c r="Y56"/>
  <c r="Y49"/>
  <c r="Y37"/>
  <c r="Y22"/>
  <c r="B22" s="1"/>
  <c r="B23" s="1"/>
  <c r="B24" s="1"/>
  <c r="R195"/>
  <c r="P188"/>
  <c r="G158"/>
  <c r="C144"/>
  <c r="C110"/>
  <c r="C111" s="1"/>
  <c r="X50"/>
  <c r="G15"/>
  <c r="H15" s="1"/>
  <c r="C15"/>
  <c r="C16" s="1"/>
  <c r="D16" s="1"/>
  <c r="Y15"/>
  <c r="B15" s="1"/>
  <c r="B16" s="1"/>
  <c r="B17" s="1"/>
  <c r="Y3"/>
  <c r="X152"/>
  <c r="J139"/>
  <c r="A376"/>
  <c r="A342"/>
  <c r="A308"/>
  <c r="A274"/>
  <c r="A240"/>
  <c r="A206"/>
  <c r="A172"/>
  <c r="A138"/>
  <c r="A104"/>
  <c r="X103"/>
  <c r="A70"/>
  <c r="X69"/>
  <c r="A36"/>
  <c r="X35"/>
  <c r="J20"/>
  <c r="X23"/>
  <c r="X16"/>
  <c r="G16"/>
  <c r="I16" s="1"/>
  <c r="P13"/>
  <c r="J13"/>
  <c r="P3"/>
  <c r="J3"/>
  <c r="AA1"/>
  <c r="W1"/>
  <c r="A2"/>
  <c r="G8" i="22"/>
  <c r="C8"/>
  <c r="D8" s="1"/>
  <c r="B8" i="23" l="1"/>
  <c r="B9" s="1"/>
  <c r="B10" s="1"/>
  <c r="C8"/>
  <c r="G76"/>
  <c r="B76"/>
  <c r="B77" s="1"/>
  <c r="B78" s="1"/>
  <c r="C117"/>
  <c r="B117"/>
  <c r="B118" s="1"/>
  <c r="B119" s="1"/>
  <c r="C158"/>
  <c r="B158"/>
  <c r="B159" s="1"/>
  <c r="B160" s="1"/>
  <c r="O263"/>
  <c r="B260"/>
  <c r="B261" s="1"/>
  <c r="B262" s="1"/>
  <c r="P178"/>
  <c r="P185"/>
  <c r="P194"/>
  <c r="P214"/>
  <c r="P221"/>
  <c r="P228"/>
  <c r="P260"/>
  <c r="X409"/>
  <c r="W511"/>
  <c r="X512"/>
  <c r="X545"/>
  <c r="W647"/>
  <c r="X648"/>
  <c r="X681"/>
  <c r="W749"/>
  <c r="X750"/>
  <c r="X783"/>
  <c r="W885"/>
  <c r="X886"/>
  <c r="X919"/>
  <c r="W1021"/>
  <c r="X1022"/>
  <c r="X1055"/>
  <c r="X57"/>
  <c r="B56"/>
  <c r="B57" s="1"/>
  <c r="B58" s="1"/>
  <c r="G110"/>
  <c r="B110"/>
  <c r="B111" s="1"/>
  <c r="B112" s="1"/>
  <c r="C151"/>
  <c r="B151"/>
  <c r="B152" s="1"/>
  <c r="B153" s="1"/>
  <c r="Q256"/>
  <c r="B253"/>
  <c r="B254" s="1"/>
  <c r="B255" s="1"/>
  <c r="X171"/>
  <c r="X239"/>
  <c r="X273"/>
  <c r="X341"/>
  <c r="X375"/>
  <c r="AA171"/>
  <c r="X186"/>
  <c r="P192"/>
  <c r="P212"/>
  <c r="P227"/>
  <c r="P254"/>
  <c r="W409"/>
  <c r="X410"/>
  <c r="X443"/>
  <c r="W545"/>
  <c r="X546"/>
  <c r="X579"/>
  <c r="W681"/>
  <c r="X682"/>
  <c r="W783"/>
  <c r="X784"/>
  <c r="X817"/>
  <c r="W919"/>
  <c r="X920"/>
  <c r="X953"/>
  <c r="W1055"/>
  <c r="X1056"/>
  <c r="X1089"/>
  <c r="C49"/>
  <c r="B49"/>
  <c r="B50" s="1"/>
  <c r="B51" s="1"/>
  <c r="C90"/>
  <c r="B90"/>
  <c r="B91" s="1"/>
  <c r="B92" s="1"/>
  <c r="G144"/>
  <c r="B144"/>
  <c r="B145" s="1"/>
  <c r="B146" s="1"/>
  <c r="Q222"/>
  <c r="B219"/>
  <c r="B220" s="1"/>
  <c r="B221" s="1"/>
  <c r="O249"/>
  <c r="B246"/>
  <c r="B247" s="1"/>
  <c r="B248" s="1"/>
  <c r="X137"/>
  <c r="X205"/>
  <c r="X307"/>
  <c r="X1"/>
  <c r="C9"/>
  <c r="C10" s="1"/>
  <c r="D10" s="1"/>
  <c r="X2"/>
  <c r="W35"/>
  <c r="W69"/>
  <c r="W103"/>
  <c r="W137"/>
  <c r="W171"/>
  <c r="W205"/>
  <c r="W239"/>
  <c r="W273"/>
  <c r="W307"/>
  <c r="W341"/>
  <c r="W375"/>
  <c r="G8"/>
  <c r="C76"/>
  <c r="Q213"/>
  <c r="J215"/>
  <c r="L256"/>
  <c r="AA137"/>
  <c r="P186"/>
  <c r="X220"/>
  <c r="P246"/>
  <c r="P255"/>
  <c r="P261"/>
  <c r="W443"/>
  <c r="X444"/>
  <c r="X477"/>
  <c r="W579"/>
  <c r="X580"/>
  <c r="X613"/>
  <c r="X715"/>
  <c r="W817"/>
  <c r="X818"/>
  <c r="X851"/>
  <c r="W953"/>
  <c r="X954"/>
  <c r="X987"/>
  <c r="W1089"/>
  <c r="X1090"/>
  <c r="X1123"/>
  <c r="G42"/>
  <c r="B42"/>
  <c r="B43" s="1"/>
  <c r="B44" s="1"/>
  <c r="C83"/>
  <c r="B83"/>
  <c r="B84" s="1"/>
  <c r="B85" s="1"/>
  <c r="X125"/>
  <c r="B124"/>
  <c r="B125" s="1"/>
  <c r="B126" s="1"/>
  <c r="G178"/>
  <c r="H178" s="1"/>
  <c r="B178"/>
  <c r="B179" s="1"/>
  <c r="B180" s="1"/>
  <c r="O215"/>
  <c r="B212"/>
  <c r="B213" s="1"/>
  <c r="B214" s="1"/>
  <c r="J229"/>
  <c r="B226"/>
  <c r="B227" s="1"/>
  <c r="B228" s="1"/>
  <c r="X36"/>
  <c r="X70"/>
  <c r="X104"/>
  <c r="X138"/>
  <c r="X172"/>
  <c r="X206"/>
  <c r="X240"/>
  <c r="X274"/>
  <c r="X308"/>
  <c r="X342"/>
  <c r="X376"/>
  <c r="AA103"/>
  <c r="P180"/>
  <c r="P187"/>
  <c r="P193"/>
  <c r="P213"/>
  <c r="P220"/>
  <c r="P253"/>
  <c r="W477"/>
  <c r="X478"/>
  <c r="X511"/>
  <c r="W613"/>
  <c r="X614"/>
  <c r="X647"/>
  <c r="W715"/>
  <c r="X716"/>
  <c r="X749"/>
  <c r="W851"/>
  <c r="X852"/>
  <c r="X885"/>
  <c r="W987"/>
  <c r="X988"/>
  <c r="X1021"/>
  <c r="W1123"/>
  <c r="X1124"/>
  <c r="I247"/>
  <c r="H328"/>
  <c r="H389"/>
  <c r="E15"/>
  <c r="I246"/>
  <c r="C281"/>
  <c r="E382"/>
  <c r="H396"/>
  <c r="E1137"/>
  <c r="E1001"/>
  <c r="M1001" s="1"/>
  <c r="E865"/>
  <c r="M865" s="1"/>
  <c r="E899"/>
  <c r="M899" s="1"/>
  <c r="G1131"/>
  <c r="F1103"/>
  <c r="N1103" s="1"/>
  <c r="J1103"/>
  <c r="E1103"/>
  <c r="M1103" s="1"/>
  <c r="I1103"/>
  <c r="D1103"/>
  <c r="L1103" s="1"/>
  <c r="H1103"/>
  <c r="D1069"/>
  <c r="L1069" s="1"/>
  <c r="H1069"/>
  <c r="H1062"/>
  <c r="I1035"/>
  <c r="E1035"/>
  <c r="M1035" s="1"/>
  <c r="D1001"/>
  <c r="L1001" s="1"/>
  <c r="I1001"/>
  <c r="H1001"/>
  <c r="F967"/>
  <c r="J967"/>
  <c r="E967"/>
  <c r="M967" s="1"/>
  <c r="I967"/>
  <c r="D967"/>
  <c r="L967" s="1"/>
  <c r="H967"/>
  <c r="I933"/>
  <c r="E933"/>
  <c r="M933" s="1"/>
  <c r="D899"/>
  <c r="L899" s="1"/>
  <c r="I899"/>
  <c r="H899"/>
  <c r="D865"/>
  <c r="L865" s="1"/>
  <c r="I865"/>
  <c r="H865"/>
  <c r="H858"/>
  <c r="E831"/>
  <c r="M831" s="1"/>
  <c r="I831"/>
  <c r="I797"/>
  <c r="E797"/>
  <c r="M797" s="1"/>
  <c r="I763"/>
  <c r="E763"/>
  <c r="M763" s="1"/>
  <c r="E729"/>
  <c r="M729" s="1"/>
  <c r="I729"/>
  <c r="H695"/>
  <c r="E695"/>
  <c r="M695" s="1"/>
  <c r="J695"/>
  <c r="D695"/>
  <c r="L695" s="1"/>
  <c r="I695"/>
  <c r="E661"/>
  <c r="M661" s="1"/>
  <c r="I661"/>
  <c r="E627"/>
  <c r="M627" s="1"/>
  <c r="I627"/>
  <c r="I593"/>
  <c r="E593"/>
  <c r="M593" s="1"/>
  <c r="I559"/>
  <c r="E559"/>
  <c r="M559" s="1"/>
  <c r="H525"/>
  <c r="E525"/>
  <c r="M525" s="1"/>
  <c r="J525"/>
  <c r="D525"/>
  <c r="L525" s="1"/>
  <c r="I525"/>
  <c r="E491"/>
  <c r="M491" s="1"/>
  <c r="I491"/>
  <c r="E457"/>
  <c r="M457" s="1"/>
  <c r="I457"/>
  <c r="G398"/>
  <c r="G399" s="1"/>
  <c r="H397"/>
  <c r="I397"/>
  <c r="E396"/>
  <c r="D396"/>
  <c r="I396"/>
  <c r="C397"/>
  <c r="G391"/>
  <c r="G392" s="1"/>
  <c r="H390"/>
  <c r="I390"/>
  <c r="D389"/>
  <c r="I389"/>
  <c r="C390"/>
  <c r="Q389"/>
  <c r="C384"/>
  <c r="C385" s="1"/>
  <c r="D383"/>
  <c r="E383"/>
  <c r="Q382"/>
  <c r="D382"/>
  <c r="I382"/>
  <c r="G383"/>
  <c r="G1138"/>
  <c r="K1138" s="1"/>
  <c r="M1137"/>
  <c r="C1139"/>
  <c r="C1140" s="1"/>
  <c r="D1138"/>
  <c r="E1138"/>
  <c r="F1138"/>
  <c r="D1130"/>
  <c r="H1130"/>
  <c r="K1144"/>
  <c r="C1145"/>
  <c r="G1145"/>
  <c r="K1130"/>
  <c r="C1131"/>
  <c r="J1130"/>
  <c r="D1137"/>
  <c r="H1137"/>
  <c r="E1144"/>
  <c r="I1144"/>
  <c r="E1130"/>
  <c r="K1137"/>
  <c r="D1144"/>
  <c r="F1144" s="1"/>
  <c r="H1144"/>
  <c r="J1144" s="1"/>
  <c r="K1104"/>
  <c r="C1105"/>
  <c r="C1106" s="1"/>
  <c r="D1104"/>
  <c r="E1104"/>
  <c r="F1104"/>
  <c r="G1105"/>
  <c r="G1106" s="1"/>
  <c r="H1104"/>
  <c r="I1104"/>
  <c r="J1104" s="1"/>
  <c r="D1096"/>
  <c r="H1096"/>
  <c r="K1110"/>
  <c r="C1111"/>
  <c r="G1111"/>
  <c r="K1096"/>
  <c r="C1097"/>
  <c r="G1097"/>
  <c r="F1096"/>
  <c r="J1096"/>
  <c r="E1110"/>
  <c r="I1110"/>
  <c r="E1096"/>
  <c r="K1103"/>
  <c r="D1110"/>
  <c r="H1110"/>
  <c r="K1070"/>
  <c r="C1071"/>
  <c r="C1072" s="1"/>
  <c r="D1070"/>
  <c r="L1070" s="1"/>
  <c r="E1070"/>
  <c r="F1070"/>
  <c r="G1071"/>
  <c r="G1072" s="1"/>
  <c r="H1070"/>
  <c r="J1070" s="1"/>
  <c r="I1070"/>
  <c r="L1062"/>
  <c r="K1076"/>
  <c r="C1077"/>
  <c r="G1077"/>
  <c r="K1062"/>
  <c r="C1063"/>
  <c r="G1063"/>
  <c r="E1069"/>
  <c r="F1069" s="1"/>
  <c r="I1069"/>
  <c r="F1062"/>
  <c r="J1062"/>
  <c r="E1076"/>
  <c r="I1076"/>
  <c r="E1062"/>
  <c r="K1069"/>
  <c r="D1076"/>
  <c r="H1076"/>
  <c r="K1036"/>
  <c r="C1037"/>
  <c r="D1036"/>
  <c r="L1036" s="1"/>
  <c r="E1036"/>
  <c r="F1036"/>
  <c r="G1037"/>
  <c r="G1038" s="1"/>
  <c r="H1036"/>
  <c r="I1036"/>
  <c r="J1036" s="1"/>
  <c r="D1028"/>
  <c r="H1028"/>
  <c r="J1035"/>
  <c r="K1042"/>
  <c r="C1043"/>
  <c r="G1043"/>
  <c r="K1028"/>
  <c r="C1029"/>
  <c r="G1029"/>
  <c r="J1028"/>
  <c r="D1035"/>
  <c r="H1035"/>
  <c r="E1042"/>
  <c r="I1042"/>
  <c r="E1028"/>
  <c r="K1035"/>
  <c r="D1042"/>
  <c r="H1042"/>
  <c r="G1003"/>
  <c r="G1004" s="1"/>
  <c r="H1002"/>
  <c r="I1002"/>
  <c r="K1002"/>
  <c r="C1003"/>
  <c r="C1004" s="1"/>
  <c r="D1002"/>
  <c r="E1002"/>
  <c r="M1002" s="1"/>
  <c r="J1002"/>
  <c r="F1002"/>
  <c r="D994"/>
  <c r="H994"/>
  <c r="F1001"/>
  <c r="J1001"/>
  <c r="K1008"/>
  <c r="C1009"/>
  <c r="G1009"/>
  <c r="K994"/>
  <c r="C995"/>
  <c r="G995"/>
  <c r="F994"/>
  <c r="J994"/>
  <c r="E1008"/>
  <c r="I1008"/>
  <c r="E994"/>
  <c r="K1001"/>
  <c r="D1008"/>
  <c r="H1008"/>
  <c r="K968"/>
  <c r="C969"/>
  <c r="D968"/>
  <c r="E968"/>
  <c r="M968" s="1"/>
  <c r="F968"/>
  <c r="G969"/>
  <c r="G970" s="1"/>
  <c r="H968"/>
  <c r="J968" s="1"/>
  <c r="I968"/>
  <c r="D960"/>
  <c r="H960"/>
  <c r="N967"/>
  <c r="K974"/>
  <c r="C975"/>
  <c r="G975"/>
  <c r="K960"/>
  <c r="C961"/>
  <c r="G961"/>
  <c r="F960"/>
  <c r="J960"/>
  <c r="C970"/>
  <c r="E974"/>
  <c r="I974"/>
  <c r="E960"/>
  <c r="K967"/>
  <c r="D974"/>
  <c r="H974"/>
  <c r="K934"/>
  <c r="C935"/>
  <c r="F935" s="1"/>
  <c r="D934"/>
  <c r="E934"/>
  <c r="M934" s="1"/>
  <c r="F934"/>
  <c r="N934" s="1"/>
  <c r="H934"/>
  <c r="J934" s="1"/>
  <c r="I934"/>
  <c r="D926"/>
  <c r="H926"/>
  <c r="K940"/>
  <c r="C941"/>
  <c r="G941"/>
  <c r="K926"/>
  <c r="C927"/>
  <c r="G927"/>
  <c r="F926"/>
  <c r="J926"/>
  <c r="D933"/>
  <c r="H933"/>
  <c r="J933" s="1"/>
  <c r="G936"/>
  <c r="E940"/>
  <c r="I940"/>
  <c r="E926"/>
  <c r="K933"/>
  <c r="F940"/>
  <c r="H940"/>
  <c r="G901"/>
  <c r="G902" s="1"/>
  <c r="H900"/>
  <c r="J900" s="1"/>
  <c r="I900"/>
  <c r="K900"/>
  <c r="C901"/>
  <c r="C902" s="1"/>
  <c r="D900"/>
  <c r="L900" s="1"/>
  <c r="E900"/>
  <c r="M900" s="1"/>
  <c r="F900"/>
  <c r="D892"/>
  <c r="H892"/>
  <c r="F899"/>
  <c r="J899"/>
  <c r="K906"/>
  <c r="C907"/>
  <c r="G907"/>
  <c r="K892"/>
  <c r="C893"/>
  <c r="G893"/>
  <c r="J892"/>
  <c r="E906"/>
  <c r="I906"/>
  <c r="E892"/>
  <c r="K899"/>
  <c r="D906"/>
  <c r="H906"/>
  <c r="J858"/>
  <c r="K866"/>
  <c r="C867"/>
  <c r="C868" s="1"/>
  <c r="D866"/>
  <c r="E866"/>
  <c r="F866"/>
  <c r="H866"/>
  <c r="I866"/>
  <c r="G867"/>
  <c r="G868" s="1"/>
  <c r="L858"/>
  <c r="F865"/>
  <c r="J865"/>
  <c r="K872"/>
  <c r="C873"/>
  <c r="G873"/>
  <c r="K858"/>
  <c r="C859"/>
  <c r="G859"/>
  <c r="J872"/>
  <c r="E858"/>
  <c r="K865"/>
  <c r="D872"/>
  <c r="F872" s="1"/>
  <c r="H872"/>
  <c r="K832"/>
  <c r="C833"/>
  <c r="C834" s="1"/>
  <c r="D832"/>
  <c r="E832"/>
  <c r="M832" s="1"/>
  <c r="F832"/>
  <c r="G833"/>
  <c r="G834" s="1"/>
  <c r="H832"/>
  <c r="J832" s="1"/>
  <c r="I832"/>
  <c r="D824"/>
  <c r="H824"/>
  <c r="K838"/>
  <c r="C839"/>
  <c r="G839"/>
  <c r="K824"/>
  <c r="C825"/>
  <c r="G825"/>
  <c r="F824"/>
  <c r="J824"/>
  <c r="D831"/>
  <c r="H831"/>
  <c r="J831" s="1"/>
  <c r="E838"/>
  <c r="I838"/>
  <c r="E824"/>
  <c r="K831"/>
  <c r="D838"/>
  <c r="F838" s="1"/>
  <c r="H838"/>
  <c r="K798"/>
  <c r="C799"/>
  <c r="C800" s="1"/>
  <c r="D798"/>
  <c r="E798"/>
  <c r="M798" s="1"/>
  <c r="F798"/>
  <c r="G799"/>
  <c r="G800" s="1"/>
  <c r="H798"/>
  <c r="J798" s="1"/>
  <c r="I798"/>
  <c r="D790"/>
  <c r="H790"/>
  <c r="K804"/>
  <c r="C805"/>
  <c r="G805"/>
  <c r="K790"/>
  <c r="C791"/>
  <c r="G791"/>
  <c r="F790"/>
  <c r="J790"/>
  <c r="D797"/>
  <c r="H797"/>
  <c r="J797" s="1"/>
  <c r="E804"/>
  <c r="I804"/>
  <c r="E790"/>
  <c r="K797"/>
  <c r="D804"/>
  <c r="F804" s="1"/>
  <c r="H804"/>
  <c r="K764"/>
  <c r="C765"/>
  <c r="C766" s="1"/>
  <c r="D764"/>
  <c r="E764"/>
  <c r="M764" s="1"/>
  <c r="F764"/>
  <c r="G765"/>
  <c r="G766" s="1"/>
  <c r="H764"/>
  <c r="J764" s="1"/>
  <c r="I764"/>
  <c r="D756"/>
  <c r="H756"/>
  <c r="K770"/>
  <c r="C771"/>
  <c r="G771"/>
  <c r="K756"/>
  <c r="C757"/>
  <c r="G757"/>
  <c r="F756"/>
  <c r="J756"/>
  <c r="D763"/>
  <c r="H763"/>
  <c r="J763" s="1"/>
  <c r="E770"/>
  <c r="I770"/>
  <c r="E756"/>
  <c r="K763"/>
  <c r="D770"/>
  <c r="F770" s="1"/>
  <c r="H770"/>
  <c r="K730"/>
  <c r="C731"/>
  <c r="C732" s="1"/>
  <c r="D730"/>
  <c r="E730"/>
  <c r="M730" s="1"/>
  <c r="F730"/>
  <c r="G731"/>
  <c r="G732" s="1"/>
  <c r="H730"/>
  <c r="J730" s="1"/>
  <c r="I730"/>
  <c r="D722"/>
  <c r="H722"/>
  <c r="K736"/>
  <c r="C737"/>
  <c r="G737"/>
  <c r="K722"/>
  <c r="C723"/>
  <c r="G723"/>
  <c r="F722"/>
  <c r="J722"/>
  <c r="D729"/>
  <c r="H729"/>
  <c r="J729" s="1"/>
  <c r="E736"/>
  <c r="I736"/>
  <c r="E722"/>
  <c r="K729"/>
  <c r="D736"/>
  <c r="F736" s="1"/>
  <c r="H736"/>
  <c r="K696"/>
  <c r="C697"/>
  <c r="D696"/>
  <c r="E696"/>
  <c r="M696" s="1"/>
  <c r="F696"/>
  <c r="G697"/>
  <c r="G698" s="1"/>
  <c r="H696"/>
  <c r="J696" s="1"/>
  <c r="I696"/>
  <c r="D688"/>
  <c r="H688"/>
  <c r="F695"/>
  <c r="K702"/>
  <c r="C703"/>
  <c r="G703"/>
  <c r="K688"/>
  <c r="C689"/>
  <c r="G689"/>
  <c r="F688"/>
  <c r="J688"/>
  <c r="C698"/>
  <c r="E702"/>
  <c r="I702"/>
  <c r="E688"/>
  <c r="K695"/>
  <c r="D702"/>
  <c r="H702"/>
  <c r="K662"/>
  <c r="C663"/>
  <c r="C664" s="1"/>
  <c r="D662"/>
  <c r="E662"/>
  <c r="M662" s="1"/>
  <c r="F662"/>
  <c r="G663"/>
  <c r="G664" s="1"/>
  <c r="H662"/>
  <c r="J662" s="1"/>
  <c r="I662"/>
  <c r="D654"/>
  <c r="H654"/>
  <c r="K668"/>
  <c r="C669"/>
  <c r="G669"/>
  <c r="K654"/>
  <c r="C655"/>
  <c r="G655"/>
  <c r="F654"/>
  <c r="J654"/>
  <c r="D661"/>
  <c r="H661"/>
  <c r="J661" s="1"/>
  <c r="E668"/>
  <c r="I668"/>
  <c r="E654"/>
  <c r="K661"/>
  <c r="D668"/>
  <c r="F668" s="1"/>
  <c r="H668"/>
  <c r="K628"/>
  <c r="C629"/>
  <c r="C630" s="1"/>
  <c r="D628"/>
  <c r="E628"/>
  <c r="M628" s="1"/>
  <c r="F628"/>
  <c r="G629"/>
  <c r="G630" s="1"/>
  <c r="H628"/>
  <c r="J628" s="1"/>
  <c r="I628"/>
  <c r="D620"/>
  <c r="H620"/>
  <c r="K634"/>
  <c r="C635"/>
  <c r="G635"/>
  <c r="K620"/>
  <c r="C621"/>
  <c r="G621"/>
  <c r="F620"/>
  <c r="J620"/>
  <c r="D627"/>
  <c r="H627"/>
  <c r="J627" s="1"/>
  <c r="E634"/>
  <c r="I634"/>
  <c r="E620"/>
  <c r="K627"/>
  <c r="D634"/>
  <c r="F634" s="1"/>
  <c r="H634"/>
  <c r="K594"/>
  <c r="C595"/>
  <c r="C596" s="1"/>
  <c r="D594"/>
  <c r="E594"/>
  <c r="M594" s="1"/>
  <c r="F594"/>
  <c r="G595"/>
  <c r="G596" s="1"/>
  <c r="H594"/>
  <c r="J594" s="1"/>
  <c r="I594"/>
  <c r="D586"/>
  <c r="H586"/>
  <c r="K600"/>
  <c r="C601"/>
  <c r="G601"/>
  <c r="K586"/>
  <c r="C587"/>
  <c r="G587"/>
  <c r="F586"/>
  <c r="J586"/>
  <c r="D593"/>
  <c r="H593"/>
  <c r="J593" s="1"/>
  <c r="E600"/>
  <c r="I600"/>
  <c r="E586"/>
  <c r="K593"/>
  <c r="D600"/>
  <c r="F600" s="1"/>
  <c r="H600"/>
  <c r="K560"/>
  <c r="C561"/>
  <c r="C562" s="1"/>
  <c r="D560"/>
  <c r="E560"/>
  <c r="M560" s="1"/>
  <c r="F560"/>
  <c r="G561"/>
  <c r="G562" s="1"/>
  <c r="H560"/>
  <c r="J560" s="1"/>
  <c r="I560"/>
  <c r="D552"/>
  <c r="H552"/>
  <c r="K566"/>
  <c r="C567"/>
  <c r="G567"/>
  <c r="K552"/>
  <c r="C553"/>
  <c r="G553"/>
  <c r="F552"/>
  <c r="J552"/>
  <c r="D559"/>
  <c r="H559"/>
  <c r="J559" s="1"/>
  <c r="E566"/>
  <c r="I566"/>
  <c r="E552"/>
  <c r="K559"/>
  <c r="D566"/>
  <c r="F566" s="1"/>
  <c r="H566"/>
  <c r="K526"/>
  <c r="C527"/>
  <c r="C528" s="1"/>
  <c r="D526"/>
  <c r="E526"/>
  <c r="M526" s="1"/>
  <c r="F526"/>
  <c r="G527"/>
  <c r="G528" s="1"/>
  <c r="H526"/>
  <c r="J526" s="1"/>
  <c r="I526"/>
  <c r="D518"/>
  <c r="H518"/>
  <c r="F525"/>
  <c r="K532"/>
  <c r="C533"/>
  <c r="G533"/>
  <c r="K518"/>
  <c r="C519"/>
  <c r="G519"/>
  <c r="J518"/>
  <c r="E532"/>
  <c r="I532"/>
  <c r="E518"/>
  <c r="K525"/>
  <c r="D532"/>
  <c r="H532"/>
  <c r="K492"/>
  <c r="C493"/>
  <c r="C494" s="1"/>
  <c r="D492"/>
  <c r="E492"/>
  <c r="F492"/>
  <c r="G493"/>
  <c r="G494" s="1"/>
  <c r="H492"/>
  <c r="J492" s="1"/>
  <c r="I492"/>
  <c r="D484"/>
  <c r="H484"/>
  <c r="K498"/>
  <c r="C499"/>
  <c r="G499"/>
  <c r="K484"/>
  <c r="C485"/>
  <c r="G485"/>
  <c r="J484"/>
  <c r="D491"/>
  <c r="H491"/>
  <c r="J491" s="1"/>
  <c r="E498"/>
  <c r="I498"/>
  <c r="E484"/>
  <c r="K491"/>
  <c r="D498"/>
  <c r="F498" s="1"/>
  <c r="H498"/>
  <c r="K458"/>
  <c r="C459"/>
  <c r="C460" s="1"/>
  <c r="D458"/>
  <c r="E458"/>
  <c r="M458" s="1"/>
  <c r="F458"/>
  <c r="G459"/>
  <c r="G460" s="1"/>
  <c r="H458"/>
  <c r="J458" s="1"/>
  <c r="I458"/>
  <c r="D450"/>
  <c r="H450"/>
  <c r="K464"/>
  <c r="C465"/>
  <c r="G465"/>
  <c r="K450"/>
  <c r="C451"/>
  <c r="G451"/>
  <c r="F450"/>
  <c r="J450"/>
  <c r="D457"/>
  <c r="H457"/>
  <c r="J457" s="1"/>
  <c r="E464"/>
  <c r="I464"/>
  <c r="E450"/>
  <c r="K457"/>
  <c r="D464"/>
  <c r="F464" s="1"/>
  <c r="H464"/>
  <c r="G425"/>
  <c r="G426" s="1"/>
  <c r="H424"/>
  <c r="J424" s="1"/>
  <c r="I424"/>
  <c r="K424"/>
  <c r="C425"/>
  <c r="D424"/>
  <c r="E424"/>
  <c r="M424" s="1"/>
  <c r="D416"/>
  <c r="H416"/>
  <c r="K430"/>
  <c r="C431"/>
  <c r="G431"/>
  <c r="K416"/>
  <c r="C417"/>
  <c r="G417"/>
  <c r="E423"/>
  <c r="I423"/>
  <c r="J416"/>
  <c r="D423"/>
  <c r="H423"/>
  <c r="C426"/>
  <c r="E430"/>
  <c r="I430"/>
  <c r="E416"/>
  <c r="F416" s="1"/>
  <c r="K423"/>
  <c r="D430"/>
  <c r="F430" s="1"/>
  <c r="H430"/>
  <c r="J430" s="1"/>
  <c r="H362"/>
  <c r="C363"/>
  <c r="Q362"/>
  <c r="G363"/>
  <c r="E362"/>
  <c r="D362"/>
  <c r="I362"/>
  <c r="C357"/>
  <c r="C358" s="1"/>
  <c r="D356"/>
  <c r="E356"/>
  <c r="Q356"/>
  <c r="Q355"/>
  <c r="G356"/>
  <c r="E355"/>
  <c r="D355"/>
  <c r="I355"/>
  <c r="E348"/>
  <c r="D348"/>
  <c r="I348"/>
  <c r="G349"/>
  <c r="C349"/>
  <c r="G330"/>
  <c r="G331" s="1"/>
  <c r="H329"/>
  <c r="I329"/>
  <c r="D328"/>
  <c r="I328"/>
  <c r="C329"/>
  <c r="Q328"/>
  <c r="C322"/>
  <c r="Q321"/>
  <c r="G322"/>
  <c r="E321"/>
  <c r="D321"/>
  <c r="I321"/>
  <c r="C316"/>
  <c r="C317" s="1"/>
  <c r="D315"/>
  <c r="E315"/>
  <c r="Q314"/>
  <c r="E314"/>
  <c r="D314"/>
  <c r="I314"/>
  <c r="G315"/>
  <c r="C295"/>
  <c r="Q294"/>
  <c r="G295"/>
  <c r="E294"/>
  <c r="D294"/>
  <c r="I294"/>
  <c r="C289"/>
  <c r="C290" s="1"/>
  <c r="D288"/>
  <c r="E288"/>
  <c r="Q288"/>
  <c r="Q287"/>
  <c r="G288"/>
  <c r="E287"/>
  <c r="D287"/>
  <c r="I287"/>
  <c r="G282"/>
  <c r="G283" s="1"/>
  <c r="H281"/>
  <c r="I281"/>
  <c r="D280"/>
  <c r="I280"/>
  <c r="H280"/>
  <c r="Q280"/>
  <c r="E280"/>
  <c r="P258"/>
  <c r="G260"/>
  <c r="Q260"/>
  <c r="G261"/>
  <c r="Q261"/>
  <c r="E263"/>
  <c r="I263"/>
  <c r="M263"/>
  <c r="Q263"/>
  <c r="J258"/>
  <c r="E260"/>
  <c r="E261"/>
  <c r="I262"/>
  <c r="D263"/>
  <c r="H263"/>
  <c r="L263"/>
  <c r="P263"/>
  <c r="C262"/>
  <c r="C263"/>
  <c r="G263"/>
  <c r="K263"/>
  <c r="C255"/>
  <c r="C256"/>
  <c r="G256"/>
  <c r="K256"/>
  <c r="O256"/>
  <c r="C253"/>
  <c r="C254"/>
  <c r="X254"/>
  <c r="G255"/>
  <c r="Q255"/>
  <c r="F256"/>
  <c r="J256"/>
  <c r="N256"/>
  <c r="R256"/>
  <c r="P251"/>
  <c r="G253"/>
  <c r="Q253"/>
  <c r="G254"/>
  <c r="Q254"/>
  <c r="E256"/>
  <c r="I256"/>
  <c r="M256"/>
  <c r="J241"/>
  <c r="E249"/>
  <c r="I249"/>
  <c r="M249"/>
  <c r="Q249"/>
  <c r="C246"/>
  <c r="J246" s="1"/>
  <c r="C247"/>
  <c r="C248"/>
  <c r="C249"/>
  <c r="G249"/>
  <c r="K249"/>
  <c r="C226"/>
  <c r="D226" s="1"/>
  <c r="Q228"/>
  <c r="R229"/>
  <c r="O229"/>
  <c r="G228"/>
  <c r="H228" s="1"/>
  <c r="N229"/>
  <c r="X227"/>
  <c r="P224"/>
  <c r="G226"/>
  <c r="Q226"/>
  <c r="G227"/>
  <c r="Q227"/>
  <c r="E229"/>
  <c r="I229"/>
  <c r="M229"/>
  <c r="Q229"/>
  <c r="J224"/>
  <c r="E227"/>
  <c r="D229"/>
  <c r="H229"/>
  <c r="L229"/>
  <c r="P229"/>
  <c r="C228"/>
  <c r="C229"/>
  <c r="G229"/>
  <c r="K229"/>
  <c r="C221"/>
  <c r="C222"/>
  <c r="G222"/>
  <c r="K222"/>
  <c r="O222"/>
  <c r="C219"/>
  <c r="C220"/>
  <c r="G221"/>
  <c r="Q221"/>
  <c r="F222"/>
  <c r="J222"/>
  <c r="N222"/>
  <c r="R222"/>
  <c r="P217"/>
  <c r="G219"/>
  <c r="Q219"/>
  <c r="G220"/>
  <c r="Q220"/>
  <c r="E222"/>
  <c r="I222"/>
  <c r="M222"/>
  <c r="C212"/>
  <c r="E215"/>
  <c r="I215"/>
  <c r="M215"/>
  <c r="Q215"/>
  <c r="P207"/>
  <c r="I212"/>
  <c r="I213"/>
  <c r="I214"/>
  <c r="D215"/>
  <c r="H215"/>
  <c r="L215"/>
  <c r="P215"/>
  <c r="J207"/>
  <c r="C213"/>
  <c r="C214"/>
  <c r="C215"/>
  <c r="G215"/>
  <c r="K215"/>
  <c r="J156"/>
  <c r="C152"/>
  <c r="J149"/>
  <c r="G151"/>
  <c r="P139"/>
  <c r="G145"/>
  <c r="X118"/>
  <c r="G117"/>
  <c r="P115"/>
  <c r="G83"/>
  <c r="I83" s="1"/>
  <c r="G49"/>
  <c r="G50" s="1"/>
  <c r="C42"/>
  <c r="P37"/>
  <c r="G188"/>
  <c r="H76"/>
  <c r="K188"/>
  <c r="C188"/>
  <c r="C187"/>
  <c r="D187" s="1"/>
  <c r="O188"/>
  <c r="H110"/>
  <c r="J190"/>
  <c r="D195"/>
  <c r="H195"/>
  <c r="L195"/>
  <c r="P195"/>
  <c r="P190"/>
  <c r="Q192"/>
  <c r="G193"/>
  <c r="E195"/>
  <c r="I195"/>
  <c r="Q195"/>
  <c r="C194"/>
  <c r="C195"/>
  <c r="G195"/>
  <c r="K195"/>
  <c r="O195"/>
  <c r="G192"/>
  <c r="Q193"/>
  <c r="M195"/>
  <c r="C192"/>
  <c r="J192" s="1"/>
  <c r="C193"/>
  <c r="X193"/>
  <c r="G194"/>
  <c r="Q194"/>
  <c r="F195"/>
  <c r="J195"/>
  <c r="N195"/>
  <c r="C185"/>
  <c r="K185" s="1"/>
  <c r="C186"/>
  <c r="K186" s="1"/>
  <c r="G187"/>
  <c r="Q187"/>
  <c r="F188"/>
  <c r="J188"/>
  <c r="N188"/>
  <c r="R188"/>
  <c r="P183"/>
  <c r="G185"/>
  <c r="Q185"/>
  <c r="G186"/>
  <c r="Q186"/>
  <c r="E188"/>
  <c r="I188"/>
  <c r="M188"/>
  <c r="Q188"/>
  <c r="J183"/>
  <c r="D188"/>
  <c r="H188"/>
  <c r="L188"/>
  <c r="I178"/>
  <c r="C178"/>
  <c r="Q178" s="1"/>
  <c r="P173"/>
  <c r="G179"/>
  <c r="G180"/>
  <c r="J173"/>
  <c r="X159"/>
  <c r="E158"/>
  <c r="P156"/>
  <c r="P149"/>
  <c r="E151"/>
  <c r="D151"/>
  <c r="D144"/>
  <c r="I144"/>
  <c r="H144"/>
  <c r="P122"/>
  <c r="G124"/>
  <c r="G125" s="1"/>
  <c r="H125" s="1"/>
  <c r="J122"/>
  <c r="C124"/>
  <c r="D124" s="1"/>
  <c r="J115"/>
  <c r="P105"/>
  <c r="J105"/>
  <c r="G90"/>
  <c r="P88"/>
  <c r="J88"/>
  <c r="X91"/>
  <c r="E83"/>
  <c r="P81"/>
  <c r="X84"/>
  <c r="J81"/>
  <c r="AA69"/>
  <c r="P71"/>
  <c r="J71"/>
  <c r="G56"/>
  <c r="G57" s="1"/>
  <c r="G58" s="1"/>
  <c r="G59" s="1"/>
  <c r="C56"/>
  <c r="P54"/>
  <c r="J54"/>
  <c r="P47"/>
  <c r="J47"/>
  <c r="E49"/>
  <c r="G43"/>
  <c r="J37"/>
  <c r="C43"/>
  <c r="C44" s="1"/>
  <c r="C45" s="1"/>
  <c r="AA35"/>
  <c r="G22"/>
  <c r="I22" s="1"/>
  <c r="C22"/>
  <c r="E22" s="1"/>
  <c r="P20"/>
  <c r="K16"/>
  <c r="E16"/>
  <c r="G17"/>
  <c r="H17" s="1"/>
  <c r="L321"/>
  <c r="G9"/>
  <c r="H9" s="1"/>
  <c r="G146"/>
  <c r="G147" s="1"/>
  <c r="H145"/>
  <c r="I145"/>
  <c r="I125"/>
  <c r="C153"/>
  <c r="C154" s="1"/>
  <c r="D152"/>
  <c r="E152"/>
  <c r="C17"/>
  <c r="H16"/>
  <c r="D49"/>
  <c r="E56"/>
  <c r="E76"/>
  <c r="D83"/>
  <c r="E90"/>
  <c r="E124"/>
  <c r="E144"/>
  <c r="F144" s="1"/>
  <c r="H151"/>
  <c r="D158"/>
  <c r="I158"/>
  <c r="C18"/>
  <c r="M321"/>
  <c r="E42"/>
  <c r="C50"/>
  <c r="D56"/>
  <c r="I56"/>
  <c r="D76"/>
  <c r="I76"/>
  <c r="G77"/>
  <c r="H83"/>
  <c r="C84"/>
  <c r="D90"/>
  <c r="I90"/>
  <c r="G91"/>
  <c r="E117"/>
  <c r="G152"/>
  <c r="K152" s="1"/>
  <c r="C159"/>
  <c r="D42"/>
  <c r="C57"/>
  <c r="C77"/>
  <c r="H90"/>
  <c r="C91"/>
  <c r="D117"/>
  <c r="C125"/>
  <c r="C145"/>
  <c r="I17"/>
  <c r="I151"/>
  <c r="C112"/>
  <c r="C113" s="1"/>
  <c r="D111"/>
  <c r="E111"/>
  <c r="E110"/>
  <c r="D110"/>
  <c r="L110" s="1"/>
  <c r="I110"/>
  <c r="J110" s="1"/>
  <c r="G111"/>
  <c r="K390"/>
  <c r="J382"/>
  <c r="K396"/>
  <c r="K382"/>
  <c r="K389"/>
  <c r="F396"/>
  <c r="K356"/>
  <c r="L356"/>
  <c r="M356"/>
  <c r="L348"/>
  <c r="K362"/>
  <c r="K348"/>
  <c r="J348"/>
  <c r="F348"/>
  <c r="K355"/>
  <c r="K322"/>
  <c r="J314"/>
  <c r="F321"/>
  <c r="K328"/>
  <c r="K314"/>
  <c r="K321"/>
  <c r="K288"/>
  <c r="L288"/>
  <c r="M288"/>
  <c r="J280"/>
  <c r="K294"/>
  <c r="K280"/>
  <c r="F280"/>
  <c r="K287"/>
  <c r="F294"/>
  <c r="K254"/>
  <c r="K260"/>
  <c r="K246"/>
  <c r="F246"/>
  <c r="K253"/>
  <c r="K220"/>
  <c r="K226"/>
  <c r="K219"/>
  <c r="F226"/>
  <c r="K192"/>
  <c r="F192"/>
  <c r="K158"/>
  <c r="K144"/>
  <c r="K151"/>
  <c r="F117"/>
  <c r="K124"/>
  <c r="K110"/>
  <c r="K117"/>
  <c r="K90"/>
  <c r="K76"/>
  <c r="K83"/>
  <c r="K42"/>
  <c r="I15"/>
  <c r="D15"/>
  <c r="F15" s="1"/>
  <c r="D9"/>
  <c r="E9"/>
  <c r="K15"/>
  <c r="C11"/>
  <c r="E8"/>
  <c r="E10"/>
  <c r="D8"/>
  <c r="I8"/>
  <c r="H8"/>
  <c r="K8"/>
  <c r="P3" i="22"/>
  <c r="J3"/>
  <c r="X2"/>
  <c r="A2"/>
  <c r="AA1"/>
  <c r="X1"/>
  <c r="O6" s="1"/>
  <c r="W1"/>
  <c r="G8" i="21"/>
  <c r="C8"/>
  <c r="B8"/>
  <c r="P3"/>
  <c r="X2"/>
  <c r="A2"/>
  <c r="AA1"/>
  <c r="X1"/>
  <c r="C15" s="1"/>
  <c r="W1"/>
  <c r="G8" i="2"/>
  <c r="H8" s="1"/>
  <c r="B8"/>
  <c r="C8"/>
  <c r="P3"/>
  <c r="J3"/>
  <c r="X2"/>
  <c r="C15"/>
  <c r="W1"/>
  <c r="C13" s="1"/>
  <c r="O13" s="1"/>
  <c r="E43" i="23" l="1"/>
  <c r="D43"/>
  <c r="J17"/>
  <c r="G126"/>
  <c r="G127" s="1"/>
  <c r="E187"/>
  <c r="F158"/>
  <c r="F49"/>
  <c r="C936"/>
  <c r="K17"/>
  <c r="K9"/>
  <c r="F90"/>
  <c r="K49"/>
  <c r="K178"/>
  <c r="G18"/>
  <c r="H18"/>
  <c r="J178"/>
  <c r="G10"/>
  <c r="H10" s="1"/>
  <c r="L10" s="1"/>
  <c r="K57"/>
  <c r="H1138"/>
  <c r="I1138"/>
  <c r="H22"/>
  <c r="H56"/>
  <c r="L56" s="1"/>
  <c r="F76"/>
  <c r="H49"/>
  <c r="H57"/>
  <c r="I228"/>
  <c r="L16"/>
  <c r="K56"/>
  <c r="I49"/>
  <c r="I57"/>
  <c r="F178"/>
  <c r="E226"/>
  <c r="I124"/>
  <c r="G23"/>
  <c r="J144"/>
  <c r="J83"/>
  <c r="G1139"/>
  <c r="G1140" s="1"/>
  <c r="H398"/>
  <c r="H399" s="1"/>
  <c r="I398"/>
  <c r="I399" s="1"/>
  <c r="Q397"/>
  <c r="C398"/>
  <c r="C399" s="1"/>
  <c r="D397"/>
  <c r="E397"/>
  <c r="E390"/>
  <c r="Q390"/>
  <c r="C391"/>
  <c r="C392" s="1"/>
  <c r="D390"/>
  <c r="L390" s="1"/>
  <c r="I391"/>
  <c r="I392" s="1"/>
  <c r="H391"/>
  <c r="H392" s="1"/>
  <c r="I383"/>
  <c r="G384"/>
  <c r="G385" s="1"/>
  <c r="H383"/>
  <c r="D384"/>
  <c r="D385" s="1"/>
  <c r="E384"/>
  <c r="E385" s="1"/>
  <c r="J1138"/>
  <c r="M1138"/>
  <c r="N1144"/>
  <c r="M1144"/>
  <c r="L1137"/>
  <c r="F1137"/>
  <c r="I1131"/>
  <c r="G1132"/>
  <c r="H1131"/>
  <c r="G1146"/>
  <c r="H1145"/>
  <c r="I1145"/>
  <c r="K1139"/>
  <c r="K1140" s="1"/>
  <c r="D1139"/>
  <c r="E1139"/>
  <c r="L1130"/>
  <c r="N1138"/>
  <c r="L1138"/>
  <c r="L1144"/>
  <c r="F1130"/>
  <c r="M1130"/>
  <c r="E1131"/>
  <c r="M1131" s="1"/>
  <c r="J1131"/>
  <c r="C1132"/>
  <c r="K1131"/>
  <c r="D1131"/>
  <c r="L1131" s="1"/>
  <c r="C1146"/>
  <c r="D1145"/>
  <c r="L1145" s="1"/>
  <c r="E1145"/>
  <c r="M1145" s="1"/>
  <c r="J1145"/>
  <c r="F1145"/>
  <c r="N1145" s="1"/>
  <c r="K1145"/>
  <c r="J1137"/>
  <c r="I1097"/>
  <c r="G1098"/>
  <c r="H1097"/>
  <c r="G1112"/>
  <c r="H1111"/>
  <c r="I1111"/>
  <c r="M1104"/>
  <c r="L1110"/>
  <c r="L1096"/>
  <c r="K1105"/>
  <c r="D1105"/>
  <c r="E1105"/>
  <c r="F1105" s="1"/>
  <c r="F1110"/>
  <c r="M1096"/>
  <c r="J1110"/>
  <c r="N1104"/>
  <c r="L1104"/>
  <c r="M1110"/>
  <c r="N1096"/>
  <c r="E1097"/>
  <c r="M1097" s="1"/>
  <c r="J1097"/>
  <c r="C1098"/>
  <c r="K1097"/>
  <c r="D1097"/>
  <c r="L1097" s="1"/>
  <c r="C1112"/>
  <c r="C1113" s="1"/>
  <c r="D1111"/>
  <c r="L1111" s="1"/>
  <c r="E1111"/>
  <c r="M1111" s="1"/>
  <c r="J1111"/>
  <c r="F1111"/>
  <c r="N1111" s="1"/>
  <c r="K1111"/>
  <c r="P1103"/>
  <c r="H1105"/>
  <c r="H1106" s="1"/>
  <c r="I1105"/>
  <c r="I1106" s="1"/>
  <c r="K1106"/>
  <c r="M1062"/>
  <c r="J1069"/>
  <c r="I1063"/>
  <c r="G1064"/>
  <c r="G1065" s="1"/>
  <c r="H1063"/>
  <c r="G1078"/>
  <c r="H1077"/>
  <c r="I1077"/>
  <c r="F1071"/>
  <c r="F1072" s="1"/>
  <c r="K1071"/>
  <c r="K1072" s="1"/>
  <c r="D1071"/>
  <c r="D1072" s="1"/>
  <c r="E1071"/>
  <c r="E1072" s="1"/>
  <c r="J1076"/>
  <c r="M1076"/>
  <c r="N1062"/>
  <c r="N1070"/>
  <c r="L1076"/>
  <c r="M1069"/>
  <c r="E1063"/>
  <c r="M1063" s="1"/>
  <c r="J1063"/>
  <c r="C1064"/>
  <c r="K1063"/>
  <c r="D1063"/>
  <c r="C1078"/>
  <c r="C1079" s="1"/>
  <c r="D1077"/>
  <c r="L1077" s="1"/>
  <c r="E1077"/>
  <c r="M1077" s="1"/>
  <c r="J1077"/>
  <c r="F1077"/>
  <c r="K1077"/>
  <c r="H1071"/>
  <c r="H1072" s="1"/>
  <c r="I1071"/>
  <c r="I1072" s="1"/>
  <c r="F1076"/>
  <c r="M1070"/>
  <c r="M1028"/>
  <c r="E1029"/>
  <c r="J1029"/>
  <c r="C1030"/>
  <c r="C1031" s="1"/>
  <c r="K1029"/>
  <c r="D1029"/>
  <c r="C1044"/>
  <c r="D1043"/>
  <c r="E1043"/>
  <c r="M1043" s="1"/>
  <c r="K1043"/>
  <c r="K1037"/>
  <c r="K1038" s="1"/>
  <c r="D1037"/>
  <c r="D1038" s="1"/>
  <c r="E1037"/>
  <c r="M1042"/>
  <c r="L1035"/>
  <c r="I1029"/>
  <c r="G1030"/>
  <c r="G1031" s="1"/>
  <c r="H1029"/>
  <c r="G1044"/>
  <c r="G1045" s="1"/>
  <c r="H1043"/>
  <c r="J1043" s="1"/>
  <c r="I1043"/>
  <c r="L1028"/>
  <c r="H1037"/>
  <c r="J1037" s="1"/>
  <c r="J1038" s="1"/>
  <c r="I1037"/>
  <c r="I1038" s="1"/>
  <c r="L1042"/>
  <c r="F1042"/>
  <c r="C1045"/>
  <c r="N1036"/>
  <c r="J1042"/>
  <c r="C1038"/>
  <c r="F1028"/>
  <c r="F1035"/>
  <c r="M1036"/>
  <c r="M994"/>
  <c r="H1003"/>
  <c r="H1004" s="1"/>
  <c r="I1003"/>
  <c r="I1004" s="1"/>
  <c r="J1008"/>
  <c r="N1002"/>
  <c r="L1002"/>
  <c r="M1008"/>
  <c r="N994"/>
  <c r="N1001"/>
  <c r="E995"/>
  <c r="C996"/>
  <c r="K995"/>
  <c r="D995"/>
  <c r="C1010"/>
  <c r="D1009"/>
  <c r="E1009"/>
  <c r="F1009"/>
  <c r="K1009"/>
  <c r="L1008"/>
  <c r="I995"/>
  <c r="G996"/>
  <c r="H995"/>
  <c r="G1010"/>
  <c r="H1009"/>
  <c r="I1009"/>
  <c r="L994"/>
  <c r="J1003"/>
  <c r="J1004" s="1"/>
  <c r="K1003"/>
  <c r="K1004" s="1"/>
  <c r="D1003"/>
  <c r="E1003"/>
  <c r="F1008"/>
  <c r="I961"/>
  <c r="G962"/>
  <c r="H961"/>
  <c r="G976"/>
  <c r="H975"/>
  <c r="I975"/>
  <c r="H969"/>
  <c r="J969" s="1"/>
  <c r="J970" s="1"/>
  <c r="I969"/>
  <c r="I970" s="1"/>
  <c r="L974"/>
  <c r="L960"/>
  <c r="F974"/>
  <c r="M960"/>
  <c r="K969"/>
  <c r="K970" s="1"/>
  <c r="D969"/>
  <c r="E969"/>
  <c r="M969" s="1"/>
  <c r="M970" s="1"/>
  <c r="J974"/>
  <c r="M974"/>
  <c r="N960"/>
  <c r="E961"/>
  <c r="M961" s="1"/>
  <c r="J961"/>
  <c r="C962"/>
  <c r="K961"/>
  <c r="D961"/>
  <c r="L961" s="1"/>
  <c r="C976"/>
  <c r="D975"/>
  <c r="L975" s="1"/>
  <c r="E975"/>
  <c r="M975" s="1"/>
  <c r="J975"/>
  <c r="K975"/>
  <c r="P967"/>
  <c r="N968"/>
  <c r="L968"/>
  <c r="M926"/>
  <c r="E927"/>
  <c r="C928"/>
  <c r="K927"/>
  <c r="D927"/>
  <c r="C942"/>
  <c r="D941"/>
  <c r="E941"/>
  <c r="F941"/>
  <c r="K941"/>
  <c r="K935"/>
  <c r="K936" s="1"/>
  <c r="D935"/>
  <c r="N935" s="1"/>
  <c r="E935"/>
  <c r="M940"/>
  <c r="L933"/>
  <c r="I927"/>
  <c r="G928"/>
  <c r="G929" s="1"/>
  <c r="H927"/>
  <c r="J927" s="1"/>
  <c r="G942"/>
  <c r="G943" s="1"/>
  <c r="H941"/>
  <c r="J941" s="1"/>
  <c r="I941"/>
  <c r="L926"/>
  <c r="L934"/>
  <c r="H935"/>
  <c r="J935" s="1"/>
  <c r="J936" s="1"/>
  <c r="I935"/>
  <c r="I936" s="1"/>
  <c r="J940"/>
  <c r="N940" s="1"/>
  <c r="L940"/>
  <c r="N926"/>
  <c r="F933"/>
  <c r="M892"/>
  <c r="H901"/>
  <c r="H902" s="1"/>
  <c r="I901"/>
  <c r="I902" s="1"/>
  <c r="J906"/>
  <c r="N900"/>
  <c r="M906"/>
  <c r="N899"/>
  <c r="F892"/>
  <c r="E893"/>
  <c r="C894"/>
  <c r="K893"/>
  <c r="D893"/>
  <c r="C908"/>
  <c r="C909" s="1"/>
  <c r="D907"/>
  <c r="E907"/>
  <c r="F907"/>
  <c r="K907"/>
  <c r="L906"/>
  <c r="I893"/>
  <c r="G894"/>
  <c r="H893"/>
  <c r="J893" s="1"/>
  <c r="G908"/>
  <c r="H907"/>
  <c r="I907"/>
  <c r="L892"/>
  <c r="J901"/>
  <c r="J902" s="1"/>
  <c r="K901"/>
  <c r="K902" s="1"/>
  <c r="D901"/>
  <c r="E901"/>
  <c r="M901" s="1"/>
  <c r="M902" s="1"/>
  <c r="F906"/>
  <c r="N872"/>
  <c r="M858"/>
  <c r="F858"/>
  <c r="E859"/>
  <c r="C860"/>
  <c r="K859"/>
  <c r="F859"/>
  <c r="D859"/>
  <c r="C874"/>
  <c r="C875" s="1"/>
  <c r="D873"/>
  <c r="E873"/>
  <c r="F873"/>
  <c r="K873"/>
  <c r="H867"/>
  <c r="H868" s="1"/>
  <c r="I867"/>
  <c r="I868" s="1"/>
  <c r="M866"/>
  <c r="I859"/>
  <c r="G860"/>
  <c r="G861" s="1"/>
  <c r="H859"/>
  <c r="G874"/>
  <c r="G875" s="1"/>
  <c r="H873"/>
  <c r="J873" s="1"/>
  <c r="I873"/>
  <c r="J867"/>
  <c r="F867"/>
  <c r="N867" s="1"/>
  <c r="K867"/>
  <c r="K868" s="1"/>
  <c r="D867"/>
  <c r="E867"/>
  <c r="J866"/>
  <c r="L866"/>
  <c r="L872"/>
  <c r="N865"/>
  <c r="M824"/>
  <c r="E825"/>
  <c r="C826"/>
  <c r="K825"/>
  <c r="D825"/>
  <c r="C840"/>
  <c r="D839"/>
  <c r="E839"/>
  <c r="F839"/>
  <c r="K839"/>
  <c r="K833"/>
  <c r="K834" s="1"/>
  <c r="D833"/>
  <c r="F833" s="1"/>
  <c r="N833" s="1"/>
  <c r="E833"/>
  <c r="M838"/>
  <c r="L831"/>
  <c r="D834"/>
  <c r="I825"/>
  <c r="G826"/>
  <c r="G827" s="1"/>
  <c r="H825"/>
  <c r="J825" s="1"/>
  <c r="G840"/>
  <c r="H839"/>
  <c r="J839" s="1"/>
  <c r="I839"/>
  <c r="L824"/>
  <c r="N832"/>
  <c r="L832"/>
  <c r="H833"/>
  <c r="J833" s="1"/>
  <c r="J834" s="1"/>
  <c r="I833"/>
  <c r="I834" s="1"/>
  <c r="J838"/>
  <c r="N838" s="1"/>
  <c r="L838"/>
  <c r="N824"/>
  <c r="F831"/>
  <c r="G841"/>
  <c r="M790"/>
  <c r="E791"/>
  <c r="C792"/>
  <c r="K791"/>
  <c r="D791"/>
  <c r="C806"/>
  <c r="D805"/>
  <c r="E805"/>
  <c r="F805"/>
  <c r="K805"/>
  <c r="K799"/>
  <c r="K800" s="1"/>
  <c r="D799"/>
  <c r="F799" s="1"/>
  <c r="N799" s="1"/>
  <c r="E799"/>
  <c r="M804"/>
  <c r="L797"/>
  <c r="D800"/>
  <c r="I791"/>
  <c r="G792"/>
  <c r="G793" s="1"/>
  <c r="H791"/>
  <c r="J791" s="1"/>
  <c r="G806"/>
  <c r="G807" s="1"/>
  <c r="H805"/>
  <c r="J805" s="1"/>
  <c r="I805"/>
  <c r="L790"/>
  <c r="N798"/>
  <c r="L798"/>
  <c r="H799"/>
  <c r="J799" s="1"/>
  <c r="J800" s="1"/>
  <c r="I799"/>
  <c r="I800" s="1"/>
  <c r="J804"/>
  <c r="N804" s="1"/>
  <c r="L804"/>
  <c r="N790"/>
  <c r="F797"/>
  <c r="M756"/>
  <c r="E757"/>
  <c r="C758"/>
  <c r="K757"/>
  <c r="D757"/>
  <c r="C772"/>
  <c r="D771"/>
  <c r="E771"/>
  <c r="F771"/>
  <c r="K771"/>
  <c r="K765"/>
  <c r="K766" s="1"/>
  <c r="D765"/>
  <c r="F765" s="1"/>
  <c r="N765" s="1"/>
  <c r="E765"/>
  <c r="M770"/>
  <c r="L763"/>
  <c r="D766"/>
  <c r="I757"/>
  <c r="G758"/>
  <c r="G759" s="1"/>
  <c r="H757"/>
  <c r="J757" s="1"/>
  <c r="G772"/>
  <c r="H771"/>
  <c r="J771" s="1"/>
  <c r="I771"/>
  <c r="L756"/>
  <c r="N764"/>
  <c r="L764"/>
  <c r="H765"/>
  <c r="J765" s="1"/>
  <c r="J766" s="1"/>
  <c r="I765"/>
  <c r="I766" s="1"/>
  <c r="J770"/>
  <c r="N770" s="1"/>
  <c r="L770"/>
  <c r="N756"/>
  <c r="F763"/>
  <c r="G773"/>
  <c r="M722"/>
  <c r="E723"/>
  <c r="C724"/>
  <c r="K723"/>
  <c r="D723"/>
  <c r="C738"/>
  <c r="D737"/>
  <c r="E737"/>
  <c r="F737"/>
  <c r="K737"/>
  <c r="K731"/>
  <c r="K732" s="1"/>
  <c r="D731"/>
  <c r="F731" s="1"/>
  <c r="N731" s="1"/>
  <c r="E731"/>
  <c r="M736"/>
  <c r="L729"/>
  <c r="D732"/>
  <c r="I723"/>
  <c r="G724"/>
  <c r="G725" s="1"/>
  <c r="H723"/>
  <c r="J723" s="1"/>
  <c r="G738"/>
  <c r="G739" s="1"/>
  <c r="H737"/>
  <c r="J737" s="1"/>
  <c r="I737"/>
  <c r="L722"/>
  <c r="N730"/>
  <c r="L730"/>
  <c r="H731"/>
  <c r="J731" s="1"/>
  <c r="J732" s="1"/>
  <c r="I731"/>
  <c r="I732" s="1"/>
  <c r="J736"/>
  <c r="N736" s="1"/>
  <c r="L736"/>
  <c r="N722"/>
  <c r="F729"/>
  <c r="L702"/>
  <c r="L688"/>
  <c r="F702"/>
  <c r="M688"/>
  <c r="J702"/>
  <c r="M702"/>
  <c r="N688"/>
  <c r="E689"/>
  <c r="C690"/>
  <c r="C691" s="1"/>
  <c r="K689"/>
  <c r="D689"/>
  <c r="C704"/>
  <c r="C705" s="1"/>
  <c r="D703"/>
  <c r="E703"/>
  <c r="F703"/>
  <c r="K703"/>
  <c r="N695"/>
  <c r="H697"/>
  <c r="H698" s="1"/>
  <c r="I697"/>
  <c r="I698" s="1"/>
  <c r="J697"/>
  <c r="J698" s="1"/>
  <c r="F697"/>
  <c r="N697" s="1"/>
  <c r="K697"/>
  <c r="K698" s="1"/>
  <c r="D697"/>
  <c r="E697"/>
  <c r="I689"/>
  <c r="G690"/>
  <c r="G691" s="1"/>
  <c r="H689"/>
  <c r="G704"/>
  <c r="H703"/>
  <c r="I703"/>
  <c r="N696"/>
  <c r="L696"/>
  <c r="M654"/>
  <c r="E655"/>
  <c r="J655"/>
  <c r="C656"/>
  <c r="K655"/>
  <c r="D655"/>
  <c r="C670"/>
  <c r="D669"/>
  <c r="E669"/>
  <c r="F669"/>
  <c r="K669"/>
  <c r="K663"/>
  <c r="K664" s="1"/>
  <c r="D663"/>
  <c r="F663" s="1"/>
  <c r="N663" s="1"/>
  <c r="E663"/>
  <c r="M668"/>
  <c r="L661"/>
  <c r="D664"/>
  <c r="I655"/>
  <c r="G656"/>
  <c r="G657" s="1"/>
  <c r="H655"/>
  <c r="G670"/>
  <c r="G671" s="1"/>
  <c r="H669"/>
  <c r="I669"/>
  <c r="J669" s="1"/>
  <c r="L654"/>
  <c r="N662"/>
  <c r="L662"/>
  <c r="H663"/>
  <c r="J663" s="1"/>
  <c r="J664" s="1"/>
  <c r="I663"/>
  <c r="I664" s="1"/>
  <c r="J668"/>
  <c r="N668" s="1"/>
  <c r="L668"/>
  <c r="N654"/>
  <c r="F661"/>
  <c r="M620"/>
  <c r="E621"/>
  <c r="C622"/>
  <c r="K621"/>
  <c r="D621"/>
  <c r="C636"/>
  <c r="D635"/>
  <c r="E635"/>
  <c r="F635"/>
  <c r="K635"/>
  <c r="K629"/>
  <c r="K630" s="1"/>
  <c r="D629"/>
  <c r="F629" s="1"/>
  <c r="N629" s="1"/>
  <c r="E629"/>
  <c r="M634"/>
  <c r="L627"/>
  <c r="D630"/>
  <c r="I621"/>
  <c r="G622"/>
  <c r="G623" s="1"/>
  <c r="H621"/>
  <c r="J621" s="1"/>
  <c r="G636"/>
  <c r="H635"/>
  <c r="J635" s="1"/>
  <c r="I635"/>
  <c r="L620"/>
  <c r="N628"/>
  <c r="L628"/>
  <c r="H629"/>
  <c r="J629" s="1"/>
  <c r="J630" s="1"/>
  <c r="I629"/>
  <c r="I630" s="1"/>
  <c r="J634"/>
  <c r="N634" s="1"/>
  <c r="L634"/>
  <c r="N620"/>
  <c r="F627"/>
  <c r="G637"/>
  <c r="M586"/>
  <c r="E587"/>
  <c r="J587"/>
  <c r="C588"/>
  <c r="K587"/>
  <c r="D587"/>
  <c r="C602"/>
  <c r="D601"/>
  <c r="E601"/>
  <c r="F601"/>
  <c r="K601"/>
  <c r="K595"/>
  <c r="K596" s="1"/>
  <c r="D595"/>
  <c r="F595" s="1"/>
  <c r="N595" s="1"/>
  <c r="E595"/>
  <c r="M600"/>
  <c r="L593"/>
  <c r="D596"/>
  <c r="I587"/>
  <c r="G588"/>
  <c r="G589" s="1"/>
  <c r="H587"/>
  <c r="G602"/>
  <c r="G603" s="1"/>
  <c r="H601"/>
  <c r="I601"/>
  <c r="J601" s="1"/>
  <c r="L586"/>
  <c r="N594"/>
  <c r="L594"/>
  <c r="H595"/>
  <c r="J595" s="1"/>
  <c r="J596" s="1"/>
  <c r="I595"/>
  <c r="I596" s="1"/>
  <c r="J600"/>
  <c r="N600" s="1"/>
  <c r="L600"/>
  <c r="N586"/>
  <c r="F593"/>
  <c r="M552"/>
  <c r="E553"/>
  <c r="C554"/>
  <c r="K553"/>
  <c r="D553"/>
  <c r="C568"/>
  <c r="D567"/>
  <c r="E567"/>
  <c r="F567"/>
  <c r="K567"/>
  <c r="K561"/>
  <c r="K562" s="1"/>
  <c r="D561"/>
  <c r="F561" s="1"/>
  <c r="N561" s="1"/>
  <c r="E561"/>
  <c r="M566"/>
  <c r="L559"/>
  <c r="D562"/>
  <c r="I553"/>
  <c r="G554"/>
  <c r="G555" s="1"/>
  <c r="H553"/>
  <c r="J553" s="1"/>
  <c r="G568"/>
  <c r="G569" s="1"/>
  <c r="H567"/>
  <c r="J567" s="1"/>
  <c r="I567"/>
  <c r="L552"/>
  <c r="N560"/>
  <c r="L560"/>
  <c r="H561"/>
  <c r="J561" s="1"/>
  <c r="J562" s="1"/>
  <c r="I561"/>
  <c r="I562" s="1"/>
  <c r="J566"/>
  <c r="N566" s="1"/>
  <c r="L566"/>
  <c r="N552"/>
  <c r="F559"/>
  <c r="L532"/>
  <c r="L518"/>
  <c r="F532"/>
  <c r="M518"/>
  <c r="J532"/>
  <c r="M532"/>
  <c r="E519"/>
  <c r="C520"/>
  <c r="K519"/>
  <c r="D519"/>
  <c r="C534"/>
  <c r="C535" s="1"/>
  <c r="D533"/>
  <c r="E533"/>
  <c r="F533"/>
  <c r="K533"/>
  <c r="N525"/>
  <c r="H527"/>
  <c r="J527" s="1"/>
  <c r="J528" s="1"/>
  <c r="I527"/>
  <c r="I528" s="1"/>
  <c r="K527"/>
  <c r="K528" s="1"/>
  <c r="D527"/>
  <c r="F527" s="1"/>
  <c r="E527"/>
  <c r="F518"/>
  <c r="I519"/>
  <c r="G520"/>
  <c r="H519"/>
  <c r="G534"/>
  <c r="G535" s="1"/>
  <c r="H533"/>
  <c r="J533" s="1"/>
  <c r="I533"/>
  <c r="N526"/>
  <c r="L526"/>
  <c r="M484"/>
  <c r="E485"/>
  <c r="C486"/>
  <c r="C487" s="1"/>
  <c r="K485"/>
  <c r="D485"/>
  <c r="C500"/>
  <c r="C501" s="1"/>
  <c r="D499"/>
  <c r="E499"/>
  <c r="M499" s="1"/>
  <c r="F499"/>
  <c r="K499"/>
  <c r="M498"/>
  <c r="L491"/>
  <c r="I485"/>
  <c r="G486"/>
  <c r="H485"/>
  <c r="J485" s="1"/>
  <c r="G500"/>
  <c r="G501" s="1"/>
  <c r="H499"/>
  <c r="J499" s="1"/>
  <c r="I499"/>
  <c r="L484"/>
  <c r="H493"/>
  <c r="J493" s="1"/>
  <c r="J494" s="1"/>
  <c r="I493"/>
  <c r="I494" s="1"/>
  <c r="M492"/>
  <c r="F493"/>
  <c r="K493"/>
  <c r="K494" s="1"/>
  <c r="D493"/>
  <c r="D494" s="1"/>
  <c r="E493"/>
  <c r="J498"/>
  <c r="N498" s="1"/>
  <c r="L498"/>
  <c r="F484"/>
  <c r="F491"/>
  <c r="N492"/>
  <c r="L492"/>
  <c r="M450"/>
  <c r="E451"/>
  <c r="C452"/>
  <c r="K451"/>
  <c r="D451"/>
  <c r="C466"/>
  <c r="D465"/>
  <c r="E465"/>
  <c r="M465" s="1"/>
  <c r="K465"/>
  <c r="K459"/>
  <c r="K460" s="1"/>
  <c r="D459"/>
  <c r="F459" s="1"/>
  <c r="N459" s="1"/>
  <c r="E459"/>
  <c r="M464"/>
  <c r="L457"/>
  <c r="D460"/>
  <c r="I451"/>
  <c r="G452"/>
  <c r="G453" s="1"/>
  <c r="H451"/>
  <c r="J451" s="1"/>
  <c r="G466"/>
  <c r="G467" s="1"/>
  <c r="H465"/>
  <c r="J465" s="1"/>
  <c r="I465"/>
  <c r="L450"/>
  <c r="N458"/>
  <c r="L458"/>
  <c r="H459"/>
  <c r="J459" s="1"/>
  <c r="J460" s="1"/>
  <c r="I459"/>
  <c r="I460" s="1"/>
  <c r="J464"/>
  <c r="N464" s="1"/>
  <c r="L464"/>
  <c r="N450"/>
  <c r="F457"/>
  <c r="N416"/>
  <c r="N430"/>
  <c r="M430"/>
  <c r="L423"/>
  <c r="K425"/>
  <c r="K426" s="1"/>
  <c r="D425"/>
  <c r="D426" s="1"/>
  <c r="E425"/>
  <c r="E426" s="1"/>
  <c r="M423"/>
  <c r="E417"/>
  <c r="M417" s="1"/>
  <c r="C418"/>
  <c r="K417"/>
  <c r="D417"/>
  <c r="C432"/>
  <c r="C433" s="1"/>
  <c r="D431"/>
  <c r="L431" s="1"/>
  <c r="E431"/>
  <c r="F431"/>
  <c r="K431"/>
  <c r="H425"/>
  <c r="J425" s="1"/>
  <c r="I425"/>
  <c r="I426" s="1"/>
  <c r="F423"/>
  <c r="F424"/>
  <c r="N424" s="1"/>
  <c r="L424"/>
  <c r="L430"/>
  <c r="I417"/>
  <c r="G418"/>
  <c r="G419" s="1"/>
  <c r="H417"/>
  <c r="G432"/>
  <c r="G433" s="1"/>
  <c r="H431"/>
  <c r="I431"/>
  <c r="J431" s="1"/>
  <c r="J423"/>
  <c r="M416"/>
  <c r="L416"/>
  <c r="I363"/>
  <c r="G364"/>
  <c r="H363"/>
  <c r="C364"/>
  <c r="C365" s="1"/>
  <c r="D363"/>
  <c r="E363"/>
  <c r="Q363"/>
  <c r="Q357"/>
  <c r="Q358" s="1"/>
  <c r="D357"/>
  <c r="D358" s="1"/>
  <c r="E357"/>
  <c r="E358" s="1"/>
  <c r="G357"/>
  <c r="G358" s="1"/>
  <c r="H356"/>
  <c r="I356"/>
  <c r="H349"/>
  <c r="I349"/>
  <c r="G350"/>
  <c r="G351" s="1"/>
  <c r="C350"/>
  <c r="D349"/>
  <c r="E349"/>
  <c r="M349" s="1"/>
  <c r="E329"/>
  <c r="Q329"/>
  <c r="C330"/>
  <c r="C331" s="1"/>
  <c r="D329"/>
  <c r="I330"/>
  <c r="I331" s="1"/>
  <c r="H330"/>
  <c r="H331" s="1"/>
  <c r="I322"/>
  <c r="G323"/>
  <c r="G324" s="1"/>
  <c r="H322"/>
  <c r="C323"/>
  <c r="C324" s="1"/>
  <c r="D322"/>
  <c r="L322" s="1"/>
  <c r="E322"/>
  <c r="Q322"/>
  <c r="D316"/>
  <c r="D317" s="1"/>
  <c r="E316"/>
  <c r="E317" s="1"/>
  <c r="I315"/>
  <c r="G316"/>
  <c r="G317" s="1"/>
  <c r="H315"/>
  <c r="J321"/>
  <c r="I295"/>
  <c r="G296"/>
  <c r="G297" s="1"/>
  <c r="H295"/>
  <c r="C296"/>
  <c r="C297" s="1"/>
  <c r="D295"/>
  <c r="L295" s="1"/>
  <c r="E295"/>
  <c r="M295" s="1"/>
  <c r="Q295"/>
  <c r="Q289"/>
  <c r="Q290" s="1"/>
  <c r="D289"/>
  <c r="D290" s="1"/>
  <c r="E289"/>
  <c r="E290" s="1"/>
  <c r="G289"/>
  <c r="H288"/>
  <c r="I288"/>
  <c r="H282"/>
  <c r="H283" s="1"/>
  <c r="I282"/>
  <c r="I283" s="1"/>
  <c r="E281"/>
  <c r="M281" s="1"/>
  <c r="C282"/>
  <c r="C283" s="1"/>
  <c r="D281"/>
  <c r="L281" s="1"/>
  <c r="D262"/>
  <c r="E262"/>
  <c r="I260"/>
  <c r="H260"/>
  <c r="I261"/>
  <c r="H261"/>
  <c r="H255"/>
  <c r="I255"/>
  <c r="E255"/>
  <c r="D255"/>
  <c r="H254"/>
  <c r="I254"/>
  <c r="D253"/>
  <c r="L253" s="1"/>
  <c r="E253"/>
  <c r="D254"/>
  <c r="L254" s="1"/>
  <c r="E254"/>
  <c r="M254" s="1"/>
  <c r="H253"/>
  <c r="I253"/>
  <c r="D246"/>
  <c r="L246" s="1"/>
  <c r="E246"/>
  <c r="D247"/>
  <c r="E247"/>
  <c r="M247" s="1"/>
  <c r="D248"/>
  <c r="E248"/>
  <c r="D228"/>
  <c r="E228"/>
  <c r="I226"/>
  <c r="H226"/>
  <c r="I227"/>
  <c r="H227"/>
  <c r="H221"/>
  <c r="I221"/>
  <c r="E221"/>
  <c r="D221"/>
  <c r="H220"/>
  <c r="I220"/>
  <c r="D219"/>
  <c r="L219" s="1"/>
  <c r="E219"/>
  <c r="M219" s="1"/>
  <c r="D220"/>
  <c r="L220" s="1"/>
  <c r="E220"/>
  <c r="M220" s="1"/>
  <c r="H219"/>
  <c r="I219"/>
  <c r="D212"/>
  <c r="L212" s="1"/>
  <c r="E212"/>
  <c r="M212" s="1"/>
  <c r="D213"/>
  <c r="L213" s="1"/>
  <c r="E213"/>
  <c r="M213" s="1"/>
  <c r="D214"/>
  <c r="E214"/>
  <c r="K212"/>
  <c r="J212"/>
  <c r="F212"/>
  <c r="N212" s="1"/>
  <c r="H124"/>
  <c r="J124" s="1"/>
  <c r="G84"/>
  <c r="K84" s="1"/>
  <c r="J76"/>
  <c r="N76" s="1"/>
  <c r="P76" s="1"/>
  <c r="I50"/>
  <c r="H50"/>
  <c r="G51"/>
  <c r="G52" s="1"/>
  <c r="G11"/>
  <c r="C23"/>
  <c r="D23" s="1"/>
  <c r="J185"/>
  <c r="I9"/>
  <c r="J9" s="1"/>
  <c r="J22"/>
  <c r="K10"/>
  <c r="K22"/>
  <c r="I10"/>
  <c r="J10" s="1"/>
  <c r="H11"/>
  <c r="D22"/>
  <c r="F22" s="1"/>
  <c r="J253"/>
  <c r="J288"/>
  <c r="F9"/>
  <c r="F254"/>
  <c r="N254" s="1"/>
  <c r="J254"/>
  <c r="J287"/>
  <c r="J219"/>
  <c r="J220"/>
  <c r="J356"/>
  <c r="J322"/>
  <c r="J355"/>
  <c r="F356"/>
  <c r="N356" s="1"/>
  <c r="P356" s="1"/>
  <c r="F382"/>
  <c r="N382" s="1"/>
  <c r="P382" s="1"/>
  <c r="L9"/>
  <c r="F322"/>
  <c r="N322" s="1"/>
  <c r="P322" s="1"/>
  <c r="J389"/>
  <c r="J390"/>
  <c r="H194"/>
  <c r="I194"/>
  <c r="H193"/>
  <c r="I193"/>
  <c r="D192"/>
  <c r="L192" s="1"/>
  <c r="E192"/>
  <c r="M192" s="1"/>
  <c r="E194"/>
  <c r="D194"/>
  <c r="D193"/>
  <c r="E193"/>
  <c r="H192"/>
  <c r="I192"/>
  <c r="H186"/>
  <c r="I186"/>
  <c r="E185"/>
  <c r="M185" s="1"/>
  <c r="D185"/>
  <c r="L185" s="1"/>
  <c r="E186"/>
  <c r="M186" s="1"/>
  <c r="D186"/>
  <c r="L186" s="1"/>
  <c r="H185"/>
  <c r="I185"/>
  <c r="I187"/>
  <c r="H187"/>
  <c r="H179"/>
  <c r="I179"/>
  <c r="C179"/>
  <c r="F179" s="1"/>
  <c r="H180"/>
  <c r="I180"/>
  <c r="D178"/>
  <c r="L178" s="1"/>
  <c r="E178"/>
  <c r="M178" s="1"/>
  <c r="G181"/>
  <c r="G159"/>
  <c r="K159" s="1"/>
  <c r="H158"/>
  <c r="L158" s="1"/>
  <c r="G118"/>
  <c r="I117"/>
  <c r="H117"/>
  <c r="L117" s="1"/>
  <c r="C118"/>
  <c r="G44"/>
  <c r="G45" s="1"/>
  <c r="I43"/>
  <c r="H43"/>
  <c r="I42"/>
  <c r="H42"/>
  <c r="L42" s="1"/>
  <c r="J16"/>
  <c r="I18"/>
  <c r="F390"/>
  <c r="J186"/>
  <c r="F253"/>
  <c r="N253" s="1"/>
  <c r="F355"/>
  <c r="N355" s="1"/>
  <c r="E159"/>
  <c r="C160"/>
  <c r="C161" s="1"/>
  <c r="D159"/>
  <c r="G92"/>
  <c r="G93" s="1"/>
  <c r="H91"/>
  <c r="I91"/>
  <c r="F56"/>
  <c r="E17"/>
  <c r="D17"/>
  <c r="L17" s="1"/>
  <c r="D153"/>
  <c r="D154" s="1"/>
  <c r="E153"/>
  <c r="E154" s="1"/>
  <c r="L15"/>
  <c r="C126"/>
  <c r="D125"/>
  <c r="E125"/>
  <c r="C92"/>
  <c r="D91"/>
  <c r="L91" s="1"/>
  <c r="E91"/>
  <c r="M91" s="1"/>
  <c r="M117"/>
  <c r="E84"/>
  <c r="C85"/>
  <c r="C86" s="1"/>
  <c r="D84"/>
  <c r="I146"/>
  <c r="I147" s="1"/>
  <c r="H146"/>
  <c r="H147" s="1"/>
  <c r="F220"/>
  <c r="N220" s="1"/>
  <c r="C146"/>
  <c r="C147" s="1"/>
  <c r="D145"/>
  <c r="L145" s="1"/>
  <c r="E145"/>
  <c r="M145" s="1"/>
  <c r="C58"/>
  <c r="C59" s="1"/>
  <c r="D57"/>
  <c r="L57" s="1"/>
  <c r="E57"/>
  <c r="M57" s="1"/>
  <c r="M56"/>
  <c r="L49"/>
  <c r="F185"/>
  <c r="N185" s="1"/>
  <c r="D44"/>
  <c r="D45" s="1"/>
  <c r="E44"/>
  <c r="E45" s="1"/>
  <c r="H58"/>
  <c r="I58"/>
  <c r="I59" s="1"/>
  <c r="K18"/>
  <c r="F288"/>
  <c r="N288" s="1"/>
  <c r="P288" s="1"/>
  <c r="C78"/>
  <c r="D77"/>
  <c r="E77"/>
  <c r="I152"/>
  <c r="M152" s="1"/>
  <c r="G153"/>
  <c r="K153" s="1"/>
  <c r="K154" s="1"/>
  <c r="H152"/>
  <c r="I77"/>
  <c r="M77" s="1"/>
  <c r="H77"/>
  <c r="G78"/>
  <c r="E50"/>
  <c r="C51"/>
  <c r="C52" s="1"/>
  <c r="D50"/>
  <c r="H126"/>
  <c r="I126"/>
  <c r="I127" s="1"/>
  <c r="J151"/>
  <c r="I111"/>
  <c r="M111" s="1"/>
  <c r="G112"/>
  <c r="H111"/>
  <c r="D112"/>
  <c r="D113" s="1"/>
  <c r="E112"/>
  <c r="E113" s="1"/>
  <c r="M382"/>
  <c r="M396"/>
  <c r="L389"/>
  <c r="M389"/>
  <c r="J396"/>
  <c r="L396"/>
  <c r="M383"/>
  <c r="J383"/>
  <c r="K383"/>
  <c r="L383"/>
  <c r="K397"/>
  <c r="L382"/>
  <c r="F389"/>
  <c r="N348"/>
  <c r="P348" s="1"/>
  <c r="L362"/>
  <c r="J349"/>
  <c r="K349"/>
  <c r="K363"/>
  <c r="M348"/>
  <c r="K357"/>
  <c r="K358" s="1"/>
  <c r="M362"/>
  <c r="L355"/>
  <c r="O356"/>
  <c r="F362"/>
  <c r="M355"/>
  <c r="J362"/>
  <c r="M315"/>
  <c r="J315"/>
  <c r="K315"/>
  <c r="L315"/>
  <c r="K329"/>
  <c r="N321"/>
  <c r="L314"/>
  <c r="L328"/>
  <c r="F328"/>
  <c r="M322"/>
  <c r="M314"/>
  <c r="J328"/>
  <c r="M328"/>
  <c r="F314"/>
  <c r="M280"/>
  <c r="M294"/>
  <c r="L287"/>
  <c r="K289"/>
  <c r="K290" s="1"/>
  <c r="M287"/>
  <c r="O288"/>
  <c r="J294"/>
  <c r="L294"/>
  <c r="N280"/>
  <c r="J281"/>
  <c r="K281"/>
  <c r="K295"/>
  <c r="L280"/>
  <c r="F287"/>
  <c r="N246"/>
  <c r="L260"/>
  <c r="J247"/>
  <c r="K247"/>
  <c r="K261"/>
  <c r="M246"/>
  <c r="K255"/>
  <c r="M260"/>
  <c r="F260"/>
  <c r="M253"/>
  <c r="J260"/>
  <c r="M226"/>
  <c r="K221"/>
  <c r="O220"/>
  <c r="J226"/>
  <c r="N226" s="1"/>
  <c r="L226"/>
  <c r="J213"/>
  <c r="K213"/>
  <c r="L227"/>
  <c r="K227"/>
  <c r="F219"/>
  <c r="N178"/>
  <c r="N192"/>
  <c r="K193"/>
  <c r="F186"/>
  <c r="O185"/>
  <c r="K187"/>
  <c r="M144"/>
  <c r="M158"/>
  <c r="L151"/>
  <c r="M151"/>
  <c r="J158"/>
  <c r="F152"/>
  <c r="N144"/>
  <c r="P144" s="1"/>
  <c r="J145"/>
  <c r="K145"/>
  <c r="L144"/>
  <c r="F151"/>
  <c r="M110"/>
  <c r="M124"/>
  <c r="F110"/>
  <c r="K111"/>
  <c r="K125"/>
  <c r="J125"/>
  <c r="F124"/>
  <c r="M76"/>
  <c r="M90"/>
  <c r="L83"/>
  <c r="M83"/>
  <c r="J90"/>
  <c r="L90"/>
  <c r="K77"/>
  <c r="K91"/>
  <c r="L76"/>
  <c r="F83"/>
  <c r="K43"/>
  <c r="F43"/>
  <c r="F42"/>
  <c r="M49"/>
  <c r="K50"/>
  <c r="D11"/>
  <c r="J15"/>
  <c r="J18" s="1"/>
  <c r="M22"/>
  <c r="F16"/>
  <c r="M16"/>
  <c r="M15"/>
  <c r="E11"/>
  <c r="J8"/>
  <c r="M8"/>
  <c r="L8"/>
  <c r="F10"/>
  <c r="F8"/>
  <c r="G16" i="22"/>
  <c r="G24" i="21"/>
  <c r="C9"/>
  <c r="G13"/>
  <c r="H13" s="1"/>
  <c r="B9"/>
  <c r="C13"/>
  <c r="Q13" s="1"/>
  <c r="D8" i="2"/>
  <c r="B10" i="21"/>
  <c r="B13"/>
  <c r="B11"/>
  <c r="B12"/>
  <c r="H8" i="22"/>
  <c r="H9" s="1"/>
  <c r="C9"/>
  <c r="G9"/>
  <c r="C10"/>
  <c r="K8"/>
  <c r="F8"/>
  <c r="O6" i="21"/>
  <c r="E8"/>
  <c r="I8"/>
  <c r="D8"/>
  <c r="H8"/>
  <c r="K8"/>
  <c r="Q13" i="2"/>
  <c r="G24"/>
  <c r="O6"/>
  <c r="B11"/>
  <c r="B13"/>
  <c r="B10"/>
  <c r="B9"/>
  <c r="B12"/>
  <c r="G13"/>
  <c r="H13" s="1"/>
  <c r="D13"/>
  <c r="E13"/>
  <c r="E8"/>
  <c r="I8"/>
  <c r="C9"/>
  <c r="N22" i="23" l="1"/>
  <c r="P22" s="1"/>
  <c r="F153"/>
  <c r="K179"/>
  <c r="K323"/>
  <c r="K324" s="1"/>
  <c r="M50"/>
  <c r="J77"/>
  <c r="L77"/>
  <c r="F17"/>
  <c r="N17" s="1"/>
  <c r="J50"/>
  <c r="J57"/>
  <c r="L124"/>
  <c r="J111"/>
  <c r="H127"/>
  <c r="L22"/>
  <c r="H460"/>
  <c r="F125"/>
  <c r="J91"/>
  <c r="J43"/>
  <c r="N15"/>
  <c r="P15" s="1"/>
  <c r="K11"/>
  <c r="D936"/>
  <c r="L11"/>
  <c r="K391"/>
  <c r="K392" s="1"/>
  <c r="M10"/>
  <c r="J56"/>
  <c r="M9"/>
  <c r="I11"/>
  <c r="J179"/>
  <c r="H59"/>
  <c r="I51"/>
  <c r="I52" s="1"/>
  <c r="E23"/>
  <c r="F23" s="1"/>
  <c r="H1139"/>
  <c r="H1140" s="1"/>
  <c r="R220"/>
  <c r="R356"/>
  <c r="C24"/>
  <c r="C25" s="1"/>
  <c r="R288"/>
  <c r="H51"/>
  <c r="H52" s="1"/>
  <c r="E902"/>
  <c r="I1139"/>
  <c r="I1140" s="1"/>
  <c r="J49"/>
  <c r="N49" s="1"/>
  <c r="P49" s="1"/>
  <c r="G24"/>
  <c r="H23"/>
  <c r="L23" s="1"/>
  <c r="I23"/>
  <c r="J42"/>
  <c r="H970"/>
  <c r="P280"/>
  <c r="J868"/>
  <c r="N396"/>
  <c r="E398"/>
  <c r="E399" s="1"/>
  <c r="Q398"/>
  <c r="Q399" s="1"/>
  <c r="D398"/>
  <c r="D399" s="1"/>
  <c r="M390"/>
  <c r="D391"/>
  <c r="D392" s="1"/>
  <c r="E391"/>
  <c r="E392" s="1"/>
  <c r="Q391"/>
  <c r="Q392" s="1"/>
  <c r="I384"/>
  <c r="I385" s="1"/>
  <c r="H384"/>
  <c r="H385" s="1"/>
  <c r="J1139"/>
  <c r="J1140" s="1"/>
  <c r="M1139"/>
  <c r="M1140" s="1"/>
  <c r="P1138"/>
  <c r="O1138" s="1"/>
  <c r="Q1138" s="1"/>
  <c r="R1138" s="1"/>
  <c r="I1132"/>
  <c r="I1133" s="1"/>
  <c r="H1132"/>
  <c r="H1133" s="1"/>
  <c r="G1133"/>
  <c r="P1144"/>
  <c r="O1144" s="1"/>
  <c r="F1131"/>
  <c r="N1131" s="1"/>
  <c r="E1140"/>
  <c r="L1139"/>
  <c r="L1140" s="1"/>
  <c r="D1140"/>
  <c r="K1146"/>
  <c r="K1147" s="1"/>
  <c r="D1146"/>
  <c r="D1147" s="1"/>
  <c r="E1146"/>
  <c r="M1146" s="1"/>
  <c r="M1147" s="1"/>
  <c r="E1132"/>
  <c r="M1132" s="1"/>
  <c r="M1133" s="1"/>
  <c r="K1132"/>
  <c r="K1133" s="1"/>
  <c r="D1132"/>
  <c r="D1133" s="1"/>
  <c r="C1133"/>
  <c r="N1130"/>
  <c r="H1146"/>
  <c r="H1147" s="1"/>
  <c r="I1146"/>
  <c r="I1147" s="1"/>
  <c r="G1147"/>
  <c r="N1137"/>
  <c r="F1139"/>
  <c r="N1139" s="1"/>
  <c r="P1145"/>
  <c r="O1145" s="1"/>
  <c r="Q1145" s="1"/>
  <c r="R1145" s="1"/>
  <c r="C1147"/>
  <c r="F1106"/>
  <c r="P1104"/>
  <c r="O1104" s="1"/>
  <c r="Q1104" s="1"/>
  <c r="R1104" s="1"/>
  <c r="N1110"/>
  <c r="I1098"/>
  <c r="J1098" s="1"/>
  <c r="J1099" s="1"/>
  <c r="H1098"/>
  <c r="H1099" s="1"/>
  <c r="G1099"/>
  <c r="P1096"/>
  <c r="O1096" s="1"/>
  <c r="L1105"/>
  <c r="L1106" s="1"/>
  <c r="D1106"/>
  <c r="F1097"/>
  <c r="J1105"/>
  <c r="J1106" s="1"/>
  <c r="K1112"/>
  <c r="K1113" s="1"/>
  <c r="D1112"/>
  <c r="D1113" s="1"/>
  <c r="E1112"/>
  <c r="F1112" s="1"/>
  <c r="E1098"/>
  <c r="M1098" s="1"/>
  <c r="M1099" s="1"/>
  <c r="K1098"/>
  <c r="K1099" s="1"/>
  <c r="D1098"/>
  <c r="L1098" s="1"/>
  <c r="L1099" s="1"/>
  <c r="C1099"/>
  <c r="H1112"/>
  <c r="H1113" s="1"/>
  <c r="I1112"/>
  <c r="I1113" s="1"/>
  <c r="G1113"/>
  <c r="O1103"/>
  <c r="P1111"/>
  <c r="O1111" s="1"/>
  <c r="Q1111" s="1"/>
  <c r="R1111" s="1"/>
  <c r="M1105"/>
  <c r="M1106" s="1"/>
  <c r="E1106"/>
  <c r="E1113"/>
  <c r="E1099"/>
  <c r="I1099"/>
  <c r="N1077"/>
  <c r="M1071"/>
  <c r="N1076"/>
  <c r="I1064"/>
  <c r="I1065" s="1"/>
  <c r="H1064"/>
  <c r="H1065" s="1"/>
  <c r="M1072"/>
  <c r="L1063"/>
  <c r="P1070"/>
  <c r="O1070"/>
  <c r="Q1070" s="1"/>
  <c r="R1070" s="1"/>
  <c r="P1062"/>
  <c r="O1062"/>
  <c r="F1063"/>
  <c r="L1071"/>
  <c r="L1072" s="1"/>
  <c r="J1071"/>
  <c r="J1072" s="1"/>
  <c r="K1078"/>
  <c r="K1079" s="1"/>
  <c r="D1078"/>
  <c r="L1078" s="1"/>
  <c r="E1078"/>
  <c r="F1078"/>
  <c r="F1079" s="1"/>
  <c r="E1064"/>
  <c r="M1064" s="1"/>
  <c r="M1065" s="1"/>
  <c r="J1064"/>
  <c r="J1065" s="1"/>
  <c r="F1064"/>
  <c r="N1064" s="1"/>
  <c r="K1064"/>
  <c r="K1065" s="1"/>
  <c r="D1064"/>
  <c r="L1064" s="1"/>
  <c r="C1065"/>
  <c r="H1078"/>
  <c r="H1079" s="1"/>
  <c r="I1078"/>
  <c r="I1079" s="1"/>
  <c r="G1079"/>
  <c r="L1079"/>
  <c r="N1071"/>
  <c r="N1069"/>
  <c r="N1028"/>
  <c r="L1029"/>
  <c r="F1029"/>
  <c r="N1029" s="1"/>
  <c r="P1036"/>
  <c r="O1036" s="1"/>
  <c r="Q1036" s="1"/>
  <c r="R1036" s="1"/>
  <c r="H1044"/>
  <c r="H1045" s="1"/>
  <c r="I1044"/>
  <c r="I1045" s="1"/>
  <c r="N1042"/>
  <c r="I1030"/>
  <c r="I1031" s="1"/>
  <c r="H1030"/>
  <c r="H1031" s="1"/>
  <c r="K1044"/>
  <c r="K1045" s="1"/>
  <c r="D1044"/>
  <c r="E1044"/>
  <c r="M1044" s="1"/>
  <c r="M1045" s="1"/>
  <c r="E1030"/>
  <c r="F1030" s="1"/>
  <c r="K1030"/>
  <c r="K1031" s="1"/>
  <c r="D1030"/>
  <c r="H1038"/>
  <c r="L1037"/>
  <c r="L1038" s="1"/>
  <c r="M1037"/>
  <c r="M1038" s="1"/>
  <c r="E1038"/>
  <c r="N1035"/>
  <c r="F1037"/>
  <c r="N1037" s="1"/>
  <c r="F1043"/>
  <c r="N1043" s="1"/>
  <c r="L1043"/>
  <c r="M1029"/>
  <c r="M1003"/>
  <c r="M1004" s="1"/>
  <c r="E1004"/>
  <c r="P1002"/>
  <c r="O1002" s="1"/>
  <c r="Q1002" s="1"/>
  <c r="R1002" s="1"/>
  <c r="M1009"/>
  <c r="L995"/>
  <c r="F995"/>
  <c r="N1008"/>
  <c r="H1010"/>
  <c r="H1011" s="1"/>
  <c r="I1010"/>
  <c r="I1011" s="1"/>
  <c r="K1010"/>
  <c r="K1011" s="1"/>
  <c r="D1010"/>
  <c r="E1010"/>
  <c r="E1011" s="1"/>
  <c r="F1010"/>
  <c r="F1011" s="1"/>
  <c r="E996"/>
  <c r="E997" s="1"/>
  <c r="F996"/>
  <c r="K996"/>
  <c r="K997" s="1"/>
  <c r="D996"/>
  <c r="C997"/>
  <c r="P994"/>
  <c r="O994"/>
  <c r="J1009"/>
  <c r="C1011"/>
  <c r="L1003"/>
  <c r="L1004" s="1"/>
  <c r="D1004"/>
  <c r="N1009"/>
  <c r="L1009"/>
  <c r="M995"/>
  <c r="G1011"/>
  <c r="I996"/>
  <c r="I997" s="1"/>
  <c r="H996"/>
  <c r="H997" s="1"/>
  <c r="G997"/>
  <c r="P1001"/>
  <c r="O1001" s="1"/>
  <c r="F1003"/>
  <c r="J995"/>
  <c r="P968"/>
  <c r="O968"/>
  <c r="Q968" s="1"/>
  <c r="R968" s="1"/>
  <c r="K976"/>
  <c r="K977" s="1"/>
  <c r="D976"/>
  <c r="D977" s="1"/>
  <c r="E976"/>
  <c r="M976" s="1"/>
  <c r="M977" s="1"/>
  <c r="E962"/>
  <c r="K962"/>
  <c r="K963" s="1"/>
  <c r="D962"/>
  <c r="D963" s="1"/>
  <c r="C963"/>
  <c r="N974"/>
  <c r="H976"/>
  <c r="H977" s="1"/>
  <c r="I976"/>
  <c r="I977" s="1"/>
  <c r="G977"/>
  <c r="C977"/>
  <c r="F975"/>
  <c r="N975" s="1"/>
  <c r="L969"/>
  <c r="L970" s="1"/>
  <c r="O967"/>
  <c r="I962"/>
  <c r="I963" s="1"/>
  <c r="H962"/>
  <c r="H963" s="1"/>
  <c r="G963"/>
  <c r="F969"/>
  <c r="P960"/>
  <c r="F961"/>
  <c r="E970"/>
  <c r="D970"/>
  <c r="P940"/>
  <c r="O940"/>
  <c r="P935"/>
  <c r="O935"/>
  <c r="Q935" s="1"/>
  <c r="R935" s="1"/>
  <c r="F936"/>
  <c r="N933"/>
  <c r="N941"/>
  <c r="L941"/>
  <c r="M927"/>
  <c r="P934"/>
  <c r="O934" s="1"/>
  <c r="Q934" s="1"/>
  <c r="R934" s="1"/>
  <c r="I928"/>
  <c r="I929" s="1"/>
  <c r="H928"/>
  <c r="H929" s="1"/>
  <c r="M935"/>
  <c r="M936" s="1"/>
  <c r="E936"/>
  <c r="P926"/>
  <c r="H936"/>
  <c r="M941"/>
  <c r="L927"/>
  <c r="F927"/>
  <c r="H942"/>
  <c r="H943" s="1"/>
  <c r="I942"/>
  <c r="I943" s="1"/>
  <c r="K942"/>
  <c r="K943" s="1"/>
  <c r="D942"/>
  <c r="E942"/>
  <c r="F942"/>
  <c r="C943"/>
  <c r="E928"/>
  <c r="F928"/>
  <c r="K928"/>
  <c r="K929" s="1"/>
  <c r="D928"/>
  <c r="C929"/>
  <c r="L935"/>
  <c r="L936" s="1"/>
  <c r="N892"/>
  <c r="M907"/>
  <c r="L893"/>
  <c r="F893"/>
  <c r="N893" s="1"/>
  <c r="N906"/>
  <c r="H908"/>
  <c r="J908" s="1"/>
  <c r="I908"/>
  <c r="I909" s="1"/>
  <c r="K908"/>
  <c r="K909" s="1"/>
  <c r="D908"/>
  <c r="L908" s="1"/>
  <c r="E908"/>
  <c r="M908" s="1"/>
  <c r="F908"/>
  <c r="E894"/>
  <c r="F894"/>
  <c r="K894"/>
  <c r="K895" s="1"/>
  <c r="D894"/>
  <c r="C895"/>
  <c r="J907"/>
  <c r="L901"/>
  <c r="L902" s="1"/>
  <c r="D902"/>
  <c r="P899"/>
  <c r="O899"/>
  <c r="P900"/>
  <c r="O900"/>
  <c r="Q900" s="1"/>
  <c r="R900" s="1"/>
  <c r="N907"/>
  <c r="L907"/>
  <c r="L909" s="1"/>
  <c r="M893"/>
  <c r="G909"/>
  <c r="I894"/>
  <c r="I895" s="1"/>
  <c r="H894"/>
  <c r="J894" s="1"/>
  <c r="J895" s="1"/>
  <c r="G895"/>
  <c r="F901"/>
  <c r="M867"/>
  <c r="M868" s="1"/>
  <c r="E868"/>
  <c r="P872"/>
  <c r="O872" s="1"/>
  <c r="L873"/>
  <c r="M859"/>
  <c r="L867"/>
  <c r="L868" s="1"/>
  <c r="D868"/>
  <c r="I860"/>
  <c r="I861" s="1"/>
  <c r="H860"/>
  <c r="H861" s="1"/>
  <c r="M873"/>
  <c r="L859"/>
  <c r="E860"/>
  <c r="M860" s="1"/>
  <c r="K860"/>
  <c r="K861" s="1"/>
  <c r="J860"/>
  <c r="D860"/>
  <c r="L860" s="1"/>
  <c r="C861"/>
  <c r="F868"/>
  <c r="N866"/>
  <c r="N868" s="1"/>
  <c r="P865"/>
  <c r="O865"/>
  <c r="N858"/>
  <c r="J859"/>
  <c r="P867"/>
  <c r="O867" s="1"/>
  <c r="Q867" s="1"/>
  <c r="R867" s="1"/>
  <c r="I874"/>
  <c r="I875" s="1"/>
  <c r="H874"/>
  <c r="H875" s="1"/>
  <c r="K874"/>
  <c r="K875" s="1"/>
  <c r="D874"/>
  <c r="E874"/>
  <c r="F874"/>
  <c r="N873"/>
  <c r="P838"/>
  <c r="O838"/>
  <c r="P833"/>
  <c r="O833"/>
  <c r="Q833" s="1"/>
  <c r="R833" s="1"/>
  <c r="F834"/>
  <c r="N831"/>
  <c r="N839"/>
  <c r="L839"/>
  <c r="M825"/>
  <c r="P832"/>
  <c r="O832" s="1"/>
  <c r="Q832" s="1"/>
  <c r="R832" s="1"/>
  <c r="I826"/>
  <c r="I827" s="1"/>
  <c r="H826"/>
  <c r="H827" s="1"/>
  <c r="M833"/>
  <c r="M834" s="1"/>
  <c r="E834"/>
  <c r="P824"/>
  <c r="H834"/>
  <c r="M839"/>
  <c r="L825"/>
  <c r="F825"/>
  <c r="H840"/>
  <c r="H841" s="1"/>
  <c r="I840"/>
  <c r="I841" s="1"/>
  <c r="K840"/>
  <c r="K841" s="1"/>
  <c r="D840"/>
  <c r="E840"/>
  <c r="F840"/>
  <c r="C841"/>
  <c r="E826"/>
  <c r="F826"/>
  <c r="K826"/>
  <c r="K827" s="1"/>
  <c r="D826"/>
  <c r="C827"/>
  <c r="L833"/>
  <c r="L834" s="1"/>
  <c r="P804"/>
  <c r="O804"/>
  <c r="P799"/>
  <c r="O799"/>
  <c r="Q799" s="1"/>
  <c r="R799" s="1"/>
  <c r="F800"/>
  <c r="N797"/>
  <c r="N805"/>
  <c r="L805"/>
  <c r="M791"/>
  <c r="P798"/>
  <c r="O798" s="1"/>
  <c r="Q798" s="1"/>
  <c r="R798" s="1"/>
  <c r="I792"/>
  <c r="I793" s="1"/>
  <c r="H792"/>
  <c r="H793" s="1"/>
  <c r="M799"/>
  <c r="M800" s="1"/>
  <c r="E800"/>
  <c r="P790"/>
  <c r="O790"/>
  <c r="H800"/>
  <c r="M805"/>
  <c r="L791"/>
  <c r="F791"/>
  <c r="H806"/>
  <c r="H807" s="1"/>
  <c r="I806"/>
  <c r="I807" s="1"/>
  <c r="K806"/>
  <c r="K807" s="1"/>
  <c r="D806"/>
  <c r="E806"/>
  <c r="F806" s="1"/>
  <c r="C807"/>
  <c r="E792"/>
  <c r="J792"/>
  <c r="J793" s="1"/>
  <c r="K792"/>
  <c r="K793" s="1"/>
  <c r="D792"/>
  <c r="C793"/>
  <c r="L799"/>
  <c r="L800" s="1"/>
  <c r="P770"/>
  <c r="O770"/>
  <c r="P765"/>
  <c r="O765" s="1"/>
  <c r="Q765" s="1"/>
  <c r="R765" s="1"/>
  <c r="F766"/>
  <c r="N763"/>
  <c r="N771"/>
  <c r="L771"/>
  <c r="M757"/>
  <c r="P764"/>
  <c r="O764" s="1"/>
  <c r="Q764" s="1"/>
  <c r="R764" s="1"/>
  <c r="I758"/>
  <c r="I759" s="1"/>
  <c r="H758"/>
  <c r="H759" s="1"/>
  <c r="M765"/>
  <c r="M766" s="1"/>
  <c r="E766"/>
  <c r="P756"/>
  <c r="O756"/>
  <c r="H766"/>
  <c r="M771"/>
  <c r="L757"/>
  <c r="F757"/>
  <c r="H772"/>
  <c r="H773" s="1"/>
  <c r="I772"/>
  <c r="I773" s="1"/>
  <c r="K772"/>
  <c r="K773" s="1"/>
  <c r="D772"/>
  <c r="E772"/>
  <c r="F772"/>
  <c r="C773"/>
  <c r="E758"/>
  <c r="J758"/>
  <c r="J759" s="1"/>
  <c r="K758"/>
  <c r="K759" s="1"/>
  <c r="D758"/>
  <c r="C759"/>
  <c r="L765"/>
  <c r="L766" s="1"/>
  <c r="P736"/>
  <c r="O736"/>
  <c r="P731"/>
  <c r="O731"/>
  <c r="Q731" s="1"/>
  <c r="R731" s="1"/>
  <c r="F732"/>
  <c r="N729"/>
  <c r="N737"/>
  <c r="L737"/>
  <c r="M723"/>
  <c r="P730"/>
  <c r="O730" s="1"/>
  <c r="Q730" s="1"/>
  <c r="R730" s="1"/>
  <c r="I724"/>
  <c r="I725" s="1"/>
  <c r="H724"/>
  <c r="H725" s="1"/>
  <c r="M731"/>
  <c r="M732" s="1"/>
  <c r="E732"/>
  <c r="P722"/>
  <c r="H732"/>
  <c r="M737"/>
  <c r="L723"/>
  <c r="F723"/>
  <c r="H738"/>
  <c r="H739" s="1"/>
  <c r="I738"/>
  <c r="I739" s="1"/>
  <c r="K738"/>
  <c r="K739" s="1"/>
  <c r="D738"/>
  <c r="E738"/>
  <c r="F738"/>
  <c r="C739"/>
  <c r="E724"/>
  <c r="F724"/>
  <c r="K724"/>
  <c r="K725" s="1"/>
  <c r="D724"/>
  <c r="C725"/>
  <c r="L731"/>
  <c r="L732" s="1"/>
  <c r="M697"/>
  <c r="M698" s="1"/>
  <c r="E698"/>
  <c r="J689"/>
  <c r="H704"/>
  <c r="H705" s="1"/>
  <c r="I704"/>
  <c r="I705" s="1"/>
  <c r="P688"/>
  <c r="O688" s="1"/>
  <c r="N702"/>
  <c r="M703"/>
  <c r="L689"/>
  <c r="F689"/>
  <c r="P696"/>
  <c r="O696"/>
  <c r="Q696" s="1"/>
  <c r="R696" s="1"/>
  <c r="L697"/>
  <c r="L698" s="1"/>
  <c r="D698"/>
  <c r="K704"/>
  <c r="K705" s="1"/>
  <c r="D704"/>
  <c r="L704" s="1"/>
  <c r="E704"/>
  <c r="F704"/>
  <c r="F705" s="1"/>
  <c r="E690"/>
  <c r="F690"/>
  <c r="K690"/>
  <c r="K691" s="1"/>
  <c r="D690"/>
  <c r="F698"/>
  <c r="J703"/>
  <c r="G705"/>
  <c r="I690"/>
  <c r="I691" s="1"/>
  <c r="H690"/>
  <c r="J690" s="1"/>
  <c r="P697"/>
  <c r="O697" s="1"/>
  <c r="Q697" s="1"/>
  <c r="R697" s="1"/>
  <c r="N698"/>
  <c r="P695"/>
  <c r="O695"/>
  <c r="N703"/>
  <c r="L703"/>
  <c r="M689"/>
  <c r="P663"/>
  <c r="O663" s="1"/>
  <c r="Q663" s="1"/>
  <c r="R663" s="1"/>
  <c r="P668"/>
  <c r="O668"/>
  <c r="F664"/>
  <c r="N661"/>
  <c r="N669"/>
  <c r="L669"/>
  <c r="M655"/>
  <c r="P662"/>
  <c r="O662" s="1"/>
  <c r="Q662" s="1"/>
  <c r="R662" s="1"/>
  <c r="I656"/>
  <c r="I657" s="1"/>
  <c r="H656"/>
  <c r="H657" s="1"/>
  <c r="M663"/>
  <c r="M664" s="1"/>
  <c r="E664"/>
  <c r="P654"/>
  <c r="H664"/>
  <c r="M669"/>
  <c r="L655"/>
  <c r="F655"/>
  <c r="H670"/>
  <c r="H671" s="1"/>
  <c r="I670"/>
  <c r="I671" s="1"/>
  <c r="K670"/>
  <c r="K671" s="1"/>
  <c r="D670"/>
  <c r="E670"/>
  <c r="F670"/>
  <c r="C671"/>
  <c r="E656"/>
  <c r="J656"/>
  <c r="J657" s="1"/>
  <c r="K656"/>
  <c r="K657" s="1"/>
  <c r="D656"/>
  <c r="C657"/>
  <c r="L663"/>
  <c r="L664" s="1"/>
  <c r="P634"/>
  <c r="O634"/>
  <c r="P629"/>
  <c r="O629"/>
  <c r="Q629" s="1"/>
  <c r="R629" s="1"/>
  <c r="F630"/>
  <c r="N627"/>
  <c r="N635"/>
  <c r="L635"/>
  <c r="M621"/>
  <c r="P628"/>
  <c r="O628" s="1"/>
  <c r="Q628" s="1"/>
  <c r="R628" s="1"/>
  <c r="I622"/>
  <c r="I623" s="1"/>
  <c r="H622"/>
  <c r="H623" s="1"/>
  <c r="M629"/>
  <c r="M630" s="1"/>
  <c r="E630"/>
  <c r="P620"/>
  <c r="H630"/>
  <c r="M635"/>
  <c r="L621"/>
  <c r="F621"/>
  <c r="H636"/>
  <c r="H637" s="1"/>
  <c r="I636"/>
  <c r="I637" s="1"/>
  <c r="K636"/>
  <c r="K637" s="1"/>
  <c r="D636"/>
  <c r="E636"/>
  <c r="F636"/>
  <c r="C637"/>
  <c r="E622"/>
  <c r="F622"/>
  <c r="K622"/>
  <c r="K623" s="1"/>
  <c r="D622"/>
  <c r="C623"/>
  <c r="L629"/>
  <c r="L630" s="1"/>
  <c r="P595"/>
  <c r="O595" s="1"/>
  <c r="Q595" s="1"/>
  <c r="R595" s="1"/>
  <c r="P600"/>
  <c r="O600"/>
  <c r="F596"/>
  <c r="N593"/>
  <c r="N601"/>
  <c r="L601"/>
  <c r="M587"/>
  <c r="P594"/>
  <c r="O594" s="1"/>
  <c r="Q594" s="1"/>
  <c r="R594" s="1"/>
  <c r="I588"/>
  <c r="I589" s="1"/>
  <c r="H588"/>
  <c r="H589" s="1"/>
  <c r="M595"/>
  <c r="M596" s="1"/>
  <c r="E596"/>
  <c r="P586"/>
  <c r="H596"/>
  <c r="M601"/>
  <c r="L587"/>
  <c r="F587"/>
  <c r="H602"/>
  <c r="H603" s="1"/>
  <c r="I602"/>
  <c r="I603" s="1"/>
  <c r="K602"/>
  <c r="K603" s="1"/>
  <c r="D602"/>
  <c r="E602"/>
  <c r="F602"/>
  <c r="C603"/>
  <c r="E588"/>
  <c r="J588"/>
  <c r="J589" s="1"/>
  <c r="K588"/>
  <c r="K589" s="1"/>
  <c r="D588"/>
  <c r="C589"/>
  <c r="L595"/>
  <c r="L596" s="1"/>
  <c r="P566"/>
  <c r="O566"/>
  <c r="P561"/>
  <c r="O561"/>
  <c r="Q561" s="1"/>
  <c r="R561" s="1"/>
  <c r="F562"/>
  <c r="N559"/>
  <c r="N567"/>
  <c r="L567"/>
  <c r="M553"/>
  <c r="P560"/>
  <c r="O560" s="1"/>
  <c r="Q560" s="1"/>
  <c r="R560" s="1"/>
  <c r="I554"/>
  <c r="I555" s="1"/>
  <c r="H554"/>
  <c r="H555" s="1"/>
  <c r="M561"/>
  <c r="M562" s="1"/>
  <c r="E562"/>
  <c r="P552"/>
  <c r="O552"/>
  <c r="H562"/>
  <c r="M567"/>
  <c r="L553"/>
  <c r="F553"/>
  <c r="H568"/>
  <c r="H569" s="1"/>
  <c r="I568"/>
  <c r="I569" s="1"/>
  <c r="K568"/>
  <c r="K569" s="1"/>
  <c r="D568"/>
  <c r="E568"/>
  <c r="F568" s="1"/>
  <c r="C569"/>
  <c r="E554"/>
  <c r="J554"/>
  <c r="J555" s="1"/>
  <c r="K554"/>
  <c r="K555" s="1"/>
  <c r="D554"/>
  <c r="C555"/>
  <c r="L561"/>
  <c r="L562" s="1"/>
  <c r="N527"/>
  <c r="N528" s="1"/>
  <c r="F528"/>
  <c r="P526"/>
  <c r="O526" s="1"/>
  <c r="Q526" s="1"/>
  <c r="R526" s="1"/>
  <c r="P525"/>
  <c r="O525" s="1"/>
  <c r="N532"/>
  <c r="N533"/>
  <c r="L533"/>
  <c r="M519"/>
  <c r="H528"/>
  <c r="I520"/>
  <c r="I521" s="1"/>
  <c r="H520"/>
  <c r="H521" s="1"/>
  <c r="G521"/>
  <c r="M527"/>
  <c r="M528" s="1"/>
  <c r="E528"/>
  <c r="J519"/>
  <c r="M533"/>
  <c r="L519"/>
  <c r="F519"/>
  <c r="N519" s="1"/>
  <c r="H534"/>
  <c r="H535" s="1"/>
  <c r="I534"/>
  <c r="I535" s="1"/>
  <c r="N518"/>
  <c r="L527"/>
  <c r="L528" s="1"/>
  <c r="D528"/>
  <c r="K534"/>
  <c r="K535" s="1"/>
  <c r="D534"/>
  <c r="L534" s="1"/>
  <c r="E534"/>
  <c r="E535" s="1"/>
  <c r="J534"/>
  <c r="J535" s="1"/>
  <c r="F534"/>
  <c r="E520"/>
  <c r="J520"/>
  <c r="K520"/>
  <c r="K521" s="1"/>
  <c r="D520"/>
  <c r="L520" s="1"/>
  <c r="C521"/>
  <c r="P498"/>
  <c r="O498"/>
  <c r="P492"/>
  <c r="O492" s="1"/>
  <c r="Q492" s="1"/>
  <c r="R492" s="1"/>
  <c r="M493"/>
  <c r="E494"/>
  <c r="H500"/>
  <c r="H501" s="1"/>
  <c r="I500"/>
  <c r="I501" s="1"/>
  <c r="M494"/>
  <c r="L485"/>
  <c r="F485"/>
  <c r="N485" s="1"/>
  <c r="N484"/>
  <c r="I486"/>
  <c r="I487" s="1"/>
  <c r="H486"/>
  <c r="H487" s="1"/>
  <c r="G487"/>
  <c r="K500"/>
  <c r="K501" s="1"/>
  <c r="D500"/>
  <c r="E500"/>
  <c r="M500" s="1"/>
  <c r="M501" s="1"/>
  <c r="J500"/>
  <c r="J501" s="1"/>
  <c r="F500"/>
  <c r="F501" s="1"/>
  <c r="E486"/>
  <c r="J486"/>
  <c r="J487" s="1"/>
  <c r="K486"/>
  <c r="K487" s="1"/>
  <c r="D486"/>
  <c r="H494"/>
  <c r="L493"/>
  <c r="L494" s="1"/>
  <c r="F494"/>
  <c r="N491"/>
  <c r="N493"/>
  <c r="N499"/>
  <c r="L499"/>
  <c r="M485"/>
  <c r="P459"/>
  <c r="O459" s="1"/>
  <c r="Q459" s="1"/>
  <c r="R459" s="1"/>
  <c r="P464"/>
  <c r="O464" s="1"/>
  <c r="F460"/>
  <c r="N457"/>
  <c r="F465"/>
  <c r="L465"/>
  <c r="M451"/>
  <c r="P458"/>
  <c r="O458"/>
  <c r="Q458" s="1"/>
  <c r="R458" s="1"/>
  <c r="I452"/>
  <c r="I453" s="1"/>
  <c r="H452"/>
  <c r="H453" s="1"/>
  <c r="M459"/>
  <c r="M460" s="1"/>
  <c r="E460"/>
  <c r="P450"/>
  <c r="O450" s="1"/>
  <c r="L451"/>
  <c r="F451"/>
  <c r="H466"/>
  <c r="H467" s="1"/>
  <c r="I466"/>
  <c r="I467" s="1"/>
  <c r="K466"/>
  <c r="K467" s="1"/>
  <c r="D466"/>
  <c r="E466"/>
  <c r="M466" s="1"/>
  <c r="M467" s="1"/>
  <c r="C467"/>
  <c r="E452"/>
  <c r="F452"/>
  <c r="K452"/>
  <c r="K453" s="1"/>
  <c r="D452"/>
  <c r="C453"/>
  <c r="L459"/>
  <c r="L460" s="1"/>
  <c r="J417"/>
  <c r="F425"/>
  <c r="N425" s="1"/>
  <c r="I418"/>
  <c r="I419" s="1"/>
  <c r="H418"/>
  <c r="J418" s="1"/>
  <c r="P416"/>
  <c r="O416"/>
  <c r="H426"/>
  <c r="M431"/>
  <c r="L417"/>
  <c r="F417"/>
  <c r="M425"/>
  <c r="M426" s="1"/>
  <c r="N423"/>
  <c r="K432"/>
  <c r="K433" s="1"/>
  <c r="D432"/>
  <c r="E432"/>
  <c r="F432"/>
  <c r="F433" s="1"/>
  <c r="E418"/>
  <c r="M418" s="1"/>
  <c r="M419" s="1"/>
  <c r="F418"/>
  <c r="K418"/>
  <c r="K419" s="1"/>
  <c r="D418"/>
  <c r="C419"/>
  <c r="P430"/>
  <c r="O430"/>
  <c r="H432"/>
  <c r="H433" s="1"/>
  <c r="I432"/>
  <c r="I433" s="1"/>
  <c r="P424"/>
  <c r="O424" s="1"/>
  <c r="Q424" s="1"/>
  <c r="R424" s="1"/>
  <c r="J426"/>
  <c r="N431"/>
  <c r="L425"/>
  <c r="L426" s="1"/>
  <c r="D364"/>
  <c r="D365" s="1"/>
  <c r="E364"/>
  <c r="E365" s="1"/>
  <c r="Q364"/>
  <c r="Q365" s="1"/>
  <c r="H364"/>
  <c r="H365" s="1"/>
  <c r="I364"/>
  <c r="I365" s="1"/>
  <c r="G365"/>
  <c r="H357"/>
  <c r="H358" s="1"/>
  <c r="I357"/>
  <c r="I358" s="1"/>
  <c r="P355"/>
  <c r="E350"/>
  <c r="E351" s="1"/>
  <c r="D350"/>
  <c r="D351" s="1"/>
  <c r="C351"/>
  <c r="H350"/>
  <c r="H351" s="1"/>
  <c r="I350"/>
  <c r="I351" s="1"/>
  <c r="D330"/>
  <c r="D331" s="1"/>
  <c r="E330"/>
  <c r="E331" s="1"/>
  <c r="Q330"/>
  <c r="Q331" s="1"/>
  <c r="P321"/>
  <c r="H323"/>
  <c r="H324" s="1"/>
  <c r="I323"/>
  <c r="I324" s="1"/>
  <c r="D323"/>
  <c r="D324" s="1"/>
  <c r="E323"/>
  <c r="E324" s="1"/>
  <c r="Q323"/>
  <c r="Q324" s="1"/>
  <c r="H316"/>
  <c r="H317" s="1"/>
  <c r="I316"/>
  <c r="I317" s="1"/>
  <c r="H296"/>
  <c r="H297" s="1"/>
  <c r="I296"/>
  <c r="I297" s="1"/>
  <c r="D296"/>
  <c r="D297" s="1"/>
  <c r="E296"/>
  <c r="E297" s="1"/>
  <c r="Q296"/>
  <c r="Q297" s="1"/>
  <c r="H289"/>
  <c r="H290" s="1"/>
  <c r="I289"/>
  <c r="I290" s="1"/>
  <c r="G290"/>
  <c r="D282"/>
  <c r="D283" s="1"/>
  <c r="E282"/>
  <c r="E283" s="1"/>
  <c r="G85"/>
  <c r="I84"/>
  <c r="M84" s="1"/>
  <c r="H84"/>
  <c r="L43"/>
  <c r="J23"/>
  <c r="K23"/>
  <c r="N390"/>
  <c r="J323"/>
  <c r="J324" s="1"/>
  <c r="F84"/>
  <c r="D18"/>
  <c r="F363"/>
  <c r="N363" s="1"/>
  <c r="P363" s="1"/>
  <c r="F397"/>
  <c r="J117"/>
  <c r="N117" s="1"/>
  <c r="P117" s="1"/>
  <c r="F154"/>
  <c r="M397"/>
  <c r="I181"/>
  <c r="E179"/>
  <c r="M179" s="1"/>
  <c r="D179"/>
  <c r="C180"/>
  <c r="C181" s="1"/>
  <c r="Q179"/>
  <c r="H181"/>
  <c r="H159"/>
  <c r="G160"/>
  <c r="K160" s="1"/>
  <c r="K161" s="1"/>
  <c r="I159"/>
  <c r="G119"/>
  <c r="I118"/>
  <c r="H118"/>
  <c r="E118"/>
  <c r="K118"/>
  <c r="D118"/>
  <c r="C119"/>
  <c r="C120" s="1"/>
  <c r="J58"/>
  <c r="K58"/>
  <c r="K59" s="1"/>
  <c r="F57"/>
  <c r="M42"/>
  <c r="H44"/>
  <c r="H45" s="1"/>
  <c r="I44"/>
  <c r="I45" s="1"/>
  <c r="J227"/>
  <c r="J397"/>
  <c r="L18"/>
  <c r="F193"/>
  <c r="J329"/>
  <c r="F329"/>
  <c r="J363"/>
  <c r="L397"/>
  <c r="F18"/>
  <c r="F221"/>
  <c r="N221" s="1"/>
  <c r="J289"/>
  <c r="J290" s="1"/>
  <c r="G79"/>
  <c r="H78"/>
  <c r="I78"/>
  <c r="I79" s="1"/>
  <c r="H153"/>
  <c r="H154" s="1"/>
  <c r="I153"/>
  <c r="I154" s="1"/>
  <c r="D78"/>
  <c r="D79" s="1"/>
  <c r="E78"/>
  <c r="E79" s="1"/>
  <c r="E24"/>
  <c r="E25" s="1"/>
  <c r="D24"/>
  <c r="D25" s="1"/>
  <c r="K24"/>
  <c r="K25" s="1"/>
  <c r="N56"/>
  <c r="P56" s="1"/>
  <c r="H92"/>
  <c r="H93" s="1"/>
  <c r="I92"/>
  <c r="I93" s="1"/>
  <c r="M187"/>
  <c r="J193"/>
  <c r="F295"/>
  <c r="N295" s="1"/>
  <c r="P295" s="1"/>
  <c r="P17"/>
  <c r="O17" s="1"/>
  <c r="Q17" s="1"/>
  <c r="R17" s="1"/>
  <c r="N90"/>
  <c r="P90" s="1"/>
  <c r="J152"/>
  <c r="N152" s="1"/>
  <c r="L152"/>
  <c r="D92"/>
  <c r="D93" s="1"/>
  <c r="E92"/>
  <c r="E93" s="1"/>
  <c r="C93"/>
  <c r="E18"/>
  <c r="M17"/>
  <c r="M18" s="1"/>
  <c r="L187"/>
  <c r="J221"/>
  <c r="M227"/>
  <c r="L261"/>
  <c r="M357"/>
  <c r="M358" s="1"/>
  <c r="J391"/>
  <c r="J392" s="1"/>
  <c r="M391"/>
  <c r="D85"/>
  <c r="D86" s="1"/>
  <c r="E85"/>
  <c r="E86" s="1"/>
  <c r="E126"/>
  <c r="E127" s="1"/>
  <c r="D126"/>
  <c r="D127" s="1"/>
  <c r="C127"/>
  <c r="D160"/>
  <c r="D161" s="1"/>
  <c r="E160"/>
  <c r="E161" s="1"/>
  <c r="J187"/>
  <c r="J255"/>
  <c r="J261"/>
  <c r="J295"/>
  <c r="G154"/>
  <c r="O22"/>
  <c r="D51"/>
  <c r="D52" s="1"/>
  <c r="E51"/>
  <c r="E52" s="1"/>
  <c r="E58"/>
  <c r="E59" s="1"/>
  <c r="D58"/>
  <c r="L58" s="1"/>
  <c r="L59" s="1"/>
  <c r="E146"/>
  <c r="E147" s="1"/>
  <c r="D146"/>
  <c r="D147" s="1"/>
  <c r="H79"/>
  <c r="C79"/>
  <c r="F159"/>
  <c r="G113"/>
  <c r="I112"/>
  <c r="I113" s="1"/>
  <c r="H112"/>
  <c r="H113" s="1"/>
  <c r="N43"/>
  <c r="P43" s="1"/>
  <c r="O396"/>
  <c r="O382"/>
  <c r="F383"/>
  <c r="L391"/>
  <c r="L392" s="1"/>
  <c r="K398"/>
  <c r="K399" s="1"/>
  <c r="M384"/>
  <c r="M385" s="1"/>
  <c r="J384"/>
  <c r="J385" s="1"/>
  <c r="K384"/>
  <c r="K385" s="1"/>
  <c r="F391"/>
  <c r="N391" s="1"/>
  <c r="P391" s="1"/>
  <c r="N389"/>
  <c r="L363"/>
  <c r="L357"/>
  <c r="L358" s="1"/>
  <c r="J357"/>
  <c r="J358" s="1"/>
  <c r="N362"/>
  <c r="L349"/>
  <c r="F357"/>
  <c r="F358" s="1"/>
  <c r="M363"/>
  <c r="F349"/>
  <c r="K364"/>
  <c r="K365" s="1"/>
  <c r="J350"/>
  <c r="J351" s="1"/>
  <c r="K350"/>
  <c r="K351" s="1"/>
  <c r="L350"/>
  <c r="N314"/>
  <c r="P314" s="1"/>
  <c r="M329"/>
  <c r="F315"/>
  <c r="N315" s="1"/>
  <c r="O322"/>
  <c r="R322" s="1"/>
  <c r="K330"/>
  <c r="K331" s="1"/>
  <c r="J316"/>
  <c r="J317" s="1"/>
  <c r="K316"/>
  <c r="K317" s="1"/>
  <c r="L323"/>
  <c r="L324" s="1"/>
  <c r="O321"/>
  <c r="N329"/>
  <c r="P329" s="1"/>
  <c r="L329"/>
  <c r="N328"/>
  <c r="F323"/>
  <c r="F324" s="1"/>
  <c r="N287"/>
  <c r="L289"/>
  <c r="L290" s="1"/>
  <c r="N294"/>
  <c r="O280"/>
  <c r="F281"/>
  <c r="F289"/>
  <c r="F290" s="1"/>
  <c r="K296"/>
  <c r="K297" s="1"/>
  <c r="J282"/>
  <c r="J283" s="1"/>
  <c r="K282"/>
  <c r="K283" s="1"/>
  <c r="M289"/>
  <c r="M290" s="1"/>
  <c r="O253"/>
  <c r="O254"/>
  <c r="R254" s="1"/>
  <c r="F261"/>
  <c r="N261" s="1"/>
  <c r="L255"/>
  <c r="N260"/>
  <c r="L247"/>
  <c r="O246"/>
  <c r="F255"/>
  <c r="M261"/>
  <c r="F247"/>
  <c r="K262"/>
  <c r="J248"/>
  <c r="K248"/>
  <c r="L248"/>
  <c r="M255"/>
  <c r="O226"/>
  <c r="N219"/>
  <c r="F227"/>
  <c r="L221"/>
  <c r="O212"/>
  <c r="F213"/>
  <c r="K228"/>
  <c r="M214"/>
  <c r="J214"/>
  <c r="K214"/>
  <c r="M221"/>
  <c r="N179"/>
  <c r="N186"/>
  <c r="O192"/>
  <c r="O178"/>
  <c r="M193"/>
  <c r="K194"/>
  <c r="L179"/>
  <c r="K180"/>
  <c r="K181" s="1"/>
  <c r="F187"/>
  <c r="N187" s="1"/>
  <c r="N193"/>
  <c r="L193"/>
  <c r="N151"/>
  <c r="P151" s="1"/>
  <c r="N158"/>
  <c r="P158" s="1"/>
  <c r="O144"/>
  <c r="Q144" s="1"/>
  <c r="F145"/>
  <c r="J146"/>
  <c r="J147" s="1"/>
  <c r="K146"/>
  <c r="K147" s="1"/>
  <c r="N110"/>
  <c r="P110" s="1"/>
  <c r="N125"/>
  <c r="P125" s="1"/>
  <c r="L125"/>
  <c r="L111"/>
  <c r="M125"/>
  <c r="F111"/>
  <c r="N111" s="1"/>
  <c r="P111" s="1"/>
  <c r="N124"/>
  <c r="P124" s="1"/>
  <c r="K126"/>
  <c r="K127" s="1"/>
  <c r="M126"/>
  <c r="K112"/>
  <c r="K113" s="1"/>
  <c r="K92"/>
  <c r="K93" s="1"/>
  <c r="N83"/>
  <c r="P83" s="1"/>
  <c r="F91"/>
  <c r="M78"/>
  <c r="M79" s="1"/>
  <c r="K78"/>
  <c r="K79" s="1"/>
  <c r="F77"/>
  <c r="K51"/>
  <c r="K52" s="1"/>
  <c r="O49"/>
  <c r="N42"/>
  <c r="P42" s="1"/>
  <c r="L50"/>
  <c r="K44"/>
  <c r="K45" s="1"/>
  <c r="F50"/>
  <c r="M43"/>
  <c r="N10"/>
  <c r="P10" s="1"/>
  <c r="N16"/>
  <c r="P16" s="1"/>
  <c r="O16" s="1"/>
  <c r="F11"/>
  <c r="N9"/>
  <c r="J11"/>
  <c r="M11"/>
  <c r="N8"/>
  <c r="P8" s="1"/>
  <c r="E9" i="21"/>
  <c r="F13"/>
  <c r="N13" s="1"/>
  <c r="R13" s="1"/>
  <c r="K13"/>
  <c r="E13"/>
  <c r="M13" s="1"/>
  <c r="D13"/>
  <c r="L13" s="1"/>
  <c r="D9"/>
  <c r="I13"/>
  <c r="C10"/>
  <c r="J13"/>
  <c r="O13"/>
  <c r="G9"/>
  <c r="J8" i="22"/>
  <c r="J9" s="1"/>
  <c r="K9"/>
  <c r="I9"/>
  <c r="M8"/>
  <c r="M9" s="1"/>
  <c r="E9"/>
  <c r="D9"/>
  <c r="L8"/>
  <c r="L9" s="1"/>
  <c r="L8" i="21"/>
  <c r="J8"/>
  <c r="M8"/>
  <c r="P13"/>
  <c r="F8"/>
  <c r="C10" i="2"/>
  <c r="C11" i="21" s="1"/>
  <c r="E11" s="1"/>
  <c r="I13" i="2"/>
  <c r="D9"/>
  <c r="E9"/>
  <c r="G9"/>
  <c r="M58" i="23" l="1"/>
  <c r="M59" s="1"/>
  <c r="L78"/>
  <c r="L79" s="1"/>
  <c r="M909"/>
  <c r="F85"/>
  <c r="J78"/>
  <c r="J79" s="1"/>
  <c r="J180"/>
  <c r="J181" s="1"/>
  <c r="N57"/>
  <c r="P57" s="1"/>
  <c r="O117"/>
  <c r="M153"/>
  <c r="M154" s="1"/>
  <c r="M323"/>
  <c r="M324" s="1"/>
  <c r="J59"/>
  <c r="J112"/>
  <c r="J113" s="1"/>
  <c r="N23"/>
  <c r="P23" s="1"/>
  <c r="L112"/>
  <c r="L153"/>
  <c r="L154" s="1"/>
  <c r="M282"/>
  <c r="M283" s="1"/>
  <c r="E501"/>
  <c r="M861"/>
  <c r="E977"/>
  <c r="E1045"/>
  <c r="E1147"/>
  <c r="M23"/>
  <c r="J84"/>
  <c r="I24"/>
  <c r="I25" s="1"/>
  <c r="H24"/>
  <c r="L535"/>
  <c r="M392"/>
  <c r="G25"/>
  <c r="L521"/>
  <c r="F1038"/>
  <c r="D1099"/>
  <c r="P152"/>
  <c r="O152" s="1"/>
  <c r="Q152" s="1"/>
  <c r="R152" s="1"/>
  <c r="J861"/>
  <c r="L705"/>
  <c r="D535"/>
  <c r="F426"/>
  <c r="P396"/>
  <c r="P389"/>
  <c r="N392"/>
  <c r="O390"/>
  <c r="R390" s="1"/>
  <c r="P390"/>
  <c r="F392"/>
  <c r="Q1144"/>
  <c r="N1140"/>
  <c r="P1137"/>
  <c r="O1137" s="1"/>
  <c r="P1131"/>
  <c r="O1131" s="1"/>
  <c r="Q1131" s="1"/>
  <c r="R1131" s="1"/>
  <c r="L1132"/>
  <c r="L1133" s="1"/>
  <c r="J1132"/>
  <c r="J1133" s="1"/>
  <c r="J1146"/>
  <c r="J1147" s="1"/>
  <c r="F1132"/>
  <c r="F1146"/>
  <c r="L1146"/>
  <c r="L1147" s="1"/>
  <c r="E1133"/>
  <c r="P1139"/>
  <c r="O1139" s="1"/>
  <c r="Q1139" s="1"/>
  <c r="R1139" s="1"/>
  <c r="P1130"/>
  <c r="O1130"/>
  <c r="F1140"/>
  <c r="F1113"/>
  <c r="Q1096"/>
  <c r="J1112"/>
  <c r="J1113" s="1"/>
  <c r="N1105"/>
  <c r="Q1103"/>
  <c r="P1110"/>
  <c r="O1110"/>
  <c r="F1098"/>
  <c r="N1098" s="1"/>
  <c r="L1112"/>
  <c r="L1113" s="1"/>
  <c r="N1097"/>
  <c r="M1112"/>
  <c r="M1113" s="1"/>
  <c r="O1064"/>
  <c r="Q1064" s="1"/>
  <c r="R1064" s="1"/>
  <c r="N1063"/>
  <c r="F1065"/>
  <c r="D1065"/>
  <c r="E1065"/>
  <c r="D1079"/>
  <c r="P1071"/>
  <c r="O1071"/>
  <c r="Q1071" s="1"/>
  <c r="R1071" s="1"/>
  <c r="P1076"/>
  <c r="O1076"/>
  <c r="M1078"/>
  <c r="M1079" s="1"/>
  <c r="E1079"/>
  <c r="J1078"/>
  <c r="J1079" s="1"/>
  <c r="N1072"/>
  <c r="P1069"/>
  <c r="P1072" s="1"/>
  <c r="O1069"/>
  <c r="P1064"/>
  <c r="Q1062"/>
  <c r="P1077"/>
  <c r="O1077" s="1"/>
  <c r="Q1077" s="1"/>
  <c r="R1077" s="1"/>
  <c r="N1078"/>
  <c r="L1065"/>
  <c r="N1030"/>
  <c r="N1031" s="1"/>
  <c r="F1031"/>
  <c r="P1037"/>
  <c r="O1037" s="1"/>
  <c r="Q1037" s="1"/>
  <c r="R1037" s="1"/>
  <c r="L1030"/>
  <c r="L1031" s="1"/>
  <c r="D1031"/>
  <c r="P1029"/>
  <c r="O1029"/>
  <c r="Q1029" s="1"/>
  <c r="R1029" s="1"/>
  <c r="J1030"/>
  <c r="J1031" s="1"/>
  <c r="J1044"/>
  <c r="J1045" s="1"/>
  <c r="P1043"/>
  <c r="O1043" s="1"/>
  <c r="Q1043" s="1"/>
  <c r="R1043" s="1"/>
  <c r="L1044"/>
  <c r="L1045" s="1"/>
  <c r="D1045"/>
  <c r="F1044"/>
  <c r="N1044" s="1"/>
  <c r="N1045" s="1"/>
  <c r="N1038"/>
  <c r="P1035"/>
  <c r="P1038" s="1"/>
  <c r="O1035"/>
  <c r="M1030"/>
  <c r="M1031" s="1"/>
  <c r="E1031"/>
  <c r="P1042"/>
  <c r="P1028"/>
  <c r="O1028"/>
  <c r="Q1001"/>
  <c r="P1008"/>
  <c r="O1008" s="1"/>
  <c r="M996"/>
  <c r="M997" s="1"/>
  <c r="M1010"/>
  <c r="M1011" s="1"/>
  <c r="L996"/>
  <c r="L997" s="1"/>
  <c r="D997"/>
  <c r="N995"/>
  <c r="F997"/>
  <c r="J996"/>
  <c r="J997" s="1"/>
  <c r="J1010"/>
  <c r="N1010" s="1"/>
  <c r="N1003"/>
  <c r="F1004"/>
  <c r="P1009"/>
  <c r="O1009"/>
  <c r="Q1009" s="1"/>
  <c r="R1009" s="1"/>
  <c r="Q994"/>
  <c r="L1010"/>
  <c r="L1011" s="1"/>
  <c r="D1011"/>
  <c r="N996"/>
  <c r="N969"/>
  <c r="F970"/>
  <c r="Q967"/>
  <c r="L962"/>
  <c r="L963" s="1"/>
  <c r="J962"/>
  <c r="J963" s="1"/>
  <c r="J976"/>
  <c r="J977" s="1"/>
  <c r="O960"/>
  <c r="F962"/>
  <c r="F963" s="1"/>
  <c r="F976"/>
  <c r="N976" s="1"/>
  <c r="N977" s="1"/>
  <c r="L976"/>
  <c r="L977" s="1"/>
  <c r="N961"/>
  <c r="P975"/>
  <c r="O975" s="1"/>
  <c r="Q975" s="1"/>
  <c r="R975" s="1"/>
  <c r="P974"/>
  <c r="O974" s="1"/>
  <c r="M962"/>
  <c r="M963" s="1"/>
  <c r="E963"/>
  <c r="M942"/>
  <c r="M943" s="1"/>
  <c r="E943"/>
  <c r="N927"/>
  <c r="F929"/>
  <c r="P941"/>
  <c r="O941" s="1"/>
  <c r="M928"/>
  <c r="M929" s="1"/>
  <c r="E929"/>
  <c r="N936"/>
  <c r="P933"/>
  <c r="P936" s="1"/>
  <c r="J942"/>
  <c r="J943" s="1"/>
  <c r="L928"/>
  <c r="L929" s="1"/>
  <c r="D929"/>
  <c r="L942"/>
  <c r="L943" s="1"/>
  <c r="D943"/>
  <c r="J928"/>
  <c r="J929" s="1"/>
  <c r="O926"/>
  <c r="F943"/>
  <c r="Q940"/>
  <c r="J909"/>
  <c r="P893"/>
  <c r="O893" s="1"/>
  <c r="Q893" s="1"/>
  <c r="R893" s="1"/>
  <c r="P892"/>
  <c r="O892" s="1"/>
  <c r="N894"/>
  <c r="N908"/>
  <c r="N909" s="1"/>
  <c r="H909"/>
  <c r="Q899"/>
  <c r="E909"/>
  <c r="P907"/>
  <c r="O907" s="1"/>
  <c r="Q907" s="1"/>
  <c r="R907" s="1"/>
  <c r="P906"/>
  <c r="O906" s="1"/>
  <c r="M894"/>
  <c r="M895" s="1"/>
  <c r="E895"/>
  <c r="N901"/>
  <c r="F902"/>
  <c r="L894"/>
  <c r="L895" s="1"/>
  <c r="D895"/>
  <c r="H895"/>
  <c r="F909"/>
  <c r="F895"/>
  <c r="D909"/>
  <c r="Q872"/>
  <c r="P858"/>
  <c r="O858"/>
  <c r="M874"/>
  <c r="M875" s="1"/>
  <c r="F860"/>
  <c r="L861"/>
  <c r="P873"/>
  <c r="O873" s="1"/>
  <c r="J874"/>
  <c r="J875" s="1"/>
  <c r="D861"/>
  <c r="E861"/>
  <c r="L874"/>
  <c r="L875" s="1"/>
  <c r="D875"/>
  <c r="Q865"/>
  <c r="N874"/>
  <c r="N875" s="1"/>
  <c r="F875"/>
  <c r="P866"/>
  <c r="P868" s="1"/>
  <c r="O866"/>
  <c r="Q866" s="1"/>
  <c r="R866" s="1"/>
  <c r="E875"/>
  <c r="N859"/>
  <c r="M840"/>
  <c r="M841" s="1"/>
  <c r="E841"/>
  <c r="N825"/>
  <c r="F827"/>
  <c r="P839"/>
  <c r="O839" s="1"/>
  <c r="M826"/>
  <c r="M827" s="1"/>
  <c r="E827"/>
  <c r="N834"/>
  <c r="P831"/>
  <c r="P834" s="1"/>
  <c r="J840"/>
  <c r="J841" s="1"/>
  <c r="L826"/>
  <c r="L827" s="1"/>
  <c r="D827"/>
  <c r="L840"/>
  <c r="L841" s="1"/>
  <c r="D841"/>
  <c r="J826"/>
  <c r="J827" s="1"/>
  <c r="O824"/>
  <c r="F841"/>
  <c r="Q838"/>
  <c r="F807"/>
  <c r="M792"/>
  <c r="M793" s="1"/>
  <c r="E793"/>
  <c r="P805"/>
  <c r="O805" s="1"/>
  <c r="J806"/>
  <c r="J807" s="1"/>
  <c r="L792"/>
  <c r="L793" s="1"/>
  <c r="D793"/>
  <c r="L806"/>
  <c r="L807" s="1"/>
  <c r="D807"/>
  <c r="Q790"/>
  <c r="N800"/>
  <c r="P797"/>
  <c r="P800" s="1"/>
  <c r="O797"/>
  <c r="F792"/>
  <c r="N792" s="1"/>
  <c r="M806"/>
  <c r="M807" s="1"/>
  <c r="E807"/>
  <c r="N791"/>
  <c r="Q804"/>
  <c r="M772"/>
  <c r="M773" s="1"/>
  <c r="E773"/>
  <c r="N757"/>
  <c r="P771"/>
  <c r="M758"/>
  <c r="M759" s="1"/>
  <c r="E759"/>
  <c r="N766"/>
  <c r="P763"/>
  <c r="P766" s="1"/>
  <c r="O763"/>
  <c r="J772"/>
  <c r="J773" s="1"/>
  <c r="L758"/>
  <c r="L759" s="1"/>
  <c r="D759"/>
  <c r="L772"/>
  <c r="L773" s="1"/>
  <c r="D773"/>
  <c r="Q756"/>
  <c r="N772"/>
  <c r="F773"/>
  <c r="Q770"/>
  <c r="F758"/>
  <c r="N758" s="1"/>
  <c r="M738"/>
  <c r="M739" s="1"/>
  <c r="E739"/>
  <c r="N723"/>
  <c r="F725"/>
  <c r="P737"/>
  <c r="O737" s="1"/>
  <c r="M724"/>
  <c r="M725" s="1"/>
  <c r="E725"/>
  <c r="N732"/>
  <c r="P729"/>
  <c r="P732" s="1"/>
  <c r="J738"/>
  <c r="J739" s="1"/>
  <c r="L724"/>
  <c r="L725" s="1"/>
  <c r="D725"/>
  <c r="L738"/>
  <c r="L739" s="1"/>
  <c r="D739"/>
  <c r="J724"/>
  <c r="J725" s="1"/>
  <c r="O722"/>
  <c r="F739"/>
  <c r="Q736"/>
  <c r="Q688"/>
  <c r="H691"/>
  <c r="P703"/>
  <c r="O703"/>
  <c r="Q703" s="1"/>
  <c r="R703" s="1"/>
  <c r="M704"/>
  <c r="M705" s="1"/>
  <c r="E705"/>
  <c r="N689"/>
  <c r="F691"/>
  <c r="P702"/>
  <c r="O702"/>
  <c r="P698"/>
  <c r="M690"/>
  <c r="M691" s="1"/>
  <c r="J691"/>
  <c r="D705"/>
  <c r="L690"/>
  <c r="L691" s="1"/>
  <c r="D691"/>
  <c r="J704"/>
  <c r="J705" s="1"/>
  <c r="E691"/>
  <c r="O698"/>
  <c r="Q695"/>
  <c r="N690"/>
  <c r="N704"/>
  <c r="N705" s="1"/>
  <c r="M656"/>
  <c r="M657" s="1"/>
  <c r="E657"/>
  <c r="J670"/>
  <c r="J671" s="1"/>
  <c r="L656"/>
  <c r="L657" s="1"/>
  <c r="D657"/>
  <c r="N670"/>
  <c r="N671" s="1"/>
  <c r="F671"/>
  <c r="L670"/>
  <c r="L671" s="1"/>
  <c r="D671"/>
  <c r="P669"/>
  <c r="O669" s="1"/>
  <c r="N664"/>
  <c r="P661"/>
  <c r="P664" s="1"/>
  <c r="F656"/>
  <c r="N656" s="1"/>
  <c r="O654"/>
  <c r="M670"/>
  <c r="M671" s="1"/>
  <c r="E671"/>
  <c r="N655"/>
  <c r="Q668"/>
  <c r="M636"/>
  <c r="M637" s="1"/>
  <c r="E637"/>
  <c r="N621"/>
  <c r="F623"/>
  <c r="P635"/>
  <c r="O635" s="1"/>
  <c r="M622"/>
  <c r="M623" s="1"/>
  <c r="E623"/>
  <c r="N630"/>
  <c r="P627"/>
  <c r="P630" s="1"/>
  <c r="J636"/>
  <c r="J637" s="1"/>
  <c r="L622"/>
  <c r="L623" s="1"/>
  <c r="D623"/>
  <c r="L636"/>
  <c r="L637" s="1"/>
  <c r="D637"/>
  <c r="J622"/>
  <c r="J623" s="1"/>
  <c r="O620"/>
  <c r="F637"/>
  <c r="Q634"/>
  <c r="M588"/>
  <c r="M589" s="1"/>
  <c r="E589"/>
  <c r="J602"/>
  <c r="J603" s="1"/>
  <c r="L588"/>
  <c r="L589" s="1"/>
  <c r="D589"/>
  <c r="N602"/>
  <c r="F603"/>
  <c r="L602"/>
  <c r="L603" s="1"/>
  <c r="D603"/>
  <c r="P601"/>
  <c r="O601" s="1"/>
  <c r="N596"/>
  <c r="P593"/>
  <c r="P596" s="1"/>
  <c r="F588"/>
  <c r="N588" s="1"/>
  <c r="O586"/>
  <c r="M602"/>
  <c r="M603" s="1"/>
  <c r="E603"/>
  <c r="N587"/>
  <c r="Q600"/>
  <c r="F569"/>
  <c r="M554"/>
  <c r="M555" s="1"/>
  <c r="E555"/>
  <c r="P567"/>
  <c r="O567" s="1"/>
  <c r="J568"/>
  <c r="J569" s="1"/>
  <c r="L554"/>
  <c r="L555" s="1"/>
  <c r="D555"/>
  <c r="L568"/>
  <c r="L569" s="1"/>
  <c r="D569"/>
  <c r="Q552"/>
  <c r="N562"/>
  <c r="P559"/>
  <c r="P562" s="1"/>
  <c r="O559"/>
  <c r="F554"/>
  <c r="N554" s="1"/>
  <c r="M568"/>
  <c r="M569" s="1"/>
  <c r="E569"/>
  <c r="N553"/>
  <c r="Q566"/>
  <c r="Q525"/>
  <c r="M520"/>
  <c r="M521" s="1"/>
  <c r="E521"/>
  <c r="P533"/>
  <c r="O533" s="1"/>
  <c r="Q533" s="1"/>
  <c r="R533" s="1"/>
  <c r="P527"/>
  <c r="O527" s="1"/>
  <c r="M534"/>
  <c r="M535" s="1"/>
  <c r="J521"/>
  <c r="P518"/>
  <c r="O518"/>
  <c r="P532"/>
  <c r="O532"/>
  <c r="D521"/>
  <c r="P519"/>
  <c r="O519"/>
  <c r="Q519" s="1"/>
  <c r="R519" s="1"/>
  <c r="F520"/>
  <c r="N520" s="1"/>
  <c r="N534"/>
  <c r="N535" s="1"/>
  <c r="F535"/>
  <c r="P484"/>
  <c r="O484"/>
  <c r="M486"/>
  <c r="M487" s="1"/>
  <c r="P493"/>
  <c r="O493" s="1"/>
  <c r="Q493" s="1"/>
  <c r="R493" s="1"/>
  <c r="L486"/>
  <c r="L487" s="1"/>
  <c r="D487"/>
  <c r="P485"/>
  <c r="O485"/>
  <c r="Q485" s="1"/>
  <c r="R485" s="1"/>
  <c r="L500"/>
  <c r="L501" s="1"/>
  <c r="D501"/>
  <c r="F486"/>
  <c r="N486" s="1"/>
  <c r="N500"/>
  <c r="E487"/>
  <c r="P499"/>
  <c r="O499"/>
  <c r="Q499" s="1"/>
  <c r="R499" s="1"/>
  <c r="N494"/>
  <c r="P491"/>
  <c r="O491"/>
  <c r="Q498"/>
  <c r="Q450"/>
  <c r="Q464"/>
  <c r="M452"/>
  <c r="M453" s="1"/>
  <c r="J466"/>
  <c r="J467" s="1"/>
  <c r="E453"/>
  <c r="L452"/>
  <c r="L453" s="1"/>
  <c r="D453"/>
  <c r="L466"/>
  <c r="L467" s="1"/>
  <c r="D467"/>
  <c r="N465"/>
  <c r="J452"/>
  <c r="J453" s="1"/>
  <c r="F466"/>
  <c r="F467" s="1"/>
  <c r="N460"/>
  <c r="P457"/>
  <c r="P460" s="1"/>
  <c r="N451"/>
  <c r="F453"/>
  <c r="E467"/>
  <c r="P425"/>
  <c r="O425" s="1"/>
  <c r="Q425" s="1"/>
  <c r="R425" s="1"/>
  <c r="M432"/>
  <c r="M433" s="1"/>
  <c r="H419"/>
  <c r="L418"/>
  <c r="L419" s="1"/>
  <c r="D419"/>
  <c r="J432"/>
  <c r="J433" s="1"/>
  <c r="E433"/>
  <c r="Q430"/>
  <c r="L432"/>
  <c r="L433" s="1"/>
  <c r="D433"/>
  <c r="Q416"/>
  <c r="N418"/>
  <c r="N432"/>
  <c r="N433" s="1"/>
  <c r="J419"/>
  <c r="P431"/>
  <c r="O431"/>
  <c r="Q431" s="1"/>
  <c r="R431" s="1"/>
  <c r="N426"/>
  <c r="P423"/>
  <c r="O423"/>
  <c r="N417"/>
  <c r="F419"/>
  <c r="E419"/>
  <c r="P362"/>
  <c r="L351"/>
  <c r="P328"/>
  <c r="P315"/>
  <c r="P294"/>
  <c r="P287"/>
  <c r="G86"/>
  <c r="H85"/>
  <c r="H86" s="1"/>
  <c r="I85"/>
  <c r="M85" s="1"/>
  <c r="M86" s="1"/>
  <c r="K85"/>
  <c r="K86" s="1"/>
  <c r="N84"/>
  <c r="P84" s="1"/>
  <c r="L84"/>
  <c r="J44"/>
  <c r="J45" s="1"/>
  <c r="J153"/>
  <c r="J154" s="1"/>
  <c r="F51"/>
  <c r="F52" s="1"/>
  <c r="M44"/>
  <c r="M45" s="1"/>
  <c r="M146"/>
  <c r="M147" s="1"/>
  <c r="N289"/>
  <c r="P289" s="1"/>
  <c r="N397"/>
  <c r="F9" i="21"/>
  <c r="E180" i="23"/>
  <c r="E181" s="1"/>
  <c r="D180"/>
  <c r="L180" s="1"/>
  <c r="L181" s="1"/>
  <c r="Q180"/>
  <c r="Q181" s="1"/>
  <c r="L159"/>
  <c r="J159"/>
  <c r="N159" s="1"/>
  <c r="P159" s="1"/>
  <c r="H160"/>
  <c r="L160" s="1"/>
  <c r="L161" s="1"/>
  <c r="I160"/>
  <c r="M160" s="1"/>
  <c r="M159"/>
  <c r="G161"/>
  <c r="J118"/>
  <c r="M118"/>
  <c r="M127"/>
  <c r="G120"/>
  <c r="I119"/>
  <c r="I120" s="1"/>
  <c r="H119"/>
  <c r="L118"/>
  <c r="K119"/>
  <c r="K120" s="1"/>
  <c r="E119"/>
  <c r="D119"/>
  <c r="D120" s="1"/>
  <c r="F118"/>
  <c r="D59"/>
  <c r="O57"/>
  <c r="Q57" s="1"/>
  <c r="R57" s="1"/>
  <c r="F58"/>
  <c r="L364"/>
  <c r="L365" s="1"/>
  <c r="M228"/>
  <c r="F296"/>
  <c r="F297" s="1"/>
  <c r="F330"/>
  <c r="F331" s="1"/>
  <c r="J398"/>
  <c r="J399" s="1"/>
  <c r="F214"/>
  <c r="N214" s="1"/>
  <c r="F384"/>
  <c r="N384" s="1"/>
  <c r="P384" s="1"/>
  <c r="F282"/>
  <c r="N282" s="1"/>
  <c r="P282" s="1"/>
  <c r="Q22"/>
  <c r="R22" s="1"/>
  <c r="Q49"/>
  <c r="J194"/>
  <c r="L262"/>
  <c r="M296"/>
  <c r="M297" s="1"/>
  <c r="L330"/>
  <c r="L331" s="1"/>
  <c r="F86"/>
  <c r="F24"/>
  <c r="Q117"/>
  <c r="M194"/>
  <c r="N18"/>
  <c r="O15"/>
  <c r="P18"/>
  <c r="F194"/>
  <c r="J262"/>
  <c r="J330"/>
  <c r="J331" s="1"/>
  <c r="L398"/>
  <c r="L399" s="1"/>
  <c r="F160"/>
  <c r="F161" s="1"/>
  <c r="F146"/>
  <c r="N146" s="1"/>
  <c r="P146" s="1"/>
  <c r="L113"/>
  <c r="F92"/>
  <c r="F93" s="1"/>
  <c r="J51"/>
  <c r="J52" s="1"/>
  <c r="F44"/>
  <c r="F45" s="1"/>
  <c r="O384"/>
  <c r="O391"/>
  <c r="R391" s="1"/>
  <c r="F398"/>
  <c r="F399" s="1"/>
  <c r="N383"/>
  <c r="M398"/>
  <c r="M399" s="1"/>
  <c r="L384"/>
  <c r="L385" s="1"/>
  <c r="O362"/>
  <c r="F350"/>
  <c r="N350" s="1"/>
  <c r="P350" s="1"/>
  <c r="M364"/>
  <c r="M365" s="1"/>
  <c r="N357"/>
  <c r="O363"/>
  <c r="R363" s="1"/>
  <c r="M350"/>
  <c r="M351" s="1"/>
  <c r="J364"/>
  <c r="J365" s="1"/>
  <c r="O348"/>
  <c r="N349"/>
  <c r="F364"/>
  <c r="F365" s="1"/>
  <c r="O355"/>
  <c r="N323"/>
  <c r="O329"/>
  <c r="R329" s="1"/>
  <c r="M316"/>
  <c r="M317" s="1"/>
  <c r="M330"/>
  <c r="M331" s="1"/>
  <c r="O315"/>
  <c r="O328"/>
  <c r="L316"/>
  <c r="L317" s="1"/>
  <c r="F316"/>
  <c r="F317" s="1"/>
  <c r="L282"/>
  <c r="L283" s="1"/>
  <c r="J296"/>
  <c r="J297" s="1"/>
  <c r="O282"/>
  <c r="N281"/>
  <c r="L296"/>
  <c r="L297" s="1"/>
  <c r="O289"/>
  <c r="O294"/>
  <c r="O295"/>
  <c r="R295" s="1"/>
  <c r="M248"/>
  <c r="M262"/>
  <c r="N255"/>
  <c r="O261"/>
  <c r="R261" s="1"/>
  <c r="O260"/>
  <c r="N247"/>
  <c r="F248"/>
  <c r="N248" s="1"/>
  <c r="F262"/>
  <c r="N262" s="1"/>
  <c r="O214"/>
  <c r="F228"/>
  <c r="L228"/>
  <c r="N227"/>
  <c r="O221"/>
  <c r="R221" s="1"/>
  <c r="L214"/>
  <c r="N213"/>
  <c r="J228"/>
  <c r="O186"/>
  <c r="F180"/>
  <c r="F181" s="1"/>
  <c r="O187"/>
  <c r="R187" s="1"/>
  <c r="O179"/>
  <c r="R185"/>
  <c r="O193"/>
  <c r="R193" s="1"/>
  <c r="L194"/>
  <c r="N145"/>
  <c r="P145" s="1"/>
  <c r="L146"/>
  <c r="L147" s="1"/>
  <c r="L126"/>
  <c r="L127" s="1"/>
  <c r="O124"/>
  <c r="F112"/>
  <c r="N112" s="1"/>
  <c r="P112" s="1"/>
  <c r="F126"/>
  <c r="F127" s="1"/>
  <c r="O110"/>
  <c r="Q110" s="1"/>
  <c r="M112"/>
  <c r="M113" s="1"/>
  <c r="O111"/>
  <c r="O125"/>
  <c r="J126"/>
  <c r="J127" s="1"/>
  <c r="L92"/>
  <c r="L93" s="1"/>
  <c r="N77"/>
  <c r="P77" s="1"/>
  <c r="N91"/>
  <c r="P91" s="1"/>
  <c r="F78"/>
  <c r="N78" s="1"/>
  <c r="P78" s="1"/>
  <c r="O76"/>
  <c r="Q76" s="1"/>
  <c r="O83"/>
  <c r="M92"/>
  <c r="M93" s="1"/>
  <c r="J92"/>
  <c r="J93" s="1"/>
  <c r="N50"/>
  <c r="P50" s="1"/>
  <c r="L51"/>
  <c r="L52" s="1"/>
  <c r="L44"/>
  <c r="L45" s="1"/>
  <c r="M51"/>
  <c r="M52" s="1"/>
  <c r="P9"/>
  <c r="P11" s="1"/>
  <c r="O10"/>
  <c r="Q10" s="1"/>
  <c r="R10" s="1"/>
  <c r="N11"/>
  <c r="D11" i="21"/>
  <c r="F11"/>
  <c r="O11"/>
  <c r="D10" i="2"/>
  <c r="G10" i="21"/>
  <c r="K10" s="1"/>
  <c r="H9"/>
  <c r="I9"/>
  <c r="K9"/>
  <c r="D10"/>
  <c r="E10"/>
  <c r="E10" i="2"/>
  <c r="N8" i="22"/>
  <c r="F9"/>
  <c r="N8" i="21"/>
  <c r="G10" i="2"/>
  <c r="H10" s="1"/>
  <c r="C11"/>
  <c r="H9"/>
  <c r="I9"/>
  <c r="A2"/>
  <c r="O23" i="23" l="1"/>
  <c r="Q23" s="1"/>
  <c r="R289"/>
  <c r="F977"/>
  <c r="J24"/>
  <c r="J25" s="1"/>
  <c r="R214"/>
  <c r="N44"/>
  <c r="P44" s="1"/>
  <c r="P45" s="1"/>
  <c r="O159"/>
  <c r="M180"/>
  <c r="M181" s="1"/>
  <c r="L24"/>
  <c r="L25" s="1"/>
  <c r="F487"/>
  <c r="M24"/>
  <c r="N51"/>
  <c r="P51" s="1"/>
  <c r="P494"/>
  <c r="H25"/>
  <c r="M25"/>
  <c r="N283"/>
  <c r="F283"/>
  <c r="J1011"/>
  <c r="P426"/>
  <c r="F1099"/>
  <c r="F657"/>
  <c r="P528"/>
  <c r="O397"/>
  <c r="P397"/>
  <c r="P392"/>
  <c r="F385"/>
  <c r="O1140"/>
  <c r="Q1137"/>
  <c r="N1132"/>
  <c r="F1133"/>
  <c r="N1146"/>
  <c r="F1147"/>
  <c r="R1144"/>
  <c r="Q1130"/>
  <c r="P1140"/>
  <c r="P1098"/>
  <c r="O1098" s="1"/>
  <c r="Q1098" s="1"/>
  <c r="R1098" s="1"/>
  <c r="N1112"/>
  <c r="P1105"/>
  <c r="P1106" s="1"/>
  <c r="O1105"/>
  <c r="N1106"/>
  <c r="P1097"/>
  <c r="O1097"/>
  <c r="N1099"/>
  <c r="Q1110"/>
  <c r="R1103"/>
  <c r="R1096"/>
  <c r="R1062"/>
  <c r="P1063"/>
  <c r="P1065" s="1"/>
  <c r="N1065"/>
  <c r="O1072"/>
  <c r="Q1069"/>
  <c r="Q1076"/>
  <c r="P1078"/>
  <c r="P1079" s="1"/>
  <c r="N1079"/>
  <c r="P1030"/>
  <c r="O1030"/>
  <c r="Q1030" s="1"/>
  <c r="R1030" s="1"/>
  <c r="O1038"/>
  <c r="Q1035"/>
  <c r="P1031"/>
  <c r="P1044"/>
  <c r="P1045" s="1"/>
  <c r="Q1028"/>
  <c r="O1042"/>
  <c r="F1045"/>
  <c r="P1010"/>
  <c r="P1011" s="1"/>
  <c r="O1010"/>
  <c r="Q1010" s="1"/>
  <c r="R1010" s="1"/>
  <c r="N1011"/>
  <c r="Q1008"/>
  <c r="R994"/>
  <c r="P995"/>
  <c r="O995"/>
  <c r="N997"/>
  <c r="R1001"/>
  <c r="P1003"/>
  <c r="P1004" s="1"/>
  <c r="O1003"/>
  <c r="N1004"/>
  <c r="R996"/>
  <c r="P996"/>
  <c r="O996"/>
  <c r="Q996" s="1"/>
  <c r="Q974"/>
  <c r="P961"/>
  <c r="O961" s="1"/>
  <c r="Q960"/>
  <c r="P969"/>
  <c r="P970" s="1"/>
  <c r="O969"/>
  <c r="N970"/>
  <c r="N962"/>
  <c r="P976"/>
  <c r="P977" s="1"/>
  <c r="R967"/>
  <c r="Q941"/>
  <c r="R941" s="1"/>
  <c r="N928"/>
  <c r="N929" s="1"/>
  <c r="N942"/>
  <c r="O933"/>
  <c r="R940"/>
  <c r="Q926"/>
  <c r="P927"/>
  <c r="O927" s="1"/>
  <c r="Q906"/>
  <c r="Q892"/>
  <c r="P901"/>
  <c r="P902" s="1"/>
  <c r="N902"/>
  <c r="R899"/>
  <c r="P894"/>
  <c r="P895" s="1"/>
  <c r="O894"/>
  <c r="Q894" s="1"/>
  <c r="R894" s="1"/>
  <c r="N895"/>
  <c r="P908"/>
  <c r="P909" s="1"/>
  <c r="O908"/>
  <c r="Q908" s="1"/>
  <c r="R908" s="1"/>
  <c r="Q873"/>
  <c r="R873" s="1"/>
  <c r="P859"/>
  <c r="N860"/>
  <c r="F861"/>
  <c r="O868"/>
  <c r="P874"/>
  <c r="P875" s="1"/>
  <c r="Q858"/>
  <c r="R872"/>
  <c r="Q868"/>
  <c r="R865"/>
  <c r="R868" s="1"/>
  <c r="N861"/>
  <c r="Q839"/>
  <c r="R839" s="1"/>
  <c r="N826"/>
  <c r="N827" s="1"/>
  <c r="N840"/>
  <c r="O831"/>
  <c r="R838"/>
  <c r="Q824"/>
  <c r="P825"/>
  <c r="O825" s="1"/>
  <c r="Q805"/>
  <c r="R805" s="1"/>
  <c r="R804"/>
  <c r="O800"/>
  <c r="Q797"/>
  <c r="R790"/>
  <c r="N806"/>
  <c r="P791"/>
  <c r="N793"/>
  <c r="P792"/>
  <c r="O792" s="1"/>
  <c r="Q792" s="1"/>
  <c r="R792" s="1"/>
  <c r="F793"/>
  <c r="P758"/>
  <c r="O758" s="1"/>
  <c r="Q758" s="1"/>
  <c r="R758" s="1"/>
  <c r="P772"/>
  <c r="O772" s="1"/>
  <c r="Q772" s="1"/>
  <c r="R772" s="1"/>
  <c r="N773"/>
  <c r="P757"/>
  <c r="O757"/>
  <c r="N759"/>
  <c r="O771"/>
  <c r="F759"/>
  <c r="R770"/>
  <c r="R756"/>
  <c r="O766"/>
  <c r="Q763"/>
  <c r="Q737"/>
  <c r="R737" s="1"/>
  <c r="N724"/>
  <c r="N725" s="1"/>
  <c r="N738"/>
  <c r="O729"/>
  <c r="R736"/>
  <c r="Q722"/>
  <c r="P723"/>
  <c r="O723" s="1"/>
  <c r="Q698"/>
  <c r="R695"/>
  <c r="R698" s="1"/>
  <c r="P690"/>
  <c r="O690" s="1"/>
  <c r="Q690" s="1"/>
  <c r="R690" s="1"/>
  <c r="P689"/>
  <c r="O689"/>
  <c r="N691"/>
  <c r="R688"/>
  <c r="P704"/>
  <c r="O704" s="1"/>
  <c r="Q702"/>
  <c r="Q669"/>
  <c r="R669" s="1"/>
  <c r="R668"/>
  <c r="P656"/>
  <c r="O656" s="1"/>
  <c r="Q656" s="1"/>
  <c r="R656" s="1"/>
  <c r="P670"/>
  <c r="P671" s="1"/>
  <c r="O670"/>
  <c r="Q670" s="1"/>
  <c r="R670" s="1"/>
  <c r="P655"/>
  <c r="N657"/>
  <c r="Q654"/>
  <c r="O661"/>
  <c r="Q635"/>
  <c r="R635" s="1"/>
  <c r="N622"/>
  <c r="N623" s="1"/>
  <c r="N636"/>
  <c r="O627"/>
  <c r="R634"/>
  <c r="Q620"/>
  <c r="P621"/>
  <c r="O621" s="1"/>
  <c r="Q601"/>
  <c r="R601" s="1"/>
  <c r="P588"/>
  <c r="O588" s="1"/>
  <c r="Q588" s="1"/>
  <c r="R588" s="1"/>
  <c r="P587"/>
  <c r="O587"/>
  <c r="Q587" s="1"/>
  <c r="R587" s="1"/>
  <c r="N589"/>
  <c r="Q586"/>
  <c r="R600"/>
  <c r="P602"/>
  <c r="P603" s="1"/>
  <c r="F589"/>
  <c r="N603"/>
  <c r="O593"/>
  <c r="Q567"/>
  <c r="R567" s="1"/>
  <c r="R566"/>
  <c r="O562"/>
  <c r="Q559"/>
  <c r="R552"/>
  <c r="N568"/>
  <c r="P553"/>
  <c r="O553"/>
  <c r="N555"/>
  <c r="P554"/>
  <c r="O554"/>
  <c r="Q554" s="1"/>
  <c r="R554" s="1"/>
  <c r="F555"/>
  <c r="Q527"/>
  <c r="R527" s="1"/>
  <c r="O528"/>
  <c r="F521"/>
  <c r="Q532"/>
  <c r="Q518"/>
  <c r="R525"/>
  <c r="P520"/>
  <c r="P521" s="1"/>
  <c r="N521"/>
  <c r="P534"/>
  <c r="P535" s="1"/>
  <c r="P486"/>
  <c r="P487" s="1"/>
  <c r="O486"/>
  <c r="Q486" s="1"/>
  <c r="R486" s="1"/>
  <c r="N487"/>
  <c r="O494"/>
  <c r="Q491"/>
  <c r="P500"/>
  <c r="O500" s="1"/>
  <c r="R498"/>
  <c r="Q484"/>
  <c r="N501"/>
  <c r="N466"/>
  <c r="N467" s="1"/>
  <c r="P465"/>
  <c r="O465"/>
  <c r="R450"/>
  <c r="O457"/>
  <c r="N452"/>
  <c r="N453" s="1"/>
  <c r="P451"/>
  <c r="R464"/>
  <c r="R416"/>
  <c r="R430"/>
  <c r="P418"/>
  <c r="O418" s="1"/>
  <c r="Q418" s="1"/>
  <c r="R418" s="1"/>
  <c r="O426"/>
  <c r="Q423"/>
  <c r="P432"/>
  <c r="P433" s="1"/>
  <c r="P417"/>
  <c r="P419" s="1"/>
  <c r="N419"/>
  <c r="Q384"/>
  <c r="R384" s="1"/>
  <c r="P383"/>
  <c r="P385" s="1"/>
  <c r="N385"/>
  <c r="P357"/>
  <c r="P358" s="1"/>
  <c r="N358"/>
  <c r="F351"/>
  <c r="N351"/>
  <c r="P349"/>
  <c r="P351" s="1"/>
  <c r="P323"/>
  <c r="P324" s="1"/>
  <c r="N324"/>
  <c r="Q315"/>
  <c r="N290"/>
  <c r="P290"/>
  <c r="Q282"/>
  <c r="R282" s="1"/>
  <c r="P281"/>
  <c r="P283" s="1"/>
  <c r="N153"/>
  <c r="P153" s="1"/>
  <c r="L85"/>
  <c r="L86" s="1"/>
  <c r="I86"/>
  <c r="J85"/>
  <c r="O84"/>
  <c r="Q84" s="1"/>
  <c r="R84" s="1"/>
  <c r="O146"/>
  <c r="Q146" s="1"/>
  <c r="R146" s="1"/>
  <c r="M161"/>
  <c r="F119"/>
  <c r="F120" s="1"/>
  <c r="N118"/>
  <c r="N194"/>
  <c r="D181"/>
  <c r="I161"/>
  <c r="H161"/>
  <c r="J160"/>
  <c r="L119"/>
  <c r="L120" s="1"/>
  <c r="H120"/>
  <c r="J119"/>
  <c r="J120" s="1"/>
  <c r="E120"/>
  <c r="M119"/>
  <c r="M120" s="1"/>
  <c r="F59"/>
  <c r="N58"/>
  <c r="P58" s="1"/>
  <c r="N330"/>
  <c r="N228"/>
  <c r="Q83"/>
  <c r="Q125"/>
  <c r="R125" s="1"/>
  <c r="N296"/>
  <c r="F147"/>
  <c r="P52"/>
  <c r="N52"/>
  <c r="Q124"/>
  <c r="O56"/>
  <c r="N9" i="22"/>
  <c r="Q159" i="23"/>
  <c r="R159" s="1"/>
  <c r="Q15"/>
  <c r="O18"/>
  <c r="O90"/>
  <c r="N24"/>
  <c r="P24" s="1"/>
  <c r="F25"/>
  <c r="F79"/>
  <c r="P147"/>
  <c r="N147"/>
  <c r="F113"/>
  <c r="P113"/>
  <c r="N113"/>
  <c r="Q111"/>
  <c r="P79"/>
  <c r="N79"/>
  <c r="O9"/>
  <c r="Q9" s="1"/>
  <c r="R9" s="1"/>
  <c r="N45"/>
  <c r="O43"/>
  <c r="N398"/>
  <c r="P398" s="1"/>
  <c r="R396"/>
  <c r="O389"/>
  <c r="O392" s="1"/>
  <c r="R382"/>
  <c r="O350"/>
  <c r="N364"/>
  <c r="N316"/>
  <c r="O330"/>
  <c r="O331" s="1"/>
  <c r="R321"/>
  <c r="O314"/>
  <c r="O296"/>
  <c r="O297" s="1"/>
  <c r="O287"/>
  <c r="O290" s="1"/>
  <c r="R280"/>
  <c r="O248"/>
  <c r="R248" s="1"/>
  <c r="O247"/>
  <c r="O262"/>
  <c r="R253"/>
  <c r="R246"/>
  <c r="O228"/>
  <c r="R226"/>
  <c r="R212"/>
  <c r="O219"/>
  <c r="R179"/>
  <c r="R192"/>
  <c r="N180"/>
  <c r="R178"/>
  <c r="R144"/>
  <c r="O151"/>
  <c r="O158"/>
  <c r="O112"/>
  <c r="Q112" s="1"/>
  <c r="N126"/>
  <c r="P126" s="1"/>
  <c r="R117"/>
  <c r="O78"/>
  <c r="O77"/>
  <c r="N92"/>
  <c r="R49"/>
  <c r="O51"/>
  <c r="O44"/>
  <c r="O42"/>
  <c r="Q42" s="1"/>
  <c r="O8"/>
  <c r="Q8" s="1"/>
  <c r="R8" s="1"/>
  <c r="Q16"/>
  <c r="O11" i="2"/>
  <c r="C12" i="21"/>
  <c r="G11"/>
  <c r="J9"/>
  <c r="N9" s="1"/>
  <c r="P9" s="1"/>
  <c r="P8" i="22"/>
  <c r="O8" s="1"/>
  <c r="L9" i="21"/>
  <c r="I10" i="2"/>
  <c r="M9" i="21"/>
  <c r="F10"/>
  <c r="I10"/>
  <c r="M10" s="1"/>
  <c r="H10"/>
  <c r="P8"/>
  <c r="O8" s="1"/>
  <c r="G11" i="2"/>
  <c r="C12"/>
  <c r="G12" i="21" s="1"/>
  <c r="E11" i="2"/>
  <c r="D11"/>
  <c r="K8"/>
  <c r="P589" i="23" l="1"/>
  <c r="R228"/>
  <c r="N154"/>
  <c r="P759"/>
  <c r="R528"/>
  <c r="Q528"/>
  <c r="P657"/>
  <c r="P92"/>
  <c r="P93" s="1"/>
  <c r="P118"/>
  <c r="O118" s="1"/>
  <c r="Q118" s="1"/>
  <c r="R118" s="1"/>
  <c r="P399"/>
  <c r="R397"/>
  <c r="N399"/>
  <c r="P1146"/>
  <c r="P1147" s="1"/>
  <c r="N1147"/>
  <c r="O1146"/>
  <c r="Q1140"/>
  <c r="R1137"/>
  <c r="R1140" s="1"/>
  <c r="R1130"/>
  <c r="P1132"/>
  <c r="P1133" s="1"/>
  <c r="O1132"/>
  <c r="N1133"/>
  <c r="Q1097"/>
  <c r="O1099"/>
  <c r="P1112"/>
  <c r="P1113" s="1"/>
  <c r="O1112"/>
  <c r="N1113"/>
  <c r="R1110"/>
  <c r="P1099"/>
  <c r="Q1105"/>
  <c r="O1106"/>
  <c r="Q1072"/>
  <c r="R1069"/>
  <c r="R1072" s="1"/>
  <c r="O1063"/>
  <c r="O1078"/>
  <c r="R1076"/>
  <c r="Q1042"/>
  <c r="Q1038"/>
  <c r="R1035"/>
  <c r="R1038" s="1"/>
  <c r="O1044"/>
  <c r="Q1044" s="1"/>
  <c r="R1044" s="1"/>
  <c r="O1031"/>
  <c r="Q1031"/>
  <c r="R1028"/>
  <c r="R1031" s="1"/>
  <c r="O1011"/>
  <c r="Q1003"/>
  <c r="O1004"/>
  <c r="Q1011"/>
  <c r="R1008"/>
  <c r="R1011" s="1"/>
  <c r="P997"/>
  <c r="Q995"/>
  <c r="O997"/>
  <c r="Q961"/>
  <c r="R961" s="1"/>
  <c r="O976"/>
  <c r="P962"/>
  <c r="O962" s="1"/>
  <c r="R974"/>
  <c r="N963"/>
  <c r="Q969"/>
  <c r="O970"/>
  <c r="R960"/>
  <c r="Q927"/>
  <c r="R927" s="1"/>
  <c r="P942"/>
  <c r="P943" s="1"/>
  <c r="O942"/>
  <c r="N943"/>
  <c r="R926"/>
  <c r="O936"/>
  <c r="Q933"/>
  <c r="Q936" s="1"/>
  <c r="P928"/>
  <c r="P929" s="1"/>
  <c r="O909"/>
  <c r="Q909"/>
  <c r="R906"/>
  <c r="R909" s="1"/>
  <c r="O901"/>
  <c r="O895"/>
  <c r="Q895"/>
  <c r="R892"/>
  <c r="R895" s="1"/>
  <c r="O874"/>
  <c r="O859"/>
  <c r="P860"/>
  <c r="P861" s="1"/>
  <c r="O860"/>
  <c r="Q860" s="1"/>
  <c r="R860" s="1"/>
  <c r="R858"/>
  <c r="Q825"/>
  <c r="R825" s="1"/>
  <c r="P840"/>
  <c r="P841" s="1"/>
  <c r="O840"/>
  <c r="N841"/>
  <c r="R824"/>
  <c r="O834"/>
  <c r="Q831"/>
  <c r="P826"/>
  <c r="P827" s="1"/>
  <c r="O826"/>
  <c r="Q826" s="1"/>
  <c r="R826" s="1"/>
  <c r="Q800"/>
  <c r="R797"/>
  <c r="R800" s="1"/>
  <c r="P793"/>
  <c r="P806"/>
  <c r="P807" s="1"/>
  <c r="O806"/>
  <c r="N807"/>
  <c r="O791"/>
  <c r="Q771"/>
  <c r="O773"/>
  <c r="P773"/>
  <c r="Q757"/>
  <c r="O759"/>
  <c r="Q766"/>
  <c r="R763"/>
  <c r="R766" s="1"/>
  <c r="Q723"/>
  <c r="R723" s="1"/>
  <c r="P738"/>
  <c r="P739" s="1"/>
  <c r="O738"/>
  <c r="N739"/>
  <c r="R722"/>
  <c r="O732"/>
  <c r="Q729"/>
  <c r="P724"/>
  <c r="P725" s="1"/>
  <c r="O724"/>
  <c r="Q724" s="1"/>
  <c r="Q725" s="1"/>
  <c r="Q704"/>
  <c r="R704" s="1"/>
  <c r="O705"/>
  <c r="Q689"/>
  <c r="O691"/>
  <c r="P705"/>
  <c r="R702"/>
  <c r="P691"/>
  <c r="O664"/>
  <c r="Q661"/>
  <c r="R671"/>
  <c r="O655"/>
  <c r="O671"/>
  <c r="Q671"/>
  <c r="R654"/>
  <c r="Q621"/>
  <c r="R621" s="1"/>
  <c r="P636"/>
  <c r="P637" s="1"/>
  <c r="O636"/>
  <c r="N637"/>
  <c r="R620"/>
  <c r="O630"/>
  <c r="Q627"/>
  <c r="P622"/>
  <c r="P623" s="1"/>
  <c r="O602"/>
  <c r="O596"/>
  <c r="Q593"/>
  <c r="O589"/>
  <c r="Q589"/>
  <c r="R586"/>
  <c r="R589" s="1"/>
  <c r="P568"/>
  <c r="P569" s="1"/>
  <c r="N569"/>
  <c r="Q562"/>
  <c r="R559"/>
  <c r="R562" s="1"/>
  <c r="P555"/>
  <c r="Q553"/>
  <c r="O555"/>
  <c r="O520"/>
  <c r="R518"/>
  <c r="R532"/>
  <c r="O534"/>
  <c r="Q500"/>
  <c r="O501"/>
  <c r="P501"/>
  <c r="Q494"/>
  <c r="R491"/>
  <c r="R494" s="1"/>
  <c r="O487"/>
  <c r="Q487"/>
  <c r="R484"/>
  <c r="R487" s="1"/>
  <c r="P452"/>
  <c r="P453" s="1"/>
  <c r="O452"/>
  <c r="Q452" s="1"/>
  <c r="R452" s="1"/>
  <c r="P466"/>
  <c r="O466" s="1"/>
  <c r="O460"/>
  <c r="Q457"/>
  <c r="Q465"/>
  <c r="O451"/>
  <c r="O432"/>
  <c r="Q426"/>
  <c r="R423"/>
  <c r="R426" s="1"/>
  <c r="O417"/>
  <c r="P364"/>
  <c r="P365" s="1"/>
  <c r="N365"/>
  <c r="Q350"/>
  <c r="R350" s="1"/>
  <c r="P330"/>
  <c r="P331" s="1"/>
  <c r="N331"/>
  <c r="P316"/>
  <c r="P317" s="1"/>
  <c r="N317"/>
  <c r="R315"/>
  <c r="P296"/>
  <c r="P297" s="1"/>
  <c r="N297"/>
  <c r="P154"/>
  <c r="J86"/>
  <c r="N85"/>
  <c r="P85" s="1"/>
  <c r="P181"/>
  <c r="N181"/>
  <c r="J161"/>
  <c r="N160"/>
  <c r="P160" s="1"/>
  <c r="N119"/>
  <c r="P119" s="1"/>
  <c r="N59"/>
  <c r="O323"/>
  <c r="O324" s="1"/>
  <c r="O281"/>
  <c r="O283" s="1"/>
  <c r="Q51"/>
  <c r="R51" s="1"/>
  <c r="P127"/>
  <c r="N127"/>
  <c r="Q151"/>
  <c r="Q90"/>
  <c r="Q56"/>
  <c r="O255"/>
  <c r="N93"/>
  <c r="Q158"/>
  <c r="O24"/>
  <c r="O25" s="1"/>
  <c r="N25"/>
  <c r="Q18"/>
  <c r="R15"/>
  <c r="O145"/>
  <c r="Q113"/>
  <c r="O113"/>
  <c r="R111"/>
  <c r="Q78"/>
  <c r="R78" s="1"/>
  <c r="Q77"/>
  <c r="O79"/>
  <c r="Q44"/>
  <c r="R44" s="1"/>
  <c r="Q43"/>
  <c r="O45"/>
  <c r="O383"/>
  <c r="O349"/>
  <c r="O357"/>
  <c r="O358" s="1"/>
  <c r="R355"/>
  <c r="R348"/>
  <c r="R362"/>
  <c r="R330"/>
  <c r="R328"/>
  <c r="R296"/>
  <c r="R294"/>
  <c r="R262"/>
  <c r="R260"/>
  <c r="O227"/>
  <c r="O213"/>
  <c r="R186"/>
  <c r="R112"/>
  <c r="R110"/>
  <c r="R124"/>
  <c r="R83"/>
  <c r="R76"/>
  <c r="O91"/>
  <c r="Q91" s="1"/>
  <c r="O50"/>
  <c r="R23"/>
  <c r="R16"/>
  <c r="O11"/>
  <c r="Q11"/>
  <c r="G14" i="21"/>
  <c r="E19" s="1"/>
  <c r="I12"/>
  <c r="H12"/>
  <c r="J12" s="1"/>
  <c r="D12"/>
  <c r="E12"/>
  <c r="K12"/>
  <c r="O12"/>
  <c r="F12"/>
  <c r="F14" s="1"/>
  <c r="C14"/>
  <c r="B19" s="1"/>
  <c r="H19" s="1"/>
  <c r="I11"/>
  <c r="M11" s="1"/>
  <c r="H11"/>
  <c r="L11" s="1"/>
  <c r="K11"/>
  <c r="O9"/>
  <c r="Q9" s="1"/>
  <c r="R9" s="1"/>
  <c r="P9" i="22"/>
  <c r="J10" i="21"/>
  <c r="C14" i="2"/>
  <c r="B19" s="1"/>
  <c r="O12"/>
  <c r="L10" i="21"/>
  <c r="O9" i="22"/>
  <c r="Q8"/>
  <c r="G12" i="2"/>
  <c r="E12"/>
  <c r="E14" s="1"/>
  <c r="D19" s="1"/>
  <c r="D12"/>
  <c r="D14" s="1"/>
  <c r="C19" s="1"/>
  <c r="H11"/>
  <c r="I11"/>
  <c r="L8"/>
  <c r="M8"/>
  <c r="J8"/>
  <c r="F8"/>
  <c r="R331" i="23" l="1"/>
  <c r="P467"/>
  <c r="P963"/>
  <c r="Q1146"/>
  <c r="O1147"/>
  <c r="Q1132"/>
  <c r="O1133"/>
  <c r="Q1112"/>
  <c r="O1113"/>
  <c r="R1097"/>
  <c r="R1099" s="1"/>
  <c r="Q1099"/>
  <c r="Q1106"/>
  <c r="R1105"/>
  <c r="R1106" s="1"/>
  <c r="Q1078"/>
  <c r="O1079"/>
  <c r="Q1063"/>
  <c r="O1065"/>
  <c r="O1045"/>
  <c r="Q1045"/>
  <c r="R1042"/>
  <c r="R1045" s="1"/>
  <c r="Q997"/>
  <c r="R995"/>
  <c r="R997" s="1"/>
  <c r="R1003"/>
  <c r="R1004" s="1"/>
  <c r="Q1004"/>
  <c r="Q962"/>
  <c r="O963"/>
  <c r="Q970"/>
  <c r="R969"/>
  <c r="R970" s="1"/>
  <c r="Q976"/>
  <c r="O977"/>
  <c r="Q942"/>
  <c r="Q943" s="1"/>
  <c r="O943"/>
  <c r="O928"/>
  <c r="R933"/>
  <c r="R936" s="1"/>
  <c r="Q901"/>
  <c r="O902"/>
  <c r="Q874"/>
  <c r="O875"/>
  <c r="Q859"/>
  <c r="O861"/>
  <c r="Q834"/>
  <c r="R831"/>
  <c r="R834" s="1"/>
  <c r="O827"/>
  <c r="Q827"/>
  <c r="Q840"/>
  <c r="O841"/>
  <c r="R827"/>
  <c r="Q791"/>
  <c r="O793"/>
  <c r="Q806"/>
  <c r="O807"/>
  <c r="R757"/>
  <c r="R759" s="1"/>
  <c r="Q759"/>
  <c r="R771"/>
  <c r="R773" s="1"/>
  <c r="Q773"/>
  <c r="Q738"/>
  <c r="O739"/>
  <c r="Q732"/>
  <c r="R729"/>
  <c r="R732" s="1"/>
  <c r="O725"/>
  <c r="R724"/>
  <c r="R725" s="1"/>
  <c r="Q705"/>
  <c r="R689"/>
  <c r="R691" s="1"/>
  <c r="Q691"/>
  <c r="R705"/>
  <c r="Q664"/>
  <c r="R661"/>
  <c r="R664" s="1"/>
  <c r="Q655"/>
  <c r="O657"/>
  <c r="Q636"/>
  <c r="O637"/>
  <c r="O622"/>
  <c r="Q630"/>
  <c r="R627"/>
  <c r="R630" s="1"/>
  <c r="Q602"/>
  <c r="O603"/>
  <c r="Q596"/>
  <c r="R593"/>
  <c r="R596" s="1"/>
  <c r="Q555"/>
  <c r="R553"/>
  <c r="R555" s="1"/>
  <c r="O568"/>
  <c r="Q520"/>
  <c r="O521"/>
  <c r="Q534"/>
  <c r="O535"/>
  <c r="R500"/>
  <c r="R501" s="1"/>
  <c r="Q501"/>
  <c r="Q466"/>
  <c r="R466" s="1"/>
  <c r="O467"/>
  <c r="R465"/>
  <c r="Q451"/>
  <c r="O453"/>
  <c r="Q460"/>
  <c r="R457"/>
  <c r="R460" s="1"/>
  <c r="Q432"/>
  <c r="O433"/>
  <c r="Q417"/>
  <c r="O419"/>
  <c r="Q383"/>
  <c r="Q385" s="1"/>
  <c r="O385"/>
  <c r="Q349"/>
  <c r="Q351" s="1"/>
  <c r="O351"/>
  <c r="R297"/>
  <c r="Q281"/>
  <c r="Q283" s="1"/>
  <c r="O153"/>
  <c r="P86"/>
  <c r="O85"/>
  <c r="N86"/>
  <c r="O194"/>
  <c r="P161"/>
  <c r="N161"/>
  <c r="N120"/>
  <c r="P120"/>
  <c r="O58"/>
  <c r="P59"/>
  <c r="Q50"/>
  <c r="Q52" s="1"/>
  <c r="O52"/>
  <c r="Q24"/>
  <c r="P25"/>
  <c r="H14" i="21"/>
  <c r="F19" s="1"/>
  <c r="R56" i="23"/>
  <c r="R18"/>
  <c r="O364"/>
  <c r="O365" s="1"/>
  <c r="Q79"/>
  <c r="R90"/>
  <c r="Q145"/>
  <c r="Q147" s="1"/>
  <c r="O147"/>
  <c r="R113"/>
  <c r="O92"/>
  <c r="O93" s="1"/>
  <c r="R77"/>
  <c r="R79" s="1"/>
  <c r="Q45"/>
  <c r="R43"/>
  <c r="R389"/>
  <c r="R392" s="1"/>
  <c r="O398"/>
  <c r="O399" s="1"/>
  <c r="O316"/>
  <c r="R323"/>
  <c r="R324" s="1"/>
  <c r="R314"/>
  <c r="R287"/>
  <c r="R290" s="1"/>
  <c r="R281"/>
  <c r="R283" s="1"/>
  <c r="R255"/>
  <c r="R247"/>
  <c r="R219"/>
  <c r="O180"/>
  <c r="O181" s="1"/>
  <c r="R158"/>
  <c r="R151"/>
  <c r="O126"/>
  <c r="R42"/>
  <c r="R11"/>
  <c r="J11" i="21"/>
  <c r="N11" s="1"/>
  <c r="P11" s="1"/>
  <c r="Q11" s="1"/>
  <c r="R11" s="1"/>
  <c r="I14"/>
  <c r="G19" s="1"/>
  <c r="L12"/>
  <c r="L14" s="1"/>
  <c r="D14"/>
  <c r="C19" s="1"/>
  <c r="I19" s="1"/>
  <c r="N12"/>
  <c r="M12"/>
  <c r="M14" s="1"/>
  <c r="E14"/>
  <c r="D19" s="1"/>
  <c r="K14"/>
  <c r="N10"/>
  <c r="Q9" i="22"/>
  <c r="R8"/>
  <c r="R9" s="1"/>
  <c r="Q8" i="21"/>
  <c r="H12" i="2"/>
  <c r="H14" s="1"/>
  <c r="F19" s="1"/>
  <c r="I19" s="1"/>
  <c r="I12"/>
  <c r="I14" s="1"/>
  <c r="G19" s="1"/>
  <c r="J19" s="1"/>
  <c r="G14"/>
  <c r="E19" s="1"/>
  <c r="H19" s="1"/>
  <c r="K9"/>
  <c r="N8"/>
  <c r="F9"/>
  <c r="Q467" i="23" l="1"/>
  <c r="R467"/>
  <c r="Q1133"/>
  <c r="R1132"/>
  <c r="R1133" s="1"/>
  <c r="Q1147"/>
  <c r="R1146"/>
  <c r="R1147" s="1"/>
  <c r="R1112"/>
  <c r="R1113" s="1"/>
  <c r="Q1113"/>
  <c r="R1063"/>
  <c r="R1065" s="1"/>
  <c r="Q1065"/>
  <c r="R1078"/>
  <c r="R1079" s="1"/>
  <c r="Q1079"/>
  <c r="R962"/>
  <c r="R963" s="1"/>
  <c r="Q963"/>
  <c r="R976"/>
  <c r="R977" s="1"/>
  <c r="Q977"/>
  <c r="R942"/>
  <c r="R943" s="1"/>
  <c r="Q928"/>
  <c r="O929"/>
  <c r="R901"/>
  <c r="R902" s="1"/>
  <c r="Q902"/>
  <c r="R874"/>
  <c r="R875" s="1"/>
  <c r="Q875"/>
  <c r="R859"/>
  <c r="R861" s="1"/>
  <c r="Q861"/>
  <c r="R840"/>
  <c r="R841" s="1"/>
  <c r="Q841"/>
  <c r="Q793"/>
  <c r="R791"/>
  <c r="R793" s="1"/>
  <c r="Q807"/>
  <c r="R806"/>
  <c r="R807" s="1"/>
  <c r="R738"/>
  <c r="R739" s="1"/>
  <c r="Q739"/>
  <c r="R655"/>
  <c r="R657" s="1"/>
  <c r="Q657"/>
  <c r="R636"/>
  <c r="R637" s="1"/>
  <c r="Q637"/>
  <c r="Q622"/>
  <c r="O623"/>
  <c r="R602"/>
  <c r="R603" s="1"/>
  <c r="Q603"/>
  <c r="Q568"/>
  <c r="O569"/>
  <c r="R520"/>
  <c r="R521" s="1"/>
  <c r="Q521"/>
  <c r="R534"/>
  <c r="R535" s="1"/>
  <c r="Q535"/>
  <c r="Q453"/>
  <c r="R451"/>
  <c r="R453" s="1"/>
  <c r="Q419"/>
  <c r="R417"/>
  <c r="R419" s="1"/>
  <c r="Q433"/>
  <c r="R432"/>
  <c r="R433" s="1"/>
  <c r="Q316"/>
  <c r="Q317" s="1"/>
  <c r="O317"/>
  <c r="Q153"/>
  <c r="O154"/>
  <c r="Q85"/>
  <c r="O86"/>
  <c r="O160"/>
  <c r="O119"/>
  <c r="Q58"/>
  <c r="O59"/>
  <c r="R45"/>
  <c r="Q126"/>
  <c r="Q127" s="1"/>
  <c r="O127"/>
  <c r="Q92"/>
  <c r="Q93" s="1"/>
  <c r="R24"/>
  <c r="R25" s="1"/>
  <c r="Q25"/>
  <c r="J14" i="21"/>
  <c r="R145" i="23"/>
  <c r="R147" s="1"/>
  <c r="R383"/>
  <c r="R385" s="1"/>
  <c r="R349"/>
  <c r="R351" s="1"/>
  <c r="R364"/>
  <c r="R365" s="1"/>
  <c r="R357"/>
  <c r="R358" s="1"/>
  <c r="R213"/>
  <c r="R227"/>
  <c r="R91"/>
  <c r="R50"/>
  <c r="R52" s="1"/>
  <c r="P12" i="21"/>
  <c r="Q12" s="1"/>
  <c r="R12" s="1"/>
  <c r="J19"/>
  <c r="P10"/>
  <c r="O10" s="1"/>
  <c r="N14"/>
  <c r="R8"/>
  <c r="P8" i="2"/>
  <c r="O8" s="1"/>
  <c r="K10"/>
  <c r="L9"/>
  <c r="M9"/>
  <c r="J9"/>
  <c r="M10"/>
  <c r="L10"/>
  <c r="F10"/>
  <c r="Q929" i="23" l="1"/>
  <c r="R928"/>
  <c r="R929" s="1"/>
  <c r="Q623"/>
  <c r="R622"/>
  <c r="R623" s="1"/>
  <c r="Q569"/>
  <c r="R568"/>
  <c r="R569" s="1"/>
  <c r="R153"/>
  <c r="R154" s="1"/>
  <c r="Q154"/>
  <c r="R85"/>
  <c r="R86" s="1"/>
  <c r="Q86"/>
  <c r="R194"/>
  <c r="Q160"/>
  <c r="O161"/>
  <c r="Q119"/>
  <c r="O120"/>
  <c r="Q59"/>
  <c r="R58"/>
  <c r="R59" s="1"/>
  <c r="R92"/>
  <c r="R93" s="1"/>
  <c r="R398"/>
  <c r="R399" s="1"/>
  <c r="R316"/>
  <c r="R317" s="1"/>
  <c r="R180"/>
  <c r="R181" s="1"/>
  <c r="R126"/>
  <c r="R127" s="1"/>
  <c r="O14" i="21"/>
  <c r="K19" s="1"/>
  <c r="Q10"/>
  <c r="P14"/>
  <c r="N9" i="2"/>
  <c r="J10"/>
  <c r="N10" s="1"/>
  <c r="K11"/>
  <c r="M11"/>
  <c r="F11"/>
  <c r="L11"/>
  <c r="R160" i="23" l="1"/>
  <c r="R161" s="1"/>
  <c r="Q161"/>
  <c r="Q120"/>
  <c r="R119"/>
  <c r="R120" s="1"/>
  <c r="R10" i="21"/>
  <c r="R14" s="1"/>
  <c r="M19" s="1"/>
  <c r="Q14"/>
  <c r="Q8" i="2"/>
  <c r="P10"/>
  <c r="O10" s="1"/>
  <c r="P9"/>
  <c r="O9" s="1"/>
  <c r="J11"/>
  <c r="N11" s="1"/>
  <c r="K12"/>
  <c r="M12"/>
  <c r="J12"/>
  <c r="F12"/>
  <c r="L12"/>
  <c r="O14" l="1"/>
  <c r="Q9"/>
  <c r="R9" s="1"/>
  <c r="R8"/>
  <c r="P11"/>
  <c r="Q11" s="1"/>
  <c r="R11" s="1"/>
  <c r="K13"/>
  <c r="K14" s="1"/>
  <c r="F13"/>
  <c r="F14" s="1"/>
  <c r="N12"/>
  <c r="Q10" l="1"/>
  <c r="R10" s="1"/>
  <c r="K19"/>
  <c r="J15"/>
  <c r="P12"/>
  <c r="M13"/>
  <c r="M14" s="1"/>
  <c r="L13"/>
  <c r="L14" s="1"/>
  <c r="J13"/>
  <c r="J14" s="1"/>
  <c r="Q12" l="1"/>
  <c r="N13"/>
  <c r="Q14" l="1"/>
  <c r="R12"/>
  <c r="R13"/>
  <c r="N14"/>
  <c r="P13"/>
  <c r="P14" s="1"/>
  <c r="R14" l="1"/>
  <c r="M19" l="1"/>
</calcChain>
</file>

<file path=xl/sharedStrings.xml><?xml version="1.0" encoding="utf-8"?>
<sst xmlns="http://schemas.openxmlformats.org/spreadsheetml/2006/main" count="1779" uniqueCount="90">
  <si>
    <t>Serial No.</t>
  </si>
  <si>
    <t>Dearness
Allowance</t>
  </si>
  <si>
    <t>H.R.A.</t>
  </si>
  <si>
    <t>Month
&amp; 
Year</t>
  </si>
  <si>
    <t>Basic
 Pay</t>
  </si>
  <si>
    <t>Pay Due</t>
  </si>
  <si>
    <t>Pay Drawn</t>
  </si>
  <si>
    <t>Pay Difference</t>
  </si>
  <si>
    <t>Deducation</t>
  </si>
  <si>
    <t>TOTAL</t>
  </si>
  <si>
    <t>Name of Employee :-</t>
  </si>
  <si>
    <t>OFFICE NAME :-</t>
  </si>
  <si>
    <t>S.R. NO.</t>
  </si>
  <si>
    <t>EMPLOYEE NAME</t>
  </si>
  <si>
    <t>POST</t>
  </si>
  <si>
    <t>How Many Months make Arrear</t>
  </si>
  <si>
    <t>7th Pay Basic</t>
  </si>
  <si>
    <t>EMPLOYEE DETAIL</t>
  </si>
  <si>
    <t>GPF</t>
  </si>
  <si>
    <t>S.R.</t>
  </si>
  <si>
    <t>Date :</t>
  </si>
  <si>
    <t>For Copying And Necessary Action</t>
  </si>
  <si>
    <t>Treasury Officer / Deputy treasury  Officer</t>
  </si>
  <si>
    <t>Related Employee Sh./Smt./Mis.</t>
  </si>
  <si>
    <t>File Register</t>
  </si>
  <si>
    <t>Old  7th Pay DA % :-</t>
  </si>
  <si>
    <t>Old  7th Pay HRA % :-</t>
  </si>
  <si>
    <t>New  7th Pay DA % :-</t>
  </si>
  <si>
    <t>New  7th Pay HRA % :-</t>
  </si>
  <si>
    <t xml:space="preserve">Basic
</t>
  </si>
  <si>
    <t>INCOME TAX</t>
  </si>
  <si>
    <t xml:space="preserve">POST:- </t>
  </si>
  <si>
    <t>HEERA LAL JAT</t>
  </si>
  <si>
    <t>Sr. Teacher</t>
  </si>
  <si>
    <t>MISHRI LAL</t>
  </si>
  <si>
    <t>KALYAN SINGH</t>
  </si>
  <si>
    <t>MANGILAL RANGI</t>
  </si>
  <si>
    <t>MAHENDRA PATEL</t>
  </si>
  <si>
    <t>BHALA RAM MOBARSA</t>
  </si>
  <si>
    <t>AJAY KUMAR</t>
  </si>
  <si>
    <t>PRINCIPAL</t>
  </si>
  <si>
    <t>LECTURER</t>
  </si>
  <si>
    <t>TEACHER L-1</t>
  </si>
  <si>
    <t>P.T.I. IIIrd</t>
  </si>
  <si>
    <t xml:space="preserve">PEON </t>
  </si>
  <si>
    <t>TEACHER L-2</t>
  </si>
  <si>
    <t>MANDIP SINGH BHULLAR</t>
  </si>
  <si>
    <t>ARJUN SINGH</t>
  </si>
  <si>
    <t>SURESH KUMAR ADARA</t>
  </si>
  <si>
    <t>PEERARAM</t>
  </si>
  <si>
    <t>Treasury
Bill@
Voucher 
No.&amp;
Date</t>
  </si>
  <si>
    <t>Income   Tax  /  TDS</t>
  </si>
  <si>
    <t>BHAGWAN SINGH</t>
  </si>
  <si>
    <t>SOHAN LAL</t>
  </si>
  <si>
    <t>SITARAM</t>
  </si>
  <si>
    <t>SEAL AND SIGN OF DDO</t>
  </si>
  <si>
    <t>YES</t>
  </si>
  <si>
    <t>LALIT KUMAR</t>
  </si>
  <si>
    <t>GPF-2004</t>
  </si>
  <si>
    <r>
      <t xml:space="preserve">Total 
Col.
</t>
    </r>
    <r>
      <rPr>
        <b/>
        <i/>
        <sz val="9"/>
        <color theme="1"/>
        <rFont val="Cambria"/>
        <family val="1"/>
        <scheme val="major"/>
      </rPr>
      <t>3 to 5</t>
    </r>
  </si>
  <si>
    <r>
      <t xml:space="preserve">Total 
Col.
</t>
    </r>
    <r>
      <rPr>
        <b/>
        <i/>
        <sz val="9"/>
        <color theme="1"/>
        <rFont val="Cambria"/>
        <family val="1"/>
        <scheme val="major"/>
      </rPr>
      <t>7 to 9</t>
    </r>
  </si>
  <si>
    <r>
      <t xml:space="preserve">Total 
Col.
</t>
    </r>
    <r>
      <rPr>
        <b/>
        <i/>
        <sz val="9"/>
        <color theme="1"/>
        <rFont val="Cambria"/>
        <family val="1"/>
        <scheme val="major"/>
      </rPr>
      <t>11 to 13</t>
    </r>
  </si>
  <si>
    <t>Sr. No. :-</t>
  </si>
  <si>
    <t>DA</t>
  </si>
  <si>
    <t>HRA</t>
  </si>
  <si>
    <t>BASIC</t>
  </si>
  <si>
    <r>
      <t xml:space="preserve">Total 
of 
Dedu
ction 
</t>
    </r>
    <r>
      <rPr>
        <sz val="11"/>
        <color theme="1"/>
        <rFont val="Calibri"/>
        <family val="2"/>
        <scheme val="minor"/>
      </rPr>
      <t/>
    </r>
  </si>
  <si>
    <r>
      <t xml:space="preserve">To be 
paid
in Cash
</t>
    </r>
    <r>
      <rPr>
        <b/>
        <i/>
        <sz val="9"/>
        <color theme="1"/>
        <rFont val="Cambria"/>
        <family val="1"/>
        <scheme val="major"/>
      </rPr>
      <t>Col. 14 
form 18</t>
    </r>
  </si>
  <si>
    <t>To be Paid Cash</t>
  </si>
  <si>
    <t>Mahatma Gandhi Government School (English Medium) BAR , Pali</t>
  </si>
  <si>
    <t>Amount in Words , To be Paid In Cash  :-</t>
  </si>
  <si>
    <t>Surrender Arrear</t>
  </si>
  <si>
    <t>Sr.No.</t>
  </si>
  <si>
    <t>Total 
Col.
11 to 13</t>
  </si>
  <si>
    <t>To be 
paid
in Cash
Col. 14 
form 18</t>
  </si>
  <si>
    <t>GPF / GPF-2004</t>
  </si>
  <si>
    <t>Programmed By :-</t>
  </si>
  <si>
    <t>Sr. Teacher at MGGS BAR (PALI)</t>
  </si>
  <si>
    <t>V./P. -  CHANDAWAL NAGAR , SOJAT (PALI)</t>
  </si>
  <si>
    <t xml:space="preserve"> Whats App No. 09001884272</t>
  </si>
  <si>
    <t>heeralaljatchandawal@gmail.com</t>
  </si>
  <si>
    <t>https://youtu.be/7Oi03pUF5Ww</t>
  </si>
  <si>
    <t xml:space="preserve">परम पूज्य गुरुदेव वासुदेवजी महाराज </t>
  </si>
  <si>
    <t xml:space="preserve">GPF / GPF-2004 </t>
  </si>
  <si>
    <t>To be Paid In GPF / GPF-2004</t>
  </si>
  <si>
    <r>
      <rPr>
        <b/>
        <sz val="11"/>
        <color rgb="FF0000CC"/>
        <rFont val="Calibri"/>
        <family val="2"/>
        <scheme val="minor"/>
      </rPr>
      <t>किस माह से</t>
    </r>
    <r>
      <rPr>
        <b/>
        <sz val="12"/>
        <color rgb="FF0000CC"/>
        <rFont val="Calibri"/>
        <family val="2"/>
        <scheme val="minor"/>
      </rPr>
      <t xml:space="preserve"> DA </t>
    </r>
    <r>
      <rPr>
        <b/>
        <sz val="11"/>
        <color rgb="FF0000CC"/>
        <rFont val="Calibri"/>
        <family val="2"/>
        <scheme val="minor"/>
      </rPr>
      <t>एरियर बनाना है</t>
    </r>
    <r>
      <rPr>
        <b/>
        <sz val="12"/>
        <color rgb="FF0000CC"/>
        <rFont val="Calibri"/>
        <family val="2"/>
        <scheme val="minor"/>
      </rPr>
      <t xml:space="preserve"> </t>
    </r>
  </si>
  <si>
    <t xml:space="preserve">DA (38%) Drawn Statement  </t>
  </si>
  <si>
    <t>https://youtu.be/PBaVmcX26GU</t>
  </si>
  <si>
    <t>New Video Link Release on 09-10-2022</t>
  </si>
  <si>
    <t xml:space="preserve">Old Video Link </t>
  </si>
</sst>
</file>

<file path=xl/styles.xml><?xml version="1.0" encoding="utf-8"?>
<styleSheet xmlns="http://schemas.openxmlformats.org/spreadsheetml/2006/main">
  <numFmts count="2">
    <numFmt numFmtId="164" formatCode="[$-409]mmm/yy;@"/>
    <numFmt numFmtId="165" formatCode="[$-409]mmmm/yy;@"/>
  </numFmts>
  <fonts count="63">
    <font>
      <sz val="11"/>
      <color theme="1"/>
      <name val="Calibri"/>
      <family val="2"/>
      <scheme val="minor"/>
    </font>
    <font>
      <sz val="14"/>
      <color theme="1"/>
      <name val="Times New Roman"/>
      <family val="1"/>
    </font>
    <font>
      <sz val="8"/>
      <color theme="1"/>
      <name val="Times New Roman"/>
      <family val="1"/>
    </font>
    <font>
      <sz val="11"/>
      <color theme="1"/>
      <name val="Times New Roman"/>
      <family val="1"/>
    </font>
    <font>
      <sz val="14"/>
      <color theme="1"/>
      <name val="DevLys 010"/>
    </font>
    <font>
      <sz val="12"/>
      <color theme="1"/>
      <name val="Calibri"/>
      <family val="2"/>
      <scheme val="minor"/>
    </font>
    <font>
      <sz val="14"/>
      <color theme="1"/>
      <name val="Calibri"/>
      <family val="2"/>
      <scheme val="minor"/>
    </font>
    <font>
      <b/>
      <sz val="10"/>
      <color theme="1"/>
      <name val="Times New Roman"/>
      <family val="1"/>
    </font>
    <font>
      <b/>
      <sz val="14"/>
      <color theme="1"/>
      <name val="Kruti Dev 010"/>
    </font>
    <font>
      <b/>
      <sz val="8"/>
      <color theme="1"/>
      <name val="Times New Roman"/>
      <family val="1"/>
    </font>
    <font>
      <b/>
      <sz val="12"/>
      <color rgb="FF002060"/>
      <name val="Calibri"/>
      <family val="2"/>
      <scheme val="minor"/>
    </font>
    <font>
      <b/>
      <sz val="12"/>
      <color rgb="FF002060"/>
      <name val="Times New Roman"/>
      <family val="1"/>
    </font>
    <font>
      <b/>
      <sz val="11"/>
      <color theme="1"/>
      <name val="Calibri"/>
      <family val="2"/>
      <scheme val="minor"/>
    </font>
    <font>
      <b/>
      <sz val="14"/>
      <color rgb="FF002060"/>
      <name val="Calibri"/>
      <family val="2"/>
      <scheme val="minor"/>
    </font>
    <font>
      <b/>
      <sz val="12"/>
      <color theme="1"/>
      <name val="Calibri"/>
      <family val="2"/>
      <scheme val="minor"/>
    </font>
    <font>
      <b/>
      <sz val="9"/>
      <color theme="1"/>
      <name val="Times New Roman"/>
      <family val="1"/>
    </font>
    <font>
      <b/>
      <i/>
      <sz val="12"/>
      <color theme="1"/>
      <name val="Calibri"/>
      <family val="2"/>
      <scheme val="minor"/>
    </font>
    <font>
      <b/>
      <i/>
      <sz val="12"/>
      <color theme="1"/>
      <name val="Cambria"/>
      <family val="1"/>
      <scheme val="major"/>
    </font>
    <font>
      <b/>
      <i/>
      <sz val="14"/>
      <color theme="1"/>
      <name val="Cambria"/>
      <family val="1"/>
      <scheme val="major"/>
    </font>
    <font>
      <b/>
      <i/>
      <sz val="11"/>
      <color theme="1"/>
      <name val="Cambria"/>
      <family val="1"/>
      <scheme val="major"/>
    </font>
    <font>
      <b/>
      <i/>
      <u/>
      <sz val="14"/>
      <color theme="1"/>
      <name val="Calibri"/>
      <family val="2"/>
      <scheme val="minor"/>
    </font>
    <font>
      <b/>
      <sz val="11"/>
      <color theme="1"/>
      <name val="Cambria"/>
      <family val="1"/>
      <scheme val="major"/>
    </font>
    <font>
      <b/>
      <i/>
      <sz val="10"/>
      <color theme="1"/>
      <name val="Cambria"/>
      <family val="1"/>
      <scheme val="major"/>
    </font>
    <font>
      <b/>
      <i/>
      <sz val="9"/>
      <color theme="1"/>
      <name val="Cambria"/>
      <family val="1"/>
      <scheme val="major"/>
    </font>
    <font>
      <b/>
      <i/>
      <sz val="11"/>
      <color theme="1"/>
      <name val="Calibri"/>
      <family val="2"/>
      <scheme val="minor"/>
    </font>
    <font>
      <b/>
      <i/>
      <sz val="12"/>
      <name val="Calibri"/>
      <family val="2"/>
      <scheme val="minor"/>
    </font>
    <font>
      <b/>
      <i/>
      <sz val="13"/>
      <color theme="1"/>
      <name val="Calibri"/>
      <family val="2"/>
      <scheme val="minor"/>
    </font>
    <font>
      <i/>
      <sz val="14"/>
      <color theme="1"/>
      <name val="Calibri"/>
      <family val="2"/>
      <scheme val="minor"/>
    </font>
    <font>
      <i/>
      <sz val="14"/>
      <color theme="1"/>
      <name val="Kruti Dev 010"/>
    </font>
    <font>
      <i/>
      <sz val="11"/>
      <color theme="1"/>
      <name val="Calibri"/>
      <family val="2"/>
      <scheme val="minor"/>
    </font>
    <font>
      <i/>
      <sz val="12"/>
      <color theme="1"/>
      <name val="Calibri"/>
      <family val="2"/>
      <scheme val="minor"/>
    </font>
    <font>
      <i/>
      <sz val="14"/>
      <color theme="1"/>
      <name val="DevLys 010"/>
    </font>
    <font>
      <i/>
      <sz val="13"/>
      <color theme="1"/>
      <name val="Calibri"/>
      <family val="2"/>
      <scheme val="minor"/>
    </font>
    <font>
      <i/>
      <sz val="12"/>
      <color theme="1"/>
      <name val="DevLys 010"/>
    </font>
    <font>
      <b/>
      <i/>
      <sz val="16"/>
      <color rgb="FF002060"/>
      <name val="Calibri"/>
      <family val="2"/>
      <scheme val="minor"/>
    </font>
    <font>
      <b/>
      <sz val="10"/>
      <color theme="1"/>
      <name val="Calibri"/>
      <family val="2"/>
      <scheme val="minor"/>
    </font>
    <font>
      <b/>
      <sz val="10"/>
      <color rgb="FFFF0000"/>
      <name val="Calibri"/>
      <family val="2"/>
      <scheme val="minor"/>
    </font>
    <font>
      <b/>
      <i/>
      <sz val="10"/>
      <color theme="1"/>
      <name val="Calibri"/>
      <family val="2"/>
      <scheme val="minor"/>
    </font>
    <font>
      <b/>
      <sz val="14"/>
      <color rgb="FF002060"/>
      <name val="Cambria"/>
      <family val="1"/>
      <scheme val="major"/>
    </font>
    <font>
      <b/>
      <u val="double"/>
      <sz val="14"/>
      <color rgb="FFCC00CC"/>
      <name val="Cambria"/>
      <family val="1"/>
      <scheme val="major"/>
    </font>
    <font>
      <b/>
      <sz val="12"/>
      <color rgb="FF0000CC"/>
      <name val="Calibri"/>
      <family val="2"/>
      <scheme val="minor"/>
    </font>
    <font>
      <b/>
      <sz val="11"/>
      <color theme="1"/>
      <name val="Times New Roman"/>
      <family val="1"/>
    </font>
    <font>
      <b/>
      <sz val="9"/>
      <color theme="1"/>
      <name val="Cambria"/>
      <family val="1"/>
      <scheme val="major"/>
    </font>
    <font>
      <b/>
      <i/>
      <sz val="11"/>
      <name val="Calibri"/>
      <family val="2"/>
      <scheme val="minor"/>
    </font>
    <font>
      <b/>
      <sz val="11"/>
      <color rgb="FFFF0000"/>
      <name val="Calibri"/>
      <family val="2"/>
      <scheme val="minor"/>
    </font>
    <font>
      <b/>
      <sz val="12"/>
      <color rgb="FFFF0000"/>
      <name val="Calibri"/>
      <family val="2"/>
      <scheme val="minor"/>
    </font>
    <font>
      <b/>
      <sz val="10"/>
      <color rgb="FF0000CC"/>
      <name val="Calibri"/>
      <family val="2"/>
      <scheme val="minor"/>
    </font>
    <font>
      <b/>
      <sz val="11"/>
      <color rgb="FFCC00CC"/>
      <name val="Calibri"/>
      <family val="2"/>
      <scheme val="minor"/>
    </font>
    <font>
      <b/>
      <sz val="9"/>
      <color theme="1"/>
      <name val="Calibri"/>
      <family val="2"/>
      <scheme val="minor"/>
    </font>
    <font>
      <b/>
      <i/>
      <sz val="14"/>
      <color rgb="FFFF0000"/>
      <name val="Calibri"/>
      <family val="2"/>
      <scheme val="minor"/>
    </font>
    <font>
      <u/>
      <sz val="10"/>
      <color theme="10"/>
      <name val="Arial"/>
      <family val="2"/>
    </font>
    <font>
      <b/>
      <i/>
      <u/>
      <sz val="14"/>
      <color rgb="FF7030A0"/>
      <name val="Calibri"/>
      <family val="2"/>
      <scheme val="minor"/>
    </font>
    <font>
      <b/>
      <i/>
      <sz val="14"/>
      <color theme="5" tint="-0.249977111117893"/>
      <name val="Calibri"/>
      <family val="2"/>
      <scheme val="minor"/>
    </font>
    <font>
      <b/>
      <i/>
      <sz val="14"/>
      <color rgb="FF00B050"/>
      <name val="Calibri"/>
      <family val="2"/>
      <scheme val="minor"/>
    </font>
    <font>
      <b/>
      <i/>
      <sz val="14"/>
      <color rgb="FF0070C0"/>
      <name val="Calibri"/>
      <family val="2"/>
    </font>
    <font>
      <b/>
      <i/>
      <u/>
      <sz val="14"/>
      <color theme="9" tint="-0.499984740745262"/>
      <name val="Calibri"/>
      <family val="2"/>
    </font>
    <font>
      <b/>
      <u/>
      <sz val="12"/>
      <color theme="10"/>
      <name val="Arial"/>
      <family val="2"/>
    </font>
    <font>
      <b/>
      <sz val="14"/>
      <color rgb="FFFF0000"/>
      <name val="Calibri"/>
      <family val="2"/>
      <scheme val="minor"/>
    </font>
    <font>
      <b/>
      <sz val="12"/>
      <color theme="1"/>
      <name val="Kruti Dev 010"/>
    </font>
    <font>
      <b/>
      <sz val="11"/>
      <color rgb="FF0000CC"/>
      <name val="Calibri"/>
      <family val="2"/>
      <scheme val="minor"/>
    </font>
    <font>
      <b/>
      <u/>
      <sz val="14"/>
      <color theme="10"/>
      <name val="Calibri"/>
      <family val="2"/>
      <scheme val="minor"/>
    </font>
    <font>
      <b/>
      <sz val="16"/>
      <color rgb="FF002060"/>
      <name val="Times New Roman"/>
      <family val="1"/>
    </font>
    <font>
      <b/>
      <sz val="18"/>
      <color rgb="FF002060"/>
      <name val="Times New Roman"/>
      <family val="1"/>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
      <patternFill patternType="solid">
        <fgColor theme="3" tint="-0.499984740745262"/>
        <bgColor indexed="64"/>
      </patternFill>
    </fill>
  </fills>
  <borders count="14">
    <border>
      <left/>
      <right/>
      <top/>
      <bottom/>
      <diagonal/>
    </border>
    <border>
      <left style="thin">
        <color theme="9" tint="-0.249977111117893"/>
      </left>
      <right style="thin">
        <color theme="9" tint="-0.249977111117893"/>
      </right>
      <top style="thin">
        <color theme="9" tint="-0.249977111117893"/>
      </top>
      <bottom style="thin">
        <color theme="9" tint="-0.249977111117893"/>
      </bottom>
      <diagonal/>
    </border>
    <border>
      <left style="double">
        <color theme="9" tint="-0.249977111117893"/>
      </left>
      <right style="double">
        <color theme="9" tint="-0.249977111117893"/>
      </right>
      <top style="double">
        <color theme="9" tint="-0.249977111117893"/>
      </top>
      <bottom style="double">
        <color theme="9" tint="-0.249977111117893"/>
      </bottom>
      <diagonal/>
    </border>
    <border>
      <left style="thin">
        <color theme="9" tint="-0.249977111117893"/>
      </left>
      <right style="thin">
        <color theme="9" tint="-0.249977111117893"/>
      </right>
      <top/>
      <bottom style="thin">
        <color theme="9" tint="-0.249977111117893"/>
      </bottom>
      <diagonal/>
    </border>
    <border>
      <left/>
      <right/>
      <top/>
      <bottom style="thin">
        <color theme="9" tint="-0.249977111117893"/>
      </bottom>
      <diagonal/>
    </border>
    <border>
      <left style="double">
        <color theme="9" tint="-0.249977111117893"/>
      </left>
      <right/>
      <top style="double">
        <color theme="9" tint="-0.249977111117893"/>
      </top>
      <bottom style="double">
        <color theme="9" tint="-0.249977111117893"/>
      </bottom>
      <diagonal/>
    </border>
    <border>
      <left/>
      <right/>
      <top style="thin">
        <color theme="9" tint="-0.249977111117893"/>
      </top>
      <bottom/>
      <diagonal/>
    </border>
    <border>
      <left/>
      <right/>
      <top style="thin">
        <color theme="9" tint="-0.249977111117893"/>
      </top>
      <bottom style="thin">
        <color theme="9" tint="-0.249977111117893"/>
      </bottom>
      <diagonal/>
    </border>
    <border>
      <left/>
      <right style="thin">
        <color theme="9" tint="-0.249977111117893"/>
      </right>
      <top style="thin">
        <color theme="9" tint="-0.249977111117893"/>
      </top>
      <bottom style="thin">
        <color theme="9" tint="-0.249977111117893"/>
      </bottom>
      <diagonal/>
    </border>
    <border>
      <left style="thin">
        <color theme="9" tint="-0.249977111117893"/>
      </left>
      <right style="thin">
        <color theme="9" tint="-0.249977111117893"/>
      </right>
      <top style="thin">
        <color theme="9" tint="-0.249977111117893"/>
      </top>
      <bottom/>
      <diagonal/>
    </border>
    <border>
      <left style="thin">
        <color theme="9" tint="-0.249977111117893"/>
      </left>
      <right/>
      <top style="thin">
        <color theme="9" tint="-0.249977111117893"/>
      </top>
      <bottom style="thin">
        <color theme="9" tint="-0.249977111117893"/>
      </bottom>
      <diagonal/>
    </border>
    <border>
      <left style="thin">
        <color rgb="FF00B050"/>
      </left>
      <right style="thin">
        <color rgb="FF00B050"/>
      </right>
      <top style="thin">
        <color rgb="FF00B050"/>
      </top>
      <bottom style="thin">
        <color rgb="FF00B050"/>
      </bottom>
      <diagonal/>
    </border>
    <border>
      <left style="medium">
        <color rgb="FF00B050"/>
      </left>
      <right/>
      <top/>
      <bottom/>
      <diagonal/>
    </border>
    <border>
      <left style="medium">
        <color rgb="FF00B050"/>
      </left>
      <right/>
      <top/>
      <bottom style="medium">
        <color rgb="FF00B050"/>
      </bottom>
      <diagonal/>
    </border>
  </borders>
  <cellStyleXfs count="2">
    <xf numFmtId="0" fontId="0" fillId="0" borderId="0"/>
    <xf numFmtId="0" fontId="50" fillId="0" borderId="0" applyNumberFormat="0" applyFill="0" applyBorder="0" applyAlignment="0" applyProtection="0">
      <alignment vertical="top"/>
      <protection locked="0"/>
    </xf>
  </cellStyleXfs>
  <cellXfs count="130">
    <xf numFmtId="0" fontId="0" fillId="0" borderId="0" xfId="0"/>
    <xf numFmtId="0" fontId="4" fillId="0" borderId="0" xfId="0" applyFont="1" applyProtection="1">
      <protection hidden="1"/>
    </xf>
    <xf numFmtId="0" fontId="6" fillId="0" borderId="0" xfId="0" applyFont="1" applyAlignment="1" applyProtection="1">
      <alignment horizontal="right"/>
      <protection hidden="1"/>
    </xf>
    <xf numFmtId="0" fontId="5" fillId="0" borderId="0" xfId="0" applyFont="1" applyAlignment="1" applyProtection="1">
      <alignment horizontal="right" vertical="center"/>
      <protection hidden="1"/>
    </xf>
    <xf numFmtId="0" fontId="0" fillId="0" borderId="0" xfId="0" applyProtection="1">
      <protection hidden="1"/>
    </xf>
    <xf numFmtId="0" fontId="6"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2" fillId="0" borderId="1" xfId="0" applyFont="1" applyBorder="1" applyAlignment="1" applyProtection="1">
      <alignment horizontal="center"/>
      <protection hidden="1"/>
    </xf>
    <xf numFmtId="0" fontId="7" fillId="0" borderId="1" xfId="0" applyFont="1" applyBorder="1" applyAlignment="1" applyProtection="1">
      <alignment horizontal="center" vertical="center"/>
      <protection hidden="1"/>
    </xf>
    <xf numFmtId="0" fontId="15" fillId="0" borderId="1" xfId="0" applyFont="1" applyBorder="1" applyAlignment="1" applyProtection="1">
      <alignment horizontal="center" vertical="center"/>
      <protection hidden="1"/>
    </xf>
    <xf numFmtId="16" fontId="3" fillId="0" borderId="0" xfId="0" applyNumberFormat="1" applyFont="1" applyBorder="1" applyProtection="1">
      <protection hidden="1"/>
    </xf>
    <xf numFmtId="0" fontId="1" fillId="0" borderId="0" xfId="0" applyFont="1" applyBorder="1" applyProtection="1">
      <protection hidden="1"/>
    </xf>
    <xf numFmtId="0" fontId="12" fillId="0" borderId="3" xfId="0" applyFont="1" applyBorder="1" applyAlignment="1" applyProtection="1">
      <alignment horizontal="center" vertical="center"/>
      <protection locked="0"/>
    </xf>
    <xf numFmtId="0" fontId="12" fillId="0" borderId="3" xfId="0" applyFont="1" applyBorder="1" applyAlignment="1" applyProtection="1">
      <alignment vertical="center"/>
      <protection locked="0"/>
    </xf>
    <xf numFmtId="0" fontId="14" fillId="0" borderId="3" xfId="0" applyFont="1" applyBorder="1" applyAlignment="1" applyProtection="1">
      <alignment horizontal="center" vertical="center"/>
      <protection locked="0"/>
    </xf>
    <xf numFmtId="0" fontId="12" fillId="2" borderId="3" xfId="0" applyFont="1" applyFill="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1" xfId="0" applyFont="1" applyBorder="1" applyAlignment="1" applyProtection="1">
      <alignment vertical="center"/>
      <protection locked="0"/>
    </xf>
    <xf numFmtId="0" fontId="14" fillId="0" borderId="1" xfId="0" applyFont="1" applyBorder="1" applyAlignment="1" applyProtection="1">
      <alignment horizontal="center" vertical="center"/>
      <protection locked="0"/>
    </xf>
    <xf numFmtId="0" fontId="5" fillId="0" borderId="4" xfId="0" applyFont="1" applyBorder="1" applyAlignment="1" applyProtection="1">
      <alignment horizontal="right" vertical="center"/>
      <protection hidden="1"/>
    </xf>
    <xf numFmtId="0" fontId="9" fillId="0" borderId="1" xfId="0" applyFont="1" applyBorder="1" applyProtection="1">
      <protection locked="0"/>
    </xf>
    <xf numFmtId="0" fontId="1" fillId="0" borderId="0" xfId="0" applyFont="1" applyBorder="1" applyAlignment="1" applyProtection="1">
      <alignment horizontal="center" vertical="center"/>
      <protection hidden="1"/>
    </xf>
    <xf numFmtId="0" fontId="6" fillId="0" borderId="0" xfId="0" applyFont="1" applyAlignment="1" applyProtection="1">
      <alignment horizontal="right" vertical="center"/>
      <protection hidden="1"/>
    </xf>
    <xf numFmtId="164" fontId="24" fillId="0" borderId="1" xfId="0" applyNumberFormat="1" applyFont="1" applyBorder="1" applyAlignment="1" applyProtection="1">
      <alignment horizontal="center" vertical="center"/>
      <protection hidden="1"/>
    </xf>
    <xf numFmtId="0" fontId="27" fillId="0" borderId="0" xfId="0" applyFont="1" applyProtection="1">
      <protection hidden="1"/>
    </xf>
    <xf numFmtId="0" fontId="28" fillId="0" borderId="0" xfId="0" applyFont="1" applyProtection="1">
      <protection hidden="1"/>
    </xf>
    <xf numFmtId="0" fontId="29" fillId="0" borderId="0" xfId="0" applyFont="1" applyProtection="1">
      <protection hidden="1"/>
    </xf>
    <xf numFmtId="0" fontId="31" fillId="0" borderId="0" xfId="0" applyFont="1" applyAlignment="1" applyProtection="1">
      <alignment horizontal="left" vertical="top"/>
      <protection hidden="1"/>
    </xf>
    <xf numFmtId="0" fontId="31" fillId="0" borderId="0" xfId="0" applyFont="1" applyProtection="1">
      <protection hidden="1"/>
    </xf>
    <xf numFmtId="0" fontId="33" fillId="0" borderId="0" xfId="0" applyFont="1" applyProtection="1">
      <protection hidden="1"/>
    </xf>
    <xf numFmtId="0" fontId="31" fillId="0" borderId="0" xfId="0" applyFont="1" applyAlignment="1" applyProtection="1">
      <protection hidden="1"/>
    </xf>
    <xf numFmtId="0" fontId="16" fillId="0" borderId="0" xfId="0" applyFont="1" applyAlignment="1" applyProtection="1">
      <protection hidden="1"/>
    </xf>
    <xf numFmtId="0" fontId="16" fillId="0" borderId="0" xfId="0" applyFont="1" applyBorder="1" applyAlignment="1" applyProtection="1">
      <alignment horizontal="left"/>
      <protection hidden="1"/>
    </xf>
    <xf numFmtId="0" fontId="23" fillId="0" borderId="9" xfId="0" applyFont="1" applyBorder="1" applyAlignment="1" applyProtection="1">
      <alignment horizontal="center" vertical="center" wrapText="1"/>
      <protection hidden="1"/>
    </xf>
    <xf numFmtId="0" fontId="16" fillId="0" borderId="0" xfId="0" applyFont="1" applyBorder="1" applyAlignment="1" applyProtection="1">
      <alignment horizontal="left"/>
      <protection hidden="1"/>
    </xf>
    <xf numFmtId="0" fontId="0" fillId="4" borderId="0" xfId="0" applyFill="1" applyAlignment="1" applyProtection="1">
      <alignment horizontal="center" vertical="center"/>
      <protection hidden="1"/>
    </xf>
    <xf numFmtId="0" fontId="0" fillId="4" borderId="0" xfId="0" applyFill="1" applyProtection="1">
      <protection hidden="1"/>
    </xf>
    <xf numFmtId="0" fontId="10" fillId="4" borderId="0" xfId="0" applyFont="1" applyFill="1" applyAlignment="1" applyProtection="1">
      <alignment horizontal="center" vertical="center"/>
      <protection hidden="1"/>
    </xf>
    <xf numFmtId="0" fontId="10" fillId="4" borderId="0" xfId="0" applyFont="1" applyFill="1" applyProtection="1">
      <protection hidden="1"/>
    </xf>
    <xf numFmtId="0" fontId="10" fillId="4" borderId="0" xfId="0" applyFont="1" applyFill="1" applyAlignment="1" applyProtection="1">
      <protection hidden="1"/>
    </xf>
    <xf numFmtId="0" fontId="0" fillId="4" borderId="0" xfId="0" applyFill="1" applyAlignment="1" applyProtection="1">
      <protection hidden="1"/>
    </xf>
    <xf numFmtId="0" fontId="13" fillId="4" borderId="0" xfId="0" applyFont="1" applyFill="1" applyBorder="1" applyAlignment="1" applyProtection="1">
      <alignment horizontal="left" vertical="center"/>
      <protection hidden="1"/>
    </xf>
    <xf numFmtId="0" fontId="13" fillId="4" borderId="0" xfId="0" applyFont="1" applyFill="1" applyBorder="1" applyAlignment="1" applyProtection="1">
      <alignment vertical="center"/>
      <protection hidden="1"/>
    </xf>
    <xf numFmtId="0" fontId="11"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0" fillId="4" borderId="0" xfId="0" applyFill="1" applyAlignment="1" applyProtection="1">
      <alignment vertical="center"/>
      <protection hidden="1"/>
    </xf>
    <xf numFmtId="0" fontId="8" fillId="4" borderId="0" xfId="0" applyFont="1" applyFill="1" applyBorder="1" applyAlignment="1" applyProtection="1">
      <alignment vertical="center" wrapText="1"/>
      <protection hidden="1"/>
    </xf>
    <xf numFmtId="0" fontId="13" fillId="0" borderId="11" xfId="0" applyFont="1" applyFill="1" applyBorder="1" applyAlignment="1" applyProtection="1">
      <alignment horizontal="center" vertical="center"/>
      <protection locked="0"/>
    </xf>
    <xf numFmtId="0" fontId="40" fillId="4" borderId="2" xfId="0" applyFont="1" applyFill="1" applyBorder="1" applyAlignment="1" applyProtection="1">
      <alignment horizontal="center" vertical="center" wrapText="1"/>
      <protection hidden="1"/>
    </xf>
    <xf numFmtId="0" fontId="40" fillId="4" borderId="5" xfId="0" applyFont="1" applyFill="1" applyBorder="1" applyAlignment="1" applyProtection="1">
      <alignment horizontal="center" vertical="center" wrapText="1"/>
      <protection hidden="1"/>
    </xf>
    <xf numFmtId="0" fontId="41" fillId="0" borderId="1" xfId="0" applyFont="1" applyBorder="1" applyProtection="1">
      <protection locked="0"/>
    </xf>
    <xf numFmtId="0" fontId="26" fillId="0" borderId="0" xfId="0" applyFont="1" applyBorder="1" applyAlignment="1" applyProtection="1">
      <alignment horizontal="right" vertical="center"/>
      <protection hidden="1"/>
    </xf>
    <xf numFmtId="0" fontId="25" fillId="0" borderId="0" xfId="0" applyFont="1" applyBorder="1" applyAlignment="1" applyProtection="1">
      <alignment horizontal="left" vertical="center"/>
      <protection hidden="1"/>
    </xf>
    <xf numFmtId="0" fontId="14" fillId="0" borderId="0" xfId="0" applyFont="1" applyFill="1" applyAlignment="1" applyProtection="1">
      <alignment horizontal="center" vertical="center"/>
      <protection hidden="1"/>
    </xf>
    <xf numFmtId="0" fontId="42" fillId="0" borderId="9" xfId="0" applyFont="1" applyBorder="1" applyAlignment="1" applyProtection="1">
      <alignment horizontal="center" vertical="center" wrapText="1"/>
      <protection hidden="1"/>
    </xf>
    <xf numFmtId="0" fontId="19" fillId="0" borderId="9" xfId="0" applyFont="1" applyBorder="1" applyAlignment="1" applyProtection="1">
      <alignment horizontal="center" vertical="center" wrapText="1"/>
      <protection hidden="1"/>
    </xf>
    <xf numFmtId="0" fontId="21" fillId="0" borderId="9" xfId="0" applyFont="1" applyBorder="1" applyAlignment="1" applyProtection="1">
      <alignment horizontal="center" vertical="center" textRotation="90" wrapText="1"/>
      <protection hidden="1"/>
    </xf>
    <xf numFmtId="0" fontId="21" fillId="0" borderId="9" xfId="0" applyFont="1" applyBorder="1" applyAlignment="1" applyProtection="1">
      <alignment horizontal="center" vertical="center" textRotation="90"/>
      <protection hidden="1"/>
    </xf>
    <xf numFmtId="0" fontId="22" fillId="0" borderId="9" xfId="0" applyFont="1" applyBorder="1" applyAlignment="1" applyProtection="1">
      <alignment horizontal="center" vertical="center" wrapText="1"/>
      <protection hidden="1"/>
    </xf>
    <xf numFmtId="1" fontId="35" fillId="0" borderId="0" xfId="0" applyNumberFormat="1" applyFont="1" applyBorder="1" applyAlignment="1" applyProtection="1">
      <alignment horizontal="center" vertical="center"/>
      <protection hidden="1"/>
    </xf>
    <xf numFmtId="1" fontId="36" fillId="0" borderId="0" xfId="0" applyNumberFormat="1" applyFont="1" applyBorder="1" applyAlignment="1" applyProtection="1">
      <alignment horizontal="center" vertical="center"/>
      <protection hidden="1"/>
    </xf>
    <xf numFmtId="0" fontId="29" fillId="0" borderId="0" xfId="0" applyFont="1" applyAlignment="1" applyProtection="1">
      <alignment horizontal="right" vertical="center"/>
      <protection hidden="1"/>
    </xf>
    <xf numFmtId="0" fontId="29" fillId="0" borderId="0" xfId="0" applyFont="1" applyBorder="1" applyAlignment="1" applyProtection="1">
      <alignment horizontal="right" vertical="center"/>
      <protection hidden="1"/>
    </xf>
    <xf numFmtId="1" fontId="35" fillId="0" borderId="11" xfId="0" applyNumberFormat="1" applyFont="1" applyBorder="1" applyAlignment="1" applyProtection="1">
      <alignment horizontal="center" vertical="center"/>
      <protection hidden="1"/>
    </xf>
    <xf numFmtId="0" fontId="44" fillId="0" borderId="1" xfId="0" applyFont="1" applyBorder="1" applyAlignment="1" applyProtection="1">
      <alignment horizontal="center" vertical="center"/>
      <protection hidden="1"/>
    </xf>
    <xf numFmtId="0" fontId="45" fillId="3" borderId="0" xfId="0" applyFont="1" applyFill="1" applyAlignment="1" applyProtection="1">
      <alignment horizontal="center" vertical="center"/>
      <protection locked="0"/>
    </xf>
    <xf numFmtId="1" fontId="46" fillId="0" borderId="11" xfId="0" applyNumberFormat="1" applyFont="1" applyBorder="1" applyAlignment="1" applyProtection="1">
      <alignment horizontal="center" vertical="center"/>
      <protection hidden="1"/>
    </xf>
    <xf numFmtId="0" fontId="23" fillId="0" borderId="9" xfId="0" applyFont="1" applyBorder="1" applyAlignment="1" applyProtection="1">
      <alignment horizontal="center" vertical="center" wrapText="1"/>
      <protection hidden="1"/>
    </xf>
    <xf numFmtId="0" fontId="16" fillId="0" borderId="0" xfId="0" applyFont="1" applyBorder="1" applyAlignment="1" applyProtection="1">
      <alignment horizontal="left"/>
      <protection hidden="1"/>
    </xf>
    <xf numFmtId="0" fontId="42" fillId="0" borderId="9" xfId="0" applyFont="1" applyBorder="1" applyAlignment="1" applyProtection="1">
      <alignment horizontal="center" vertical="center" textRotation="90" wrapText="1"/>
      <protection hidden="1"/>
    </xf>
    <xf numFmtId="0" fontId="42" fillId="0" borderId="9" xfId="0" applyFont="1" applyBorder="1" applyAlignment="1" applyProtection="1">
      <alignment horizontal="center" vertical="center" textRotation="90"/>
      <protection hidden="1"/>
    </xf>
    <xf numFmtId="16" fontId="48" fillId="0" borderId="11" xfId="0" applyNumberFormat="1" applyFont="1" applyBorder="1" applyAlignment="1" applyProtection="1">
      <alignment horizontal="center" vertical="center"/>
      <protection hidden="1"/>
    </xf>
    <xf numFmtId="0" fontId="48" fillId="0" borderId="11" xfId="0" applyFont="1" applyBorder="1" applyAlignment="1" applyProtection="1">
      <alignment horizontal="center" vertical="center"/>
      <protection hidden="1"/>
    </xf>
    <xf numFmtId="0" fontId="55" fillId="5" borderId="13" xfId="1" applyFont="1" applyFill="1" applyBorder="1" applyAlignment="1" applyProtection="1">
      <alignment vertical="center"/>
      <protection hidden="1"/>
    </xf>
    <xf numFmtId="0" fontId="55" fillId="5" borderId="0" xfId="1" applyFont="1" applyFill="1" applyBorder="1" applyAlignment="1" applyProtection="1">
      <alignment vertical="center"/>
      <protection hidden="1"/>
    </xf>
    <xf numFmtId="0" fontId="7" fillId="0" borderId="0" xfId="0" applyFont="1" applyBorder="1" applyAlignment="1" applyProtection="1">
      <alignment horizontal="center" vertical="center"/>
      <protection hidden="1"/>
    </xf>
    <xf numFmtId="0" fontId="44" fillId="0" borderId="0" xfId="0" applyFont="1" applyBorder="1" applyAlignment="1" applyProtection="1">
      <alignment horizontal="center" vertical="center"/>
      <protection hidden="1"/>
    </xf>
    <xf numFmtId="0" fontId="41" fillId="0" borderId="0" xfId="0" applyFont="1" applyBorder="1" applyProtection="1">
      <protection locked="0"/>
    </xf>
    <xf numFmtId="165" fontId="14" fillId="2" borderId="3" xfId="0" applyNumberFormat="1" applyFont="1" applyFill="1" applyBorder="1" applyAlignment="1" applyProtection="1">
      <alignment horizontal="center" vertical="center"/>
      <protection locked="0"/>
    </xf>
    <xf numFmtId="164" fontId="0" fillId="4" borderId="0" xfId="0" applyNumberFormat="1" applyFill="1" applyAlignment="1" applyProtection="1">
      <alignment vertical="center"/>
      <protection hidden="1"/>
    </xf>
    <xf numFmtId="0" fontId="55" fillId="5" borderId="12" xfId="1" applyFont="1" applyFill="1" applyBorder="1" applyAlignment="1" applyProtection="1">
      <alignment horizontal="center" vertical="center"/>
      <protection hidden="1"/>
    </xf>
    <xf numFmtId="0" fontId="55" fillId="5" borderId="0" xfId="1" applyFont="1" applyFill="1" applyBorder="1" applyAlignment="1" applyProtection="1">
      <alignment horizontal="center" vertical="center"/>
      <protection hidden="1"/>
    </xf>
    <xf numFmtId="0" fontId="58" fillId="4" borderId="0" xfId="0" applyFont="1" applyFill="1" applyBorder="1" applyAlignment="1" applyProtection="1">
      <alignment horizontal="center" vertical="center" wrapText="1"/>
      <protection hidden="1"/>
    </xf>
    <xf numFmtId="0" fontId="38" fillId="4" borderId="0" xfId="0" applyFont="1" applyFill="1" applyAlignment="1" applyProtection="1">
      <alignment horizontal="right" vertical="center"/>
      <protection hidden="1"/>
    </xf>
    <xf numFmtId="0" fontId="39" fillId="4" borderId="0" xfId="0" applyFont="1" applyFill="1" applyAlignment="1" applyProtection="1">
      <alignment horizontal="center"/>
      <protection hidden="1"/>
    </xf>
    <xf numFmtId="0" fontId="34" fillId="0" borderId="11" xfId="0" applyFont="1" applyFill="1" applyBorder="1" applyAlignment="1" applyProtection="1">
      <alignment horizontal="left" vertical="center"/>
      <protection locked="0"/>
    </xf>
    <xf numFmtId="0" fontId="56" fillId="4" borderId="0" xfId="1" applyFont="1" applyFill="1" applyAlignment="1" applyProtection="1">
      <alignment horizontal="center" vertical="center"/>
      <protection hidden="1"/>
    </xf>
    <xf numFmtId="0" fontId="51" fillId="5" borderId="12" xfId="0" applyFont="1" applyFill="1" applyBorder="1" applyAlignment="1" applyProtection="1">
      <alignment horizontal="center"/>
      <protection hidden="1"/>
    </xf>
    <xf numFmtId="0" fontId="51" fillId="5" borderId="0" xfId="0" applyFont="1" applyFill="1" applyBorder="1" applyAlignment="1" applyProtection="1">
      <alignment horizontal="center"/>
      <protection hidden="1"/>
    </xf>
    <xf numFmtId="0" fontId="52" fillId="5" borderId="12" xfId="0" applyFont="1" applyFill="1" applyBorder="1" applyAlignment="1" applyProtection="1">
      <alignment horizontal="center" vertical="center"/>
      <protection hidden="1"/>
    </xf>
    <xf numFmtId="0" fontId="52" fillId="5" borderId="0" xfId="0" applyFont="1" applyFill="1" applyBorder="1" applyAlignment="1" applyProtection="1">
      <alignment horizontal="center" vertical="center"/>
      <protection hidden="1"/>
    </xf>
    <xf numFmtId="0" fontId="53" fillId="5" borderId="12" xfId="0" applyFont="1" applyFill="1" applyBorder="1" applyAlignment="1" applyProtection="1">
      <alignment horizontal="center" vertical="center"/>
      <protection hidden="1"/>
    </xf>
    <xf numFmtId="0" fontId="53" fillId="5" borderId="0" xfId="0" applyFont="1" applyFill="1" applyBorder="1" applyAlignment="1" applyProtection="1">
      <alignment horizontal="center" vertical="center"/>
      <protection hidden="1"/>
    </xf>
    <xf numFmtId="0" fontId="49" fillId="5" borderId="12" xfId="0" applyFont="1" applyFill="1" applyBorder="1" applyAlignment="1" applyProtection="1">
      <alignment horizontal="center" vertical="center" wrapText="1"/>
      <protection hidden="1"/>
    </xf>
    <xf numFmtId="0" fontId="49" fillId="5" borderId="0" xfId="0" applyFont="1" applyFill="1" applyBorder="1" applyAlignment="1" applyProtection="1">
      <alignment horizontal="center" vertical="center" wrapText="1"/>
      <protection hidden="1"/>
    </xf>
    <xf numFmtId="0" fontId="54" fillId="5" borderId="12" xfId="0" applyFont="1" applyFill="1" applyBorder="1" applyAlignment="1" applyProtection="1">
      <alignment horizontal="center" vertical="center"/>
      <protection hidden="1"/>
    </xf>
    <xf numFmtId="0" fontId="54" fillId="5" borderId="0" xfId="0" applyFont="1" applyFill="1" applyBorder="1" applyAlignment="1" applyProtection="1">
      <alignment horizontal="center" vertical="center"/>
      <protection hidden="1"/>
    </xf>
    <xf numFmtId="0" fontId="17" fillId="0" borderId="10" xfId="0" applyFont="1" applyBorder="1" applyAlignment="1" applyProtection="1">
      <alignment horizontal="center" vertical="center"/>
      <protection hidden="1"/>
    </xf>
    <xf numFmtId="0" fontId="17" fillId="0" borderId="7" xfId="0" applyFont="1" applyBorder="1" applyAlignment="1" applyProtection="1">
      <alignment horizontal="center" vertical="center"/>
      <protection hidden="1"/>
    </xf>
    <xf numFmtId="0" fontId="17" fillId="0" borderId="8" xfId="0" applyFont="1" applyBorder="1" applyAlignment="1" applyProtection="1">
      <alignment horizontal="center" vertical="center"/>
      <protection hidden="1"/>
    </xf>
    <xf numFmtId="0" fontId="37" fillId="0" borderId="11" xfId="0" applyFont="1" applyBorder="1" applyAlignment="1" applyProtection="1">
      <alignment horizontal="center" vertical="center" wrapText="1"/>
      <protection hidden="1"/>
    </xf>
    <xf numFmtId="0" fontId="37" fillId="0" borderId="11" xfId="0" applyFont="1" applyBorder="1" applyAlignment="1" applyProtection="1">
      <alignment horizontal="center" vertical="center"/>
      <protection hidden="1"/>
    </xf>
    <xf numFmtId="16" fontId="37" fillId="0" borderId="11" xfId="0" applyNumberFormat="1" applyFont="1" applyBorder="1" applyAlignment="1" applyProtection="1">
      <alignment horizontal="center" wrapText="1"/>
      <protection hidden="1"/>
    </xf>
    <xf numFmtId="0" fontId="43" fillId="0" borderId="6" xfId="0" applyFont="1" applyBorder="1" applyAlignment="1" applyProtection="1">
      <alignment horizontal="left" vertical="center"/>
      <protection hidden="1"/>
    </xf>
    <xf numFmtId="0" fontId="16" fillId="0" borderId="6" xfId="0" applyFont="1" applyBorder="1" applyAlignment="1" applyProtection="1">
      <alignment horizontal="right" vertical="center"/>
      <protection hidden="1"/>
    </xf>
    <xf numFmtId="0" fontId="22" fillId="0" borderId="1" xfId="0" applyFont="1" applyBorder="1" applyAlignment="1" applyProtection="1">
      <alignment horizontal="center" vertical="center" wrapText="1"/>
      <protection hidden="1"/>
    </xf>
    <xf numFmtId="0" fontId="47" fillId="0" borderId="11" xfId="0" applyFont="1" applyBorder="1" applyAlignment="1" applyProtection="1">
      <alignment horizontal="center"/>
      <protection hidden="1"/>
    </xf>
    <xf numFmtId="0" fontId="16" fillId="0" borderId="0" xfId="0" applyFont="1" applyAlignment="1" applyProtection="1">
      <alignment horizontal="center" vertical="center"/>
      <protection hidden="1"/>
    </xf>
    <xf numFmtId="0" fontId="7" fillId="0" borderId="10" xfId="0" applyFont="1" applyBorder="1" applyAlignment="1" applyProtection="1">
      <alignment horizontal="center" vertical="center"/>
      <protection hidden="1"/>
    </xf>
    <xf numFmtId="0" fontId="7" fillId="0" borderId="8" xfId="0" applyFont="1" applyBorder="1" applyAlignment="1" applyProtection="1">
      <alignment horizontal="center" vertical="center"/>
      <protection hidden="1"/>
    </xf>
    <xf numFmtId="0" fontId="17" fillId="0" borderId="1" xfId="0" applyFont="1" applyBorder="1" applyAlignment="1" applyProtection="1">
      <alignment horizontal="center" vertical="center" textRotation="90"/>
      <protection hidden="1"/>
    </xf>
    <xf numFmtId="0" fontId="19" fillId="0" borderId="1" xfId="0" applyFont="1" applyBorder="1" applyAlignment="1" applyProtection="1">
      <alignment horizontal="center" vertical="center" wrapText="1"/>
      <protection hidden="1"/>
    </xf>
    <xf numFmtId="0" fontId="17" fillId="0" borderId="1" xfId="0" applyFont="1" applyBorder="1" applyAlignment="1" applyProtection="1">
      <alignment horizontal="center" vertical="center"/>
      <protection hidden="1"/>
    </xf>
    <xf numFmtId="0" fontId="20" fillId="0" borderId="0" xfId="0" applyFont="1" applyAlignment="1" applyProtection="1">
      <alignment horizontal="center"/>
      <protection locked="0"/>
    </xf>
    <xf numFmtId="0" fontId="18" fillId="0" borderId="0" xfId="0" applyFont="1" applyAlignment="1" applyProtection="1">
      <alignment horizontal="center" vertical="center"/>
      <protection hidden="1"/>
    </xf>
    <xf numFmtId="0" fontId="16" fillId="0" borderId="0" xfId="0" applyFont="1" applyAlignment="1" applyProtection="1">
      <alignment horizontal="left" vertical="center"/>
      <protection hidden="1"/>
    </xf>
    <xf numFmtId="0" fontId="27" fillId="0" borderId="0" xfId="0" applyFont="1" applyAlignment="1" applyProtection="1">
      <alignment horizontal="right" vertical="center"/>
      <protection hidden="1"/>
    </xf>
    <xf numFmtId="0" fontId="32" fillId="0" borderId="0" xfId="0" applyFont="1" applyAlignment="1" applyProtection="1">
      <alignment horizontal="left" vertical="center"/>
      <protection hidden="1"/>
    </xf>
    <xf numFmtId="0" fontId="27" fillId="0" borderId="0" xfId="0" applyFont="1" applyAlignment="1" applyProtection="1">
      <alignment horizontal="center"/>
      <protection locked="0"/>
    </xf>
    <xf numFmtId="0" fontId="30" fillId="0" borderId="0" xfId="0" applyFont="1" applyAlignment="1" applyProtection="1">
      <alignment horizontal="left" vertical="top"/>
      <protection hidden="1"/>
    </xf>
    <xf numFmtId="0" fontId="29" fillId="0" borderId="0" xfId="0" applyFont="1" applyAlignment="1" applyProtection="1">
      <alignment horizontal="center"/>
      <protection locked="0"/>
    </xf>
    <xf numFmtId="0" fontId="27" fillId="0" borderId="0" xfId="0" applyFont="1" applyAlignment="1" applyProtection="1">
      <alignment horizontal="center"/>
      <protection hidden="1"/>
    </xf>
    <xf numFmtId="0" fontId="20" fillId="0" borderId="0" xfId="0" applyFont="1" applyAlignment="1" applyProtection="1">
      <alignment horizontal="center"/>
      <protection hidden="1"/>
    </xf>
    <xf numFmtId="0" fontId="16" fillId="0" borderId="0" xfId="0" applyFont="1" applyBorder="1" applyAlignment="1" applyProtection="1">
      <alignment horizontal="right" vertical="center"/>
      <protection hidden="1"/>
    </xf>
    <xf numFmtId="0" fontId="43" fillId="0" borderId="0" xfId="0" applyFont="1" applyBorder="1" applyAlignment="1" applyProtection="1">
      <alignment horizontal="left" vertical="center"/>
      <protection hidden="1"/>
    </xf>
    <xf numFmtId="0" fontId="23" fillId="0" borderId="1" xfId="0" applyFont="1" applyBorder="1" applyAlignment="1" applyProtection="1">
      <alignment horizontal="center" vertical="center" wrapText="1"/>
      <protection hidden="1"/>
    </xf>
    <xf numFmtId="0" fontId="62" fillId="4" borderId="0" xfId="0" applyFont="1" applyFill="1" applyAlignment="1" applyProtection="1">
      <alignment vertical="center" wrapText="1"/>
      <protection hidden="1"/>
    </xf>
    <xf numFmtId="0" fontId="61" fillId="4" borderId="0" xfId="0" applyFont="1" applyFill="1" applyAlignment="1" applyProtection="1">
      <alignment horizontal="center" wrapText="1"/>
      <protection hidden="1"/>
    </xf>
    <xf numFmtId="0" fontId="60" fillId="4" borderId="0" xfId="1" applyFont="1" applyFill="1" applyAlignment="1" applyProtection="1">
      <alignment horizontal="left" vertical="top"/>
      <protection hidden="1"/>
    </xf>
    <xf numFmtId="0" fontId="57" fillId="4" borderId="0" xfId="0" applyFont="1" applyFill="1" applyAlignment="1" applyProtection="1">
      <alignment horizontal="center"/>
      <protection hidden="1"/>
    </xf>
  </cellXfs>
  <cellStyles count="2">
    <cellStyle name="Hyperlink" xfId="1" builtinId="8"/>
    <cellStyle name="Normal" xfId="0" builtinId="0"/>
  </cellStyles>
  <dxfs count="0"/>
  <tableStyles count="0" defaultTableStyle="TableStyleMedium9" defaultPivotStyle="PivotStyleLight16"/>
  <colors>
    <mruColors>
      <color rgb="FFCC00CC"/>
      <color rgb="FF0000CC"/>
    </mruColors>
  </color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13</xdr:col>
      <xdr:colOff>238125</xdr:colOff>
      <xdr:row>1</xdr:row>
      <xdr:rowOff>85725</xdr:rowOff>
    </xdr:from>
    <xdr:to>
      <xdr:col>15</xdr:col>
      <xdr:colOff>466724</xdr:colOff>
      <xdr:row>7</xdr:row>
      <xdr:rowOff>9525</xdr:rowOff>
    </xdr:to>
    <xdr:pic>
      <xdr:nvPicPr>
        <xdr:cNvPr id="2" name="Picture 5"/>
        <xdr:cNvPicPr>
          <a:picLocks noChangeAspect="1" noChangeArrowheads="1"/>
        </xdr:cNvPicPr>
      </xdr:nvPicPr>
      <xdr:blipFill>
        <a:blip xmlns:r="http://schemas.openxmlformats.org/officeDocument/2006/relationships" r:embed="rId1"/>
        <a:srcRect/>
        <a:stretch>
          <a:fillRect/>
        </a:stretch>
      </xdr:blipFill>
      <xdr:spPr bwMode="auto">
        <a:xfrm>
          <a:off x="10744200" y="323850"/>
          <a:ext cx="1447799" cy="193357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youtu.be/PBaVmcX26GU" TargetMode="External"/><Relationship Id="rId2" Type="http://schemas.openxmlformats.org/officeDocument/2006/relationships/hyperlink" Target="https://youtu.be/7Oi03pUF5Ww" TargetMode="External"/><Relationship Id="rId1" Type="http://schemas.openxmlformats.org/officeDocument/2006/relationships/hyperlink" Target="mailto:heeralaljatchandawal@gmail.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AA114"/>
  <sheetViews>
    <sheetView showGridLines="0" showRowColHeaders="0" tabSelected="1" workbookViewId="0">
      <selection activeCell="G8" sqref="G8"/>
    </sheetView>
  </sheetViews>
  <sheetFormatPr defaultColWidth="0" defaultRowHeight="15" zeroHeight="1"/>
  <cols>
    <col min="1" max="1" width="9.125" style="35" customWidth="1"/>
    <col min="2" max="2" width="29" style="36" customWidth="1"/>
    <col min="3" max="3" width="15.5" style="36" customWidth="1"/>
    <col min="4" max="4" width="13.625" style="36" customWidth="1"/>
    <col min="5" max="5" width="15.625" style="36" customWidth="1"/>
    <col min="6" max="6" width="12.5" style="36" customWidth="1"/>
    <col min="7" max="7" width="12.375" style="36" customWidth="1"/>
    <col min="8" max="8" width="14.5" style="36" customWidth="1"/>
    <col min="9" max="18" width="9.125" style="36" customWidth="1"/>
    <col min="19" max="26" width="9.125" style="36" hidden="1" customWidth="1"/>
    <col min="27" max="27" width="11.75" style="36" hidden="1" customWidth="1"/>
    <col min="28" max="16384" width="9.125" style="36" hidden="1"/>
  </cols>
  <sheetData>
    <row r="1" spans="1:27" ht="25.5" customHeight="1">
      <c r="C1" s="84" t="s">
        <v>17</v>
      </c>
      <c r="D1" s="84"/>
      <c r="E1" s="84"/>
    </row>
    <row r="2" spans="1:27" ht="15.75">
      <c r="A2" s="37"/>
      <c r="B2" s="38"/>
      <c r="C2" s="38"/>
      <c r="D2" s="38"/>
      <c r="E2" s="38"/>
      <c r="F2" s="38"/>
      <c r="G2" s="38"/>
      <c r="H2" s="38"/>
      <c r="I2" s="38"/>
      <c r="J2" s="38"/>
    </row>
    <row r="3" spans="1:27" ht="21">
      <c r="A3" s="83" t="s">
        <v>11</v>
      </c>
      <c r="B3" s="83"/>
      <c r="C3" s="85" t="s">
        <v>69</v>
      </c>
      <c r="D3" s="85"/>
      <c r="E3" s="85"/>
      <c r="F3" s="85"/>
      <c r="G3" s="85"/>
      <c r="H3" s="85"/>
      <c r="I3" s="39"/>
      <c r="J3" s="39"/>
      <c r="K3" s="40"/>
      <c r="L3" s="40"/>
      <c r="M3" s="40"/>
      <c r="N3" s="40"/>
      <c r="O3" s="40"/>
    </row>
    <row r="4" spans="1:27" ht="18.75">
      <c r="A4" s="83" t="s">
        <v>25</v>
      </c>
      <c r="B4" s="83"/>
      <c r="C4" s="47">
        <v>34</v>
      </c>
      <c r="D4" s="41"/>
      <c r="E4" s="83" t="s">
        <v>26</v>
      </c>
      <c r="F4" s="83"/>
      <c r="G4" s="83"/>
      <c r="H4" s="47">
        <v>9</v>
      </c>
      <c r="I4" s="39"/>
      <c r="J4" s="129" t="s">
        <v>89</v>
      </c>
      <c r="K4" s="129"/>
      <c r="L4" s="129"/>
      <c r="M4" s="40"/>
      <c r="N4" s="40"/>
      <c r="O4" s="40"/>
    </row>
    <row r="5" spans="1:27" ht="18.75">
      <c r="A5" s="83" t="s">
        <v>27</v>
      </c>
      <c r="B5" s="83"/>
      <c r="C5" s="47">
        <v>38</v>
      </c>
      <c r="D5" s="42"/>
      <c r="E5" s="83" t="s">
        <v>28</v>
      </c>
      <c r="F5" s="83"/>
      <c r="G5" s="83"/>
      <c r="H5" s="47">
        <v>9</v>
      </c>
      <c r="I5" s="39"/>
      <c r="J5" s="129"/>
      <c r="K5" s="129"/>
      <c r="L5" s="129"/>
      <c r="M5" s="40"/>
      <c r="N5" s="40"/>
      <c r="O5" s="40"/>
    </row>
    <row r="6" spans="1:27" ht="16.5" thickBot="1">
      <c r="A6" s="37"/>
      <c r="B6" s="38"/>
      <c r="C6" s="38"/>
      <c r="D6" s="38"/>
      <c r="E6" s="38"/>
      <c r="F6" s="38"/>
      <c r="G6" s="38"/>
      <c r="H6" s="38"/>
      <c r="I6" s="38"/>
      <c r="J6" s="86" t="s">
        <v>81</v>
      </c>
      <c r="K6" s="86"/>
      <c r="L6" s="86"/>
      <c r="M6" s="86"/>
    </row>
    <row r="7" spans="1:27" s="44" customFormat="1" ht="67.5" customHeight="1" thickTop="1" thickBot="1">
      <c r="A7" s="48" t="s">
        <v>12</v>
      </c>
      <c r="B7" s="48" t="s">
        <v>13</v>
      </c>
      <c r="C7" s="48" t="s">
        <v>14</v>
      </c>
      <c r="D7" s="48" t="s">
        <v>15</v>
      </c>
      <c r="E7" s="48" t="s">
        <v>16</v>
      </c>
      <c r="F7" s="49" t="s">
        <v>75</v>
      </c>
      <c r="G7" s="49" t="s">
        <v>30</v>
      </c>
      <c r="H7" s="48" t="s">
        <v>85</v>
      </c>
      <c r="I7" s="43"/>
      <c r="J7" s="127" t="s">
        <v>88</v>
      </c>
      <c r="K7" s="127"/>
      <c r="L7" s="127"/>
      <c r="M7" s="126"/>
    </row>
    <row r="8" spans="1:27" s="45" customFormat="1" ht="21" customHeight="1" thickTop="1">
      <c r="A8" s="12">
        <v>1</v>
      </c>
      <c r="B8" s="13" t="s">
        <v>34</v>
      </c>
      <c r="C8" s="13" t="s">
        <v>40</v>
      </c>
      <c r="D8" s="14">
        <v>3</v>
      </c>
      <c r="E8" s="12">
        <v>71400</v>
      </c>
      <c r="F8" s="15" t="s">
        <v>18</v>
      </c>
      <c r="G8" s="15"/>
      <c r="H8" s="78">
        <v>44743</v>
      </c>
      <c r="J8" s="128" t="s">
        <v>87</v>
      </c>
      <c r="K8" s="128"/>
      <c r="L8" s="128"/>
      <c r="M8" s="128"/>
      <c r="N8" s="82" t="s">
        <v>82</v>
      </c>
      <c r="O8" s="82"/>
      <c r="P8" s="82"/>
      <c r="AA8" s="79">
        <v>44562</v>
      </c>
    </row>
    <row r="9" spans="1:27" s="45" customFormat="1" ht="21" customHeight="1">
      <c r="A9" s="16">
        <v>2</v>
      </c>
      <c r="B9" s="17" t="s">
        <v>35</v>
      </c>
      <c r="C9" s="17" t="s">
        <v>41</v>
      </c>
      <c r="D9" s="18">
        <v>3</v>
      </c>
      <c r="E9" s="16">
        <v>47000</v>
      </c>
      <c r="F9" s="15" t="s">
        <v>58</v>
      </c>
      <c r="G9" s="15"/>
      <c r="H9" s="78">
        <v>44743</v>
      </c>
      <c r="J9" s="128"/>
      <c r="K9" s="128"/>
      <c r="L9" s="128"/>
      <c r="M9" s="128"/>
      <c r="N9" s="82"/>
      <c r="O9" s="82"/>
      <c r="P9" s="82"/>
      <c r="AA9" s="79">
        <v>44593</v>
      </c>
    </row>
    <row r="10" spans="1:27" s="45" customFormat="1" ht="21" customHeight="1">
      <c r="A10" s="12">
        <v>3</v>
      </c>
      <c r="B10" s="13" t="s">
        <v>52</v>
      </c>
      <c r="C10" s="13" t="s">
        <v>41</v>
      </c>
      <c r="D10" s="14">
        <v>3</v>
      </c>
      <c r="E10" s="12">
        <v>71300</v>
      </c>
      <c r="F10" s="15" t="s">
        <v>18</v>
      </c>
      <c r="G10" s="15"/>
      <c r="H10" s="78">
        <v>44743</v>
      </c>
      <c r="N10" s="46"/>
      <c r="O10" s="46"/>
      <c r="P10" s="46"/>
      <c r="AA10" s="79">
        <v>44621</v>
      </c>
    </row>
    <row r="11" spans="1:27" s="45" customFormat="1" ht="21" customHeight="1">
      <c r="A11" s="16">
        <v>4</v>
      </c>
      <c r="B11" s="13" t="s">
        <v>36</v>
      </c>
      <c r="C11" s="13" t="s">
        <v>33</v>
      </c>
      <c r="D11" s="14">
        <v>3</v>
      </c>
      <c r="E11" s="16">
        <v>71300</v>
      </c>
      <c r="F11" s="15" t="s">
        <v>18</v>
      </c>
      <c r="G11" s="15"/>
      <c r="H11" s="78">
        <v>44743</v>
      </c>
      <c r="AA11" s="79">
        <v>44652</v>
      </c>
    </row>
    <row r="12" spans="1:27" s="45" customFormat="1" ht="21" customHeight="1">
      <c r="A12" s="12">
        <v>5</v>
      </c>
      <c r="B12" s="17" t="s">
        <v>32</v>
      </c>
      <c r="C12" s="17" t="s">
        <v>33</v>
      </c>
      <c r="D12" s="18">
        <v>3</v>
      </c>
      <c r="E12" s="16">
        <v>53900</v>
      </c>
      <c r="F12" s="15" t="s">
        <v>18</v>
      </c>
      <c r="G12" s="15"/>
      <c r="H12" s="78">
        <v>44743</v>
      </c>
      <c r="M12" s="87" t="s">
        <v>76</v>
      </c>
      <c r="N12" s="88"/>
      <c r="O12" s="88"/>
      <c r="P12" s="88"/>
      <c r="Q12" s="88"/>
      <c r="AA12" s="79">
        <v>44682</v>
      </c>
    </row>
    <row r="13" spans="1:27" s="45" customFormat="1" ht="21" customHeight="1">
      <c r="A13" s="16">
        <v>6</v>
      </c>
      <c r="B13" s="17" t="s">
        <v>37</v>
      </c>
      <c r="C13" s="17" t="s">
        <v>33</v>
      </c>
      <c r="D13" s="14">
        <v>3</v>
      </c>
      <c r="E13" s="16">
        <v>41300</v>
      </c>
      <c r="F13" s="15" t="s">
        <v>58</v>
      </c>
      <c r="G13" s="15"/>
      <c r="H13" s="78">
        <v>44743</v>
      </c>
      <c r="M13" s="87"/>
      <c r="N13" s="88"/>
      <c r="O13" s="88"/>
      <c r="P13" s="88"/>
      <c r="Q13" s="88"/>
      <c r="AA13" s="79">
        <v>44713</v>
      </c>
    </row>
    <row r="14" spans="1:27" s="45" customFormat="1" ht="21" customHeight="1">
      <c r="A14" s="12">
        <v>7</v>
      </c>
      <c r="B14" s="17" t="s">
        <v>38</v>
      </c>
      <c r="C14" s="17" t="s">
        <v>42</v>
      </c>
      <c r="D14" s="18">
        <v>3</v>
      </c>
      <c r="E14" s="16">
        <v>67000</v>
      </c>
      <c r="F14" s="15" t="s">
        <v>18</v>
      </c>
      <c r="G14" s="15"/>
      <c r="H14" s="78">
        <v>44743</v>
      </c>
      <c r="M14" s="89" t="s">
        <v>32</v>
      </c>
      <c r="N14" s="90"/>
      <c r="O14" s="90"/>
      <c r="P14" s="90"/>
      <c r="Q14" s="90"/>
      <c r="AA14" s="79">
        <v>44743</v>
      </c>
    </row>
    <row r="15" spans="1:27" s="45" customFormat="1" ht="21" customHeight="1">
      <c r="A15" s="16">
        <v>8</v>
      </c>
      <c r="B15" s="17" t="s">
        <v>47</v>
      </c>
      <c r="C15" s="17" t="s">
        <v>42</v>
      </c>
      <c r="D15" s="14">
        <v>3</v>
      </c>
      <c r="E15" s="16">
        <v>46500</v>
      </c>
      <c r="F15" s="15" t="s">
        <v>18</v>
      </c>
      <c r="G15" s="15"/>
      <c r="H15" s="78">
        <v>44743</v>
      </c>
      <c r="M15" s="91" t="s">
        <v>77</v>
      </c>
      <c r="N15" s="92"/>
      <c r="O15" s="92"/>
      <c r="P15" s="92"/>
      <c r="Q15" s="92"/>
      <c r="AA15" s="79">
        <v>44774</v>
      </c>
    </row>
    <row r="16" spans="1:27" s="45" customFormat="1" ht="21" customHeight="1">
      <c r="A16" s="12">
        <v>9</v>
      </c>
      <c r="B16" s="17" t="s">
        <v>48</v>
      </c>
      <c r="C16" s="17" t="s">
        <v>45</v>
      </c>
      <c r="D16" s="18">
        <v>3</v>
      </c>
      <c r="E16" s="16">
        <v>50800</v>
      </c>
      <c r="F16" s="15" t="s">
        <v>58</v>
      </c>
      <c r="G16" s="15"/>
      <c r="H16" s="78">
        <v>44743</v>
      </c>
      <c r="M16" s="93" t="s">
        <v>78</v>
      </c>
      <c r="N16" s="94"/>
      <c r="O16" s="94"/>
      <c r="P16" s="94"/>
      <c r="Q16" s="94"/>
      <c r="AA16" s="79">
        <v>44805</v>
      </c>
    </row>
    <row r="17" spans="1:27" s="45" customFormat="1" ht="21" customHeight="1">
      <c r="A17" s="16">
        <v>10</v>
      </c>
      <c r="B17" s="17" t="s">
        <v>57</v>
      </c>
      <c r="C17" s="17" t="s">
        <v>42</v>
      </c>
      <c r="D17" s="14">
        <v>3</v>
      </c>
      <c r="E17" s="16">
        <v>50800</v>
      </c>
      <c r="F17" s="15" t="s">
        <v>18</v>
      </c>
      <c r="G17" s="15"/>
      <c r="H17" s="78">
        <v>44743</v>
      </c>
      <c r="M17" s="95" t="s">
        <v>79</v>
      </c>
      <c r="N17" s="96"/>
      <c r="O17" s="96"/>
      <c r="P17" s="96"/>
      <c r="Q17" s="96"/>
      <c r="AA17" s="79">
        <v>44835</v>
      </c>
    </row>
    <row r="18" spans="1:27" s="45" customFormat="1" ht="21" customHeight="1">
      <c r="A18" s="12">
        <v>11</v>
      </c>
      <c r="B18" s="17" t="s">
        <v>46</v>
      </c>
      <c r="C18" s="17" t="s">
        <v>43</v>
      </c>
      <c r="D18" s="14">
        <v>3</v>
      </c>
      <c r="E18" s="16">
        <v>35800</v>
      </c>
      <c r="F18" s="15" t="s">
        <v>58</v>
      </c>
      <c r="G18" s="15"/>
      <c r="H18" s="78">
        <v>44743</v>
      </c>
      <c r="M18" s="80" t="s">
        <v>80</v>
      </c>
      <c r="N18" s="81"/>
      <c r="O18" s="81"/>
      <c r="P18" s="81"/>
      <c r="Q18" s="81"/>
      <c r="AA18" s="79">
        <v>44866</v>
      </c>
    </row>
    <row r="19" spans="1:27" s="45" customFormat="1" ht="21" customHeight="1" thickBot="1">
      <c r="A19" s="16">
        <v>12</v>
      </c>
      <c r="B19" s="17" t="s">
        <v>39</v>
      </c>
      <c r="C19" s="17" t="s">
        <v>44</v>
      </c>
      <c r="D19" s="18">
        <v>3</v>
      </c>
      <c r="E19" s="16">
        <v>30500</v>
      </c>
      <c r="F19" s="15" t="s">
        <v>18</v>
      </c>
      <c r="G19" s="15"/>
      <c r="H19" s="78">
        <v>44743</v>
      </c>
      <c r="M19" s="73"/>
      <c r="N19" s="74"/>
      <c r="O19" s="74"/>
      <c r="P19" s="74"/>
      <c r="Q19" s="74"/>
      <c r="AA19" s="79">
        <v>44896</v>
      </c>
    </row>
    <row r="20" spans="1:27" s="45" customFormat="1" ht="21" customHeight="1">
      <c r="A20" s="12">
        <v>13</v>
      </c>
      <c r="B20" s="17" t="s">
        <v>49</v>
      </c>
      <c r="C20" s="17" t="s">
        <v>33</v>
      </c>
      <c r="D20" s="14">
        <v>3</v>
      </c>
      <c r="E20" s="16">
        <v>67200</v>
      </c>
      <c r="F20" s="15" t="s">
        <v>18</v>
      </c>
      <c r="G20" s="15"/>
      <c r="H20" s="78">
        <v>44743</v>
      </c>
      <c r="AA20" s="79">
        <v>44927</v>
      </c>
    </row>
    <row r="21" spans="1:27" s="45" customFormat="1" ht="21" customHeight="1">
      <c r="A21" s="16">
        <v>14</v>
      </c>
      <c r="B21" s="17" t="s">
        <v>53</v>
      </c>
      <c r="C21" s="17" t="s">
        <v>45</v>
      </c>
      <c r="D21" s="14">
        <v>3</v>
      </c>
      <c r="E21" s="16">
        <v>38000</v>
      </c>
      <c r="F21" s="15" t="s">
        <v>58</v>
      </c>
      <c r="G21" s="15"/>
      <c r="H21" s="78">
        <v>44743</v>
      </c>
      <c r="AA21" s="79">
        <v>44958</v>
      </c>
    </row>
    <row r="22" spans="1:27" s="45" customFormat="1" ht="21" customHeight="1">
      <c r="A22" s="12">
        <v>15</v>
      </c>
      <c r="B22" s="17" t="s">
        <v>54</v>
      </c>
      <c r="C22" s="17" t="s">
        <v>42</v>
      </c>
      <c r="D22" s="18">
        <v>3</v>
      </c>
      <c r="E22" s="16">
        <v>36900</v>
      </c>
      <c r="F22" s="15" t="s">
        <v>58</v>
      </c>
      <c r="G22" s="15"/>
      <c r="H22" s="78">
        <v>44743</v>
      </c>
      <c r="AA22" s="79">
        <v>44986</v>
      </c>
    </row>
    <row r="23" spans="1:27" s="45" customFormat="1" ht="21" customHeight="1">
      <c r="A23" s="16"/>
      <c r="B23" s="17"/>
      <c r="C23" s="17"/>
      <c r="D23" s="18"/>
      <c r="E23" s="16"/>
      <c r="F23" s="15"/>
      <c r="G23" s="15"/>
      <c r="H23" s="78"/>
      <c r="AA23" s="79">
        <v>45017</v>
      </c>
    </row>
    <row r="24" spans="1:27" s="45" customFormat="1" ht="21" customHeight="1">
      <c r="A24" s="16"/>
      <c r="B24" s="17"/>
      <c r="C24" s="17"/>
      <c r="D24" s="14"/>
      <c r="E24" s="16"/>
      <c r="F24" s="15"/>
      <c r="G24" s="15"/>
      <c r="H24" s="78"/>
      <c r="AA24" s="79">
        <v>45047</v>
      </c>
    </row>
    <row r="25" spans="1:27" s="45" customFormat="1" ht="21" customHeight="1">
      <c r="A25" s="16"/>
      <c r="B25" s="17"/>
      <c r="C25" s="17"/>
      <c r="D25" s="18"/>
      <c r="E25" s="16"/>
      <c r="F25" s="15"/>
      <c r="G25" s="15"/>
      <c r="H25" s="78"/>
      <c r="AA25" s="79">
        <v>45078</v>
      </c>
    </row>
    <row r="26" spans="1:27" s="45" customFormat="1" ht="21" customHeight="1">
      <c r="A26" s="16"/>
      <c r="B26" s="17"/>
      <c r="C26" s="17"/>
      <c r="D26" s="18"/>
      <c r="E26" s="16"/>
      <c r="F26" s="15"/>
      <c r="G26" s="15"/>
      <c r="H26" s="78"/>
      <c r="AA26" s="79">
        <v>45108</v>
      </c>
    </row>
    <row r="27" spans="1:27" s="45" customFormat="1" ht="21" customHeight="1">
      <c r="A27" s="16"/>
      <c r="B27" s="17"/>
      <c r="C27" s="17"/>
      <c r="D27" s="18"/>
      <c r="E27" s="16"/>
      <c r="F27" s="15"/>
      <c r="G27" s="15"/>
      <c r="H27" s="78"/>
      <c r="AA27" s="79">
        <v>45139</v>
      </c>
    </row>
    <row r="28" spans="1:27" s="45" customFormat="1" ht="21" customHeight="1">
      <c r="A28" s="16"/>
      <c r="B28" s="17"/>
      <c r="C28" s="17"/>
      <c r="D28" s="18"/>
      <c r="E28" s="16"/>
      <c r="F28" s="15"/>
      <c r="G28" s="15"/>
      <c r="H28" s="78"/>
      <c r="AA28" s="79">
        <v>45170</v>
      </c>
    </row>
    <row r="29" spans="1:27" s="45" customFormat="1" ht="21" customHeight="1">
      <c r="A29" s="16"/>
      <c r="B29" s="17"/>
      <c r="C29" s="17"/>
      <c r="D29" s="18"/>
      <c r="E29" s="16"/>
      <c r="F29" s="15"/>
      <c r="G29" s="15"/>
      <c r="H29" s="78"/>
      <c r="AA29" s="79">
        <v>45200</v>
      </c>
    </row>
    <row r="30" spans="1:27" s="45" customFormat="1" ht="21" customHeight="1">
      <c r="A30" s="16"/>
      <c r="B30" s="17"/>
      <c r="C30" s="17"/>
      <c r="D30" s="18"/>
      <c r="E30" s="16"/>
      <c r="F30" s="15"/>
      <c r="G30" s="15"/>
      <c r="H30" s="78"/>
      <c r="AA30" s="79">
        <v>45231</v>
      </c>
    </row>
    <row r="31" spans="1:27" s="45" customFormat="1" ht="21" customHeight="1">
      <c r="A31" s="16"/>
      <c r="B31" s="17"/>
      <c r="C31" s="17"/>
      <c r="D31" s="18"/>
      <c r="E31" s="16"/>
      <c r="F31" s="15"/>
      <c r="G31" s="15"/>
      <c r="H31" s="78"/>
      <c r="AA31" s="79">
        <v>45261</v>
      </c>
    </row>
    <row r="32" spans="1:27" s="45" customFormat="1" ht="21" customHeight="1">
      <c r="A32" s="16"/>
      <c r="B32" s="17"/>
      <c r="C32" s="17"/>
      <c r="D32" s="18"/>
      <c r="E32" s="16"/>
      <c r="F32" s="15"/>
      <c r="G32" s="15"/>
      <c r="H32" s="78"/>
      <c r="AA32" s="79">
        <v>45292</v>
      </c>
    </row>
    <row r="33" spans="1:27" s="45" customFormat="1" ht="21" customHeight="1">
      <c r="A33" s="16"/>
      <c r="B33" s="17"/>
      <c r="C33" s="17"/>
      <c r="D33" s="18"/>
      <c r="E33" s="16"/>
      <c r="F33" s="15"/>
      <c r="G33" s="15"/>
      <c r="H33" s="78"/>
      <c r="AA33" s="79">
        <v>45323</v>
      </c>
    </row>
    <row r="34" spans="1:27" s="45" customFormat="1" ht="21" customHeight="1">
      <c r="A34" s="16"/>
      <c r="B34" s="17"/>
      <c r="C34" s="17"/>
      <c r="D34" s="18"/>
      <c r="E34" s="16"/>
      <c r="F34" s="15"/>
      <c r="G34" s="15"/>
      <c r="H34" s="78"/>
      <c r="AA34" s="79">
        <v>45352</v>
      </c>
    </row>
    <row r="35" spans="1:27" s="45" customFormat="1" ht="21" customHeight="1">
      <c r="A35" s="16"/>
      <c r="B35" s="17"/>
      <c r="C35" s="17"/>
      <c r="D35" s="18"/>
      <c r="E35" s="16"/>
      <c r="F35" s="15"/>
      <c r="G35" s="15"/>
      <c r="H35" s="78"/>
      <c r="AA35" s="79">
        <v>45383</v>
      </c>
    </row>
    <row r="36" spans="1:27" s="45" customFormat="1" ht="21" customHeight="1">
      <c r="A36" s="16"/>
      <c r="B36" s="17"/>
      <c r="C36" s="17"/>
      <c r="D36" s="18"/>
      <c r="E36" s="16"/>
      <c r="F36" s="15"/>
      <c r="G36" s="15"/>
      <c r="H36" s="78"/>
      <c r="AA36" s="79">
        <v>45413</v>
      </c>
    </row>
    <row r="37" spans="1:27" s="45" customFormat="1" ht="21" customHeight="1">
      <c r="A37" s="16"/>
      <c r="B37" s="17"/>
      <c r="C37" s="17"/>
      <c r="D37" s="18"/>
      <c r="E37" s="16"/>
      <c r="F37" s="15"/>
      <c r="G37" s="15"/>
      <c r="H37" s="78"/>
      <c r="AA37" s="79">
        <v>45444</v>
      </c>
    </row>
    <row r="38" spans="1:27" s="45" customFormat="1" ht="21" customHeight="1">
      <c r="A38" s="16"/>
      <c r="B38" s="17"/>
      <c r="C38" s="17"/>
      <c r="D38" s="18"/>
      <c r="E38" s="16"/>
      <c r="F38" s="15"/>
      <c r="G38" s="15"/>
      <c r="H38" s="78"/>
      <c r="AA38" s="79">
        <v>45474</v>
      </c>
    </row>
    <row r="39" spans="1:27" s="45" customFormat="1" ht="21" customHeight="1">
      <c r="A39" s="16"/>
      <c r="B39" s="17"/>
      <c r="C39" s="17"/>
      <c r="D39" s="18"/>
      <c r="E39" s="16"/>
      <c r="F39" s="15"/>
      <c r="G39" s="15"/>
      <c r="H39" s="78"/>
      <c r="AA39" s="79">
        <v>45505</v>
      </c>
    </row>
    <row r="40" spans="1:27" s="45" customFormat="1" ht="21" customHeight="1">
      <c r="A40" s="16"/>
      <c r="B40" s="17"/>
      <c r="C40" s="17"/>
      <c r="D40" s="18"/>
      <c r="E40" s="16"/>
      <c r="F40" s="15"/>
      <c r="G40" s="15"/>
      <c r="H40" s="78"/>
      <c r="AA40" s="79">
        <v>45536</v>
      </c>
    </row>
    <row r="41" spans="1:27" s="45" customFormat="1" ht="21" customHeight="1">
      <c r="A41" s="16"/>
      <c r="B41" s="17"/>
      <c r="C41" s="17"/>
      <c r="D41" s="18"/>
      <c r="E41" s="16"/>
      <c r="F41" s="15"/>
      <c r="G41" s="15"/>
      <c r="H41" s="78"/>
      <c r="AA41" s="79">
        <v>45566</v>
      </c>
    </row>
    <row r="42" spans="1:27" s="45" customFormat="1" ht="21" customHeight="1">
      <c r="A42" s="16"/>
      <c r="B42" s="17"/>
      <c r="C42" s="17"/>
      <c r="D42" s="18"/>
      <c r="E42" s="16"/>
      <c r="F42" s="15"/>
      <c r="G42" s="15"/>
      <c r="H42" s="78"/>
      <c r="AA42" s="79">
        <v>45597</v>
      </c>
    </row>
    <row r="43" spans="1:27" s="45" customFormat="1" ht="21" customHeight="1">
      <c r="A43" s="16"/>
      <c r="B43" s="17"/>
      <c r="C43" s="17"/>
      <c r="D43" s="18"/>
      <c r="E43" s="16"/>
      <c r="F43" s="15"/>
      <c r="G43" s="15"/>
      <c r="H43" s="78"/>
      <c r="AA43" s="79">
        <v>45627</v>
      </c>
    </row>
    <row r="44" spans="1:27" s="45" customFormat="1" ht="21" customHeight="1">
      <c r="A44" s="16"/>
      <c r="B44" s="17"/>
      <c r="C44" s="17"/>
      <c r="D44" s="18"/>
      <c r="E44" s="16"/>
      <c r="F44" s="15"/>
      <c r="G44" s="15"/>
      <c r="H44" s="78"/>
      <c r="AA44" s="79">
        <v>45658</v>
      </c>
    </row>
    <row r="45" spans="1:27" s="45" customFormat="1" ht="21" customHeight="1">
      <c r="A45" s="16"/>
      <c r="B45" s="17"/>
      <c r="C45" s="17"/>
      <c r="D45" s="18"/>
      <c r="E45" s="16"/>
      <c r="F45" s="15"/>
      <c r="G45" s="15"/>
      <c r="H45" s="78"/>
      <c r="AA45" s="79">
        <v>45689</v>
      </c>
    </row>
    <row r="46" spans="1:27" s="45" customFormat="1" ht="21" customHeight="1">
      <c r="A46" s="16"/>
      <c r="B46" s="17"/>
      <c r="C46" s="17"/>
      <c r="D46" s="18"/>
      <c r="E46" s="16"/>
      <c r="F46" s="15"/>
      <c r="G46" s="15"/>
      <c r="H46" s="78"/>
      <c r="AA46" s="79">
        <v>45717</v>
      </c>
    </row>
    <row r="47" spans="1:27" s="45" customFormat="1" ht="21" customHeight="1">
      <c r="A47" s="16"/>
      <c r="B47" s="17"/>
      <c r="C47" s="17"/>
      <c r="D47" s="18"/>
      <c r="E47" s="16"/>
      <c r="F47" s="15"/>
      <c r="G47" s="15"/>
      <c r="H47" s="78"/>
      <c r="AA47" s="79">
        <v>45748</v>
      </c>
    </row>
    <row r="48" spans="1:27" s="45" customFormat="1" ht="21" customHeight="1">
      <c r="A48" s="16"/>
      <c r="B48" s="17"/>
      <c r="C48" s="17"/>
      <c r="D48" s="18"/>
      <c r="E48" s="16"/>
      <c r="F48" s="15"/>
      <c r="G48" s="15"/>
      <c r="H48" s="78"/>
      <c r="AA48" s="79">
        <v>45778</v>
      </c>
    </row>
    <row r="49" spans="1:27" s="45" customFormat="1" ht="21" customHeight="1">
      <c r="A49" s="16"/>
      <c r="B49" s="17"/>
      <c r="C49" s="17"/>
      <c r="D49" s="18"/>
      <c r="E49" s="16"/>
      <c r="F49" s="15"/>
      <c r="G49" s="15"/>
      <c r="H49" s="78"/>
      <c r="AA49" s="79">
        <v>45809</v>
      </c>
    </row>
    <row r="50" spans="1:27" s="45" customFormat="1" ht="21" customHeight="1">
      <c r="A50" s="16"/>
      <c r="B50" s="17"/>
      <c r="C50" s="17"/>
      <c r="D50" s="18"/>
      <c r="E50" s="16"/>
      <c r="F50" s="15"/>
      <c r="G50" s="15"/>
      <c r="H50" s="78"/>
      <c r="AA50" s="79">
        <v>45839</v>
      </c>
    </row>
    <row r="51" spans="1:27" s="45" customFormat="1" ht="21" customHeight="1">
      <c r="A51" s="16"/>
      <c r="B51" s="17"/>
      <c r="C51" s="17"/>
      <c r="D51" s="18"/>
      <c r="E51" s="16"/>
      <c r="F51" s="15"/>
      <c r="G51" s="15"/>
      <c r="H51" s="78"/>
      <c r="AA51" s="79">
        <v>45870</v>
      </c>
    </row>
    <row r="52" spans="1:27" s="45" customFormat="1" ht="21" customHeight="1">
      <c r="A52" s="16"/>
      <c r="B52" s="17"/>
      <c r="C52" s="17"/>
      <c r="D52" s="18"/>
      <c r="E52" s="16"/>
      <c r="F52" s="15"/>
      <c r="G52" s="15"/>
      <c r="H52" s="78"/>
      <c r="AA52" s="79">
        <v>45901</v>
      </c>
    </row>
    <row r="53" spans="1:27" s="45" customFormat="1" ht="21" customHeight="1">
      <c r="A53" s="16"/>
      <c r="B53" s="17"/>
      <c r="C53" s="17"/>
      <c r="D53" s="18"/>
      <c r="E53" s="16"/>
      <c r="F53" s="15"/>
      <c r="G53" s="15"/>
      <c r="H53" s="78"/>
      <c r="AA53" s="79">
        <v>45931</v>
      </c>
    </row>
    <row r="54" spans="1:27" s="45" customFormat="1" ht="21" customHeight="1">
      <c r="A54" s="16"/>
      <c r="B54" s="17"/>
      <c r="C54" s="17"/>
      <c r="D54" s="18"/>
      <c r="E54" s="16"/>
      <c r="F54" s="15"/>
      <c r="G54" s="15"/>
      <c r="H54" s="78"/>
      <c r="AA54" s="79"/>
    </row>
    <row r="55" spans="1:27" s="45" customFormat="1" ht="21" customHeight="1">
      <c r="A55" s="16"/>
      <c r="B55" s="17"/>
      <c r="C55" s="17"/>
      <c r="D55" s="18"/>
      <c r="E55" s="16"/>
      <c r="F55" s="15"/>
      <c r="G55" s="15"/>
      <c r="H55" s="78"/>
    </row>
    <row r="56" spans="1:27" s="45" customFormat="1" ht="21" customHeight="1">
      <c r="A56" s="16"/>
      <c r="B56" s="17"/>
      <c r="C56" s="17"/>
      <c r="D56" s="18"/>
      <c r="E56" s="16"/>
      <c r="F56" s="15"/>
      <c r="G56" s="15"/>
      <c r="H56" s="78"/>
    </row>
    <row r="57" spans="1:27" s="45" customFormat="1" ht="21" customHeight="1">
      <c r="A57" s="16"/>
      <c r="B57" s="17"/>
      <c r="C57" s="17"/>
      <c r="D57" s="18"/>
      <c r="E57" s="16"/>
      <c r="F57" s="15"/>
      <c r="G57" s="15"/>
      <c r="H57" s="78"/>
    </row>
    <row r="58" spans="1:27" s="45" customFormat="1" ht="21" customHeight="1">
      <c r="A58" s="16"/>
      <c r="B58" s="17"/>
      <c r="C58" s="17"/>
      <c r="D58" s="18"/>
      <c r="E58" s="16"/>
      <c r="F58" s="15"/>
      <c r="G58" s="15"/>
      <c r="H58" s="78"/>
    </row>
    <row r="59" spans="1:27" s="45" customFormat="1" ht="21" customHeight="1">
      <c r="A59" s="16"/>
      <c r="B59" s="17"/>
      <c r="C59" s="17"/>
      <c r="D59" s="18"/>
      <c r="E59" s="16"/>
      <c r="F59" s="15"/>
      <c r="G59" s="15"/>
      <c r="H59" s="78"/>
    </row>
    <row r="60" spans="1:27" s="45" customFormat="1" ht="21" customHeight="1">
      <c r="A60" s="16"/>
      <c r="B60" s="17"/>
      <c r="C60" s="17"/>
      <c r="D60" s="18"/>
      <c r="E60" s="16"/>
      <c r="F60" s="15"/>
      <c r="G60" s="15"/>
      <c r="H60" s="78"/>
    </row>
    <row r="61" spans="1:27" s="45" customFormat="1" ht="21" customHeight="1">
      <c r="A61" s="16"/>
      <c r="B61" s="17"/>
      <c r="C61" s="17"/>
      <c r="D61" s="18"/>
      <c r="E61" s="16"/>
      <c r="F61" s="15"/>
      <c r="G61" s="15"/>
      <c r="H61" s="78"/>
    </row>
    <row r="62" spans="1:27" s="45" customFormat="1" ht="21" customHeight="1">
      <c r="A62" s="16"/>
      <c r="B62" s="17"/>
      <c r="C62" s="17"/>
      <c r="D62" s="18"/>
      <c r="E62" s="16"/>
      <c r="F62" s="15"/>
      <c r="G62" s="15"/>
      <c r="H62" s="78"/>
    </row>
    <row r="63" spans="1:27" s="45" customFormat="1" ht="21" customHeight="1">
      <c r="A63" s="16"/>
      <c r="B63" s="17"/>
      <c r="C63" s="17"/>
      <c r="D63" s="18"/>
      <c r="E63" s="16"/>
      <c r="F63" s="15"/>
      <c r="G63" s="15"/>
      <c r="H63" s="78"/>
    </row>
    <row r="64" spans="1:27" s="45" customFormat="1" ht="21" customHeight="1">
      <c r="A64" s="16"/>
      <c r="B64" s="17"/>
      <c r="C64" s="17"/>
      <c r="D64" s="18"/>
      <c r="E64" s="16"/>
      <c r="F64" s="15"/>
      <c r="G64" s="15"/>
      <c r="H64" s="78"/>
    </row>
    <row r="65" spans="1:8" s="45" customFormat="1" ht="21" customHeight="1">
      <c r="A65" s="16"/>
      <c r="B65" s="17"/>
      <c r="C65" s="17"/>
      <c r="D65" s="18"/>
      <c r="E65" s="16"/>
      <c r="F65" s="15"/>
      <c r="G65" s="15"/>
      <c r="H65" s="78"/>
    </row>
    <row r="66" spans="1:8" s="45" customFormat="1" ht="21" customHeight="1">
      <c r="A66" s="16"/>
      <c r="B66" s="17"/>
      <c r="C66" s="17"/>
      <c r="D66" s="18"/>
      <c r="E66" s="16"/>
      <c r="F66" s="15"/>
      <c r="G66" s="15"/>
      <c r="H66" s="78"/>
    </row>
    <row r="67" spans="1:8" s="45" customFormat="1" ht="21" customHeight="1">
      <c r="A67" s="16"/>
      <c r="B67" s="17"/>
      <c r="C67" s="17"/>
      <c r="D67" s="18"/>
      <c r="E67" s="16"/>
      <c r="F67" s="15"/>
      <c r="G67" s="15"/>
      <c r="H67" s="78"/>
    </row>
    <row r="68" spans="1:8" s="45" customFormat="1" ht="21" customHeight="1">
      <c r="A68" s="16"/>
      <c r="B68" s="17"/>
      <c r="C68" s="17"/>
      <c r="D68" s="18"/>
      <c r="E68" s="16"/>
      <c r="F68" s="15"/>
      <c r="G68" s="15"/>
      <c r="H68" s="78"/>
    </row>
    <row r="69" spans="1:8" s="45" customFormat="1" ht="21" customHeight="1">
      <c r="A69" s="16"/>
      <c r="B69" s="17"/>
      <c r="C69" s="17"/>
      <c r="D69" s="18"/>
      <c r="E69" s="16"/>
      <c r="F69" s="15"/>
      <c r="G69" s="15"/>
      <c r="H69" s="78"/>
    </row>
    <row r="70" spans="1:8" s="45" customFormat="1" ht="21" customHeight="1">
      <c r="A70" s="16"/>
      <c r="B70" s="17"/>
      <c r="C70" s="17"/>
      <c r="D70" s="18"/>
      <c r="E70" s="16"/>
      <c r="F70" s="15"/>
      <c r="G70" s="15"/>
      <c r="H70" s="78"/>
    </row>
    <row r="71" spans="1:8" s="45" customFormat="1" ht="21" customHeight="1">
      <c r="A71" s="16"/>
      <c r="B71" s="17"/>
      <c r="C71" s="17"/>
      <c r="D71" s="18"/>
      <c r="E71" s="16"/>
      <c r="F71" s="15"/>
      <c r="G71" s="15"/>
      <c r="H71" s="78"/>
    </row>
    <row r="72" spans="1:8" s="45" customFormat="1" ht="21" customHeight="1">
      <c r="A72" s="16"/>
      <c r="B72" s="17"/>
      <c r="C72" s="17"/>
      <c r="D72" s="18"/>
      <c r="E72" s="16"/>
      <c r="F72" s="15"/>
      <c r="G72" s="15"/>
      <c r="H72" s="78"/>
    </row>
    <row r="73" spans="1:8" s="45" customFormat="1" ht="21" customHeight="1">
      <c r="A73" s="16"/>
      <c r="B73" s="17"/>
      <c r="C73" s="17"/>
      <c r="D73" s="18"/>
      <c r="E73" s="16"/>
      <c r="F73" s="15"/>
      <c r="G73" s="15"/>
      <c r="H73" s="78"/>
    </row>
    <row r="74" spans="1:8" s="45" customFormat="1" ht="21" customHeight="1">
      <c r="A74" s="16"/>
      <c r="B74" s="17"/>
      <c r="C74" s="17"/>
      <c r="D74" s="18"/>
      <c r="E74" s="16"/>
      <c r="F74" s="15"/>
      <c r="G74" s="15"/>
      <c r="H74" s="78"/>
    </row>
    <row r="75" spans="1:8" s="45" customFormat="1" ht="21" customHeight="1">
      <c r="A75" s="16"/>
      <c r="B75" s="17"/>
      <c r="C75" s="17"/>
      <c r="D75" s="18"/>
      <c r="E75" s="16"/>
      <c r="F75" s="15"/>
      <c r="G75" s="15"/>
      <c r="H75" s="78"/>
    </row>
    <row r="76" spans="1:8" s="45" customFormat="1" ht="21" customHeight="1">
      <c r="A76" s="16"/>
      <c r="B76" s="17"/>
      <c r="C76" s="17"/>
      <c r="D76" s="18"/>
      <c r="E76" s="16"/>
      <c r="F76" s="15"/>
      <c r="G76" s="15"/>
      <c r="H76" s="78"/>
    </row>
    <row r="77" spans="1:8" s="45" customFormat="1" ht="21" customHeight="1">
      <c r="A77" s="16"/>
      <c r="B77" s="17"/>
      <c r="C77" s="17"/>
      <c r="D77" s="18"/>
      <c r="E77" s="16"/>
      <c r="F77" s="15"/>
      <c r="G77" s="15"/>
      <c r="H77" s="78"/>
    </row>
    <row r="78" spans="1:8" s="45" customFormat="1" ht="21" customHeight="1">
      <c r="A78" s="16"/>
      <c r="B78" s="17"/>
      <c r="C78" s="17"/>
      <c r="D78" s="18"/>
      <c r="E78" s="16"/>
      <c r="F78" s="15"/>
      <c r="G78" s="15"/>
      <c r="H78" s="78"/>
    </row>
    <row r="79" spans="1:8" s="45" customFormat="1" ht="21" customHeight="1">
      <c r="A79" s="16"/>
      <c r="B79" s="17"/>
      <c r="C79" s="17"/>
      <c r="D79" s="18"/>
      <c r="E79" s="16"/>
      <c r="F79" s="15"/>
      <c r="G79" s="15"/>
      <c r="H79" s="78"/>
    </row>
    <row r="80" spans="1:8" s="45" customFormat="1" ht="21" customHeight="1">
      <c r="A80" s="16"/>
      <c r="B80" s="17"/>
      <c r="C80" s="17"/>
      <c r="D80" s="18"/>
      <c r="E80" s="16"/>
      <c r="F80" s="15"/>
      <c r="G80" s="15"/>
      <c r="H80" s="78"/>
    </row>
    <row r="81" spans="1:8" s="45" customFormat="1" ht="21" customHeight="1">
      <c r="A81" s="16"/>
      <c r="B81" s="17"/>
      <c r="C81" s="17"/>
      <c r="D81" s="18"/>
      <c r="E81" s="16"/>
      <c r="F81" s="15"/>
      <c r="G81" s="15"/>
      <c r="H81" s="78"/>
    </row>
    <row r="82" spans="1:8" s="45" customFormat="1" ht="21" customHeight="1">
      <c r="A82" s="16"/>
      <c r="B82" s="17"/>
      <c r="C82" s="17"/>
      <c r="D82" s="18"/>
      <c r="E82" s="16"/>
      <c r="F82" s="15"/>
      <c r="G82" s="15"/>
      <c r="H82" s="78"/>
    </row>
    <row r="83" spans="1:8" s="45" customFormat="1" ht="21" customHeight="1">
      <c r="A83" s="16"/>
      <c r="B83" s="17"/>
      <c r="C83" s="17"/>
      <c r="D83" s="18"/>
      <c r="E83" s="16"/>
      <c r="F83" s="15"/>
      <c r="G83" s="15"/>
      <c r="H83" s="78"/>
    </row>
    <row r="84" spans="1:8" s="45" customFormat="1" ht="21" customHeight="1">
      <c r="A84" s="16"/>
      <c r="B84" s="17"/>
      <c r="C84" s="17"/>
      <c r="D84" s="18"/>
      <c r="E84" s="16"/>
      <c r="F84" s="15"/>
      <c r="G84" s="15"/>
      <c r="H84" s="78"/>
    </row>
    <row r="85" spans="1:8" s="45" customFormat="1" ht="21" customHeight="1">
      <c r="A85" s="16"/>
      <c r="B85" s="17"/>
      <c r="C85" s="17"/>
      <c r="D85" s="18"/>
      <c r="E85" s="16"/>
      <c r="F85" s="15"/>
      <c r="G85" s="15"/>
      <c r="H85" s="78"/>
    </row>
    <row r="86" spans="1:8" s="45" customFormat="1" ht="21" customHeight="1">
      <c r="A86" s="16"/>
      <c r="B86" s="17"/>
      <c r="C86" s="17"/>
      <c r="D86" s="18"/>
      <c r="E86" s="16"/>
      <c r="F86" s="15"/>
      <c r="G86" s="15"/>
      <c r="H86" s="78"/>
    </row>
    <row r="87" spans="1:8" s="45" customFormat="1" ht="21" customHeight="1">
      <c r="A87" s="16"/>
      <c r="B87" s="17"/>
      <c r="C87" s="17"/>
      <c r="D87" s="18"/>
      <c r="E87" s="16"/>
      <c r="F87" s="15"/>
      <c r="G87" s="15"/>
      <c r="H87" s="78"/>
    </row>
    <row r="88" spans="1:8" s="45" customFormat="1" ht="21" customHeight="1">
      <c r="A88" s="16"/>
      <c r="B88" s="17"/>
      <c r="C88" s="17"/>
      <c r="D88" s="18"/>
      <c r="E88" s="16"/>
      <c r="F88" s="15"/>
      <c r="G88" s="15"/>
      <c r="H88" s="78"/>
    </row>
    <row r="89" spans="1:8" s="45" customFormat="1" ht="21" customHeight="1">
      <c r="A89" s="16"/>
      <c r="B89" s="17"/>
      <c r="C89" s="17"/>
      <c r="D89" s="18"/>
      <c r="E89" s="16"/>
      <c r="F89" s="15"/>
      <c r="G89" s="15"/>
      <c r="H89" s="78"/>
    </row>
    <row r="90" spans="1:8" s="45" customFormat="1" ht="21" customHeight="1">
      <c r="A90" s="16"/>
      <c r="B90" s="17"/>
      <c r="C90" s="17"/>
      <c r="D90" s="18"/>
      <c r="E90" s="16"/>
      <c r="F90" s="15"/>
      <c r="G90" s="15"/>
      <c r="H90" s="78"/>
    </row>
    <row r="91" spans="1:8" s="45" customFormat="1" ht="21" customHeight="1">
      <c r="A91" s="16"/>
      <c r="B91" s="17"/>
      <c r="C91" s="17"/>
      <c r="D91" s="18"/>
      <c r="E91" s="16"/>
      <c r="F91" s="15"/>
      <c r="G91" s="15"/>
      <c r="H91" s="78"/>
    </row>
    <row r="92" spans="1:8" s="45" customFormat="1" ht="21" customHeight="1">
      <c r="A92" s="16"/>
      <c r="B92" s="17"/>
      <c r="C92" s="17"/>
      <c r="D92" s="18"/>
      <c r="E92" s="16"/>
      <c r="F92" s="15"/>
      <c r="G92" s="15"/>
      <c r="H92" s="78"/>
    </row>
    <row r="93" spans="1:8" s="45" customFormat="1" ht="21" customHeight="1">
      <c r="A93" s="16"/>
      <c r="B93" s="17"/>
      <c r="C93" s="17"/>
      <c r="D93" s="18"/>
      <c r="E93" s="16"/>
      <c r="F93" s="15"/>
      <c r="G93" s="15"/>
      <c r="H93" s="78"/>
    </row>
    <row r="94" spans="1:8" s="45" customFormat="1" ht="21" customHeight="1">
      <c r="A94" s="16"/>
      <c r="B94" s="17"/>
      <c r="C94" s="17"/>
      <c r="D94" s="18"/>
      <c r="E94" s="16"/>
      <c r="F94" s="15"/>
      <c r="G94" s="15"/>
      <c r="H94" s="78"/>
    </row>
    <row r="95" spans="1:8" s="45" customFormat="1" ht="21" customHeight="1">
      <c r="A95" s="16"/>
      <c r="B95" s="17"/>
      <c r="C95" s="17"/>
      <c r="D95" s="18"/>
      <c r="E95" s="16"/>
      <c r="F95" s="15"/>
      <c r="G95" s="15"/>
      <c r="H95" s="78"/>
    </row>
    <row r="96" spans="1:8" s="45" customFormat="1" ht="21" customHeight="1">
      <c r="A96" s="16"/>
      <c r="B96" s="17"/>
      <c r="C96" s="17"/>
      <c r="D96" s="18"/>
      <c r="E96" s="16"/>
      <c r="F96" s="15"/>
      <c r="G96" s="15"/>
      <c r="H96" s="78"/>
    </row>
    <row r="97" spans="1:8" s="45" customFormat="1" ht="21" customHeight="1">
      <c r="A97" s="16"/>
      <c r="B97" s="17"/>
      <c r="C97" s="17"/>
      <c r="D97" s="18"/>
      <c r="E97" s="16"/>
      <c r="F97" s="15"/>
      <c r="G97" s="15"/>
      <c r="H97" s="78"/>
    </row>
    <row r="98" spans="1:8" s="45" customFormat="1" ht="21" customHeight="1">
      <c r="A98" s="16"/>
      <c r="B98" s="17"/>
      <c r="C98" s="17"/>
      <c r="D98" s="18"/>
      <c r="E98" s="16"/>
      <c r="F98" s="15"/>
      <c r="G98" s="15"/>
      <c r="H98" s="78"/>
    </row>
    <row r="99" spans="1:8" s="45" customFormat="1" ht="21" customHeight="1">
      <c r="A99" s="16"/>
      <c r="B99" s="17"/>
      <c r="C99" s="17"/>
      <c r="D99" s="18"/>
      <c r="E99" s="16"/>
      <c r="F99" s="15"/>
      <c r="G99" s="15"/>
      <c r="H99" s="78"/>
    </row>
    <row r="100" spans="1:8" s="45" customFormat="1" ht="21" customHeight="1">
      <c r="A100" s="16"/>
      <c r="B100" s="17"/>
      <c r="C100" s="17"/>
      <c r="D100" s="18"/>
      <c r="E100" s="16"/>
      <c r="F100" s="15"/>
      <c r="G100" s="15"/>
      <c r="H100" s="78"/>
    </row>
    <row r="101" spans="1:8" s="45" customFormat="1" ht="21" customHeight="1">
      <c r="A101" s="16"/>
      <c r="B101" s="17"/>
      <c r="C101" s="17"/>
      <c r="D101" s="18"/>
      <c r="E101" s="16"/>
      <c r="F101" s="15"/>
      <c r="G101" s="15"/>
      <c r="H101" s="78"/>
    </row>
    <row r="102" spans="1:8" s="45" customFormat="1" ht="21" customHeight="1">
      <c r="A102" s="16"/>
      <c r="B102" s="17"/>
      <c r="C102" s="17"/>
      <c r="D102" s="18"/>
      <c r="E102" s="16"/>
      <c r="F102" s="15"/>
      <c r="G102" s="15"/>
      <c r="H102" s="78"/>
    </row>
    <row r="103" spans="1:8" s="45" customFormat="1" ht="21" customHeight="1">
      <c r="A103" s="16"/>
      <c r="B103" s="17"/>
      <c r="C103" s="17"/>
      <c r="D103" s="18"/>
      <c r="E103" s="16"/>
      <c r="F103" s="15"/>
      <c r="G103" s="15"/>
      <c r="H103" s="78"/>
    </row>
    <row r="104" spans="1:8" s="45" customFormat="1" ht="21" customHeight="1">
      <c r="A104" s="16"/>
      <c r="B104" s="17"/>
      <c r="C104" s="17"/>
      <c r="D104" s="18"/>
      <c r="E104" s="16"/>
      <c r="F104" s="15"/>
      <c r="G104" s="15"/>
      <c r="H104" s="78"/>
    </row>
    <row r="105" spans="1:8" s="45" customFormat="1" ht="21" customHeight="1">
      <c r="A105" s="16"/>
      <c r="B105" s="17"/>
      <c r="C105" s="17"/>
      <c r="D105" s="18"/>
      <c r="E105" s="16"/>
      <c r="F105" s="15"/>
      <c r="G105" s="15"/>
      <c r="H105" s="78"/>
    </row>
    <row r="106" spans="1:8" s="45" customFormat="1" ht="21" customHeight="1">
      <c r="A106" s="16"/>
      <c r="B106" s="17"/>
      <c r="C106" s="17"/>
      <c r="D106" s="18"/>
      <c r="E106" s="16"/>
      <c r="F106" s="15"/>
      <c r="G106" s="15"/>
      <c r="H106" s="78"/>
    </row>
    <row r="107" spans="1:8" s="45" customFormat="1" ht="21" customHeight="1">
      <c r="A107" s="16"/>
      <c r="B107" s="17"/>
      <c r="C107" s="17"/>
      <c r="D107" s="18"/>
      <c r="E107" s="16"/>
      <c r="F107" s="15"/>
      <c r="G107" s="15"/>
      <c r="H107" s="78"/>
    </row>
    <row r="108" spans="1:8" s="45" customFormat="1" ht="21" customHeight="1">
      <c r="A108" s="16"/>
      <c r="B108" s="17"/>
      <c r="C108" s="17"/>
      <c r="D108" s="18"/>
      <c r="E108" s="16"/>
      <c r="F108" s="15"/>
      <c r="G108" s="15"/>
      <c r="H108" s="78"/>
    </row>
    <row r="109" spans="1:8"/>
    <row r="110" spans="1:8"/>
    <row r="111" spans="1:8"/>
    <row r="112" spans="1:8"/>
    <row r="113"/>
    <row r="114"/>
  </sheetData>
  <sheetProtection password="C1FB" sheet="1" objects="1" scenarios="1" formatCells="0" formatColumns="0" formatRows="0" selectLockedCells="1"/>
  <mergeCells count="18">
    <mergeCell ref="J8:M9"/>
    <mergeCell ref="J4:L5"/>
    <mergeCell ref="J7:L7"/>
    <mergeCell ref="M18:Q18"/>
    <mergeCell ref="N8:P9"/>
    <mergeCell ref="A3:B3"/>
    <mergeCell ref="C1:E1"/>
    <mergeCell ref="A5:B5"/>
    <mergeCell ref="C3:H3"/>
    <mergeCell ref="A4:B4"/>
    <mergeCell ref="E4:G4"/>
    <mergeCell ref="E5:G5"/>
    <mergeCell ref="J6:M6"/>
    <mergeCell ref="M12:Q13"/>
    <mergeCell ref="M14:Q14"/>
    <mergeCell ref="M15:Q15"/>
    <mergeCell ref="M16:Q16"/>
    <mergeCell ref="M17:Q17"/>
  </mergeCells>
  <dataValidations count="3">
    <dataValidation type="list" allowBlank="1" showInputMessage="1" showErrorMessage="1" sqref="F8:F108">
      <formula1>"GPF, GPF-2004"</formula1>
    </dataValidation>
    <dataValidation type="list" allowBlank="1" showInputMessage="1" showErrorMessage="1" sqref="H8:H108">
      <formula1>month</formula1>
    </dataValidation>
    <dataValidation type="whole" operator="lessThanOrEqual" allowBlank="1" showInputMessage="1" showErrorMessage="1" sqref="D8:D108">
      <formula1>9</formula1>
    </dataValidation>
  </dataValidations>
  <hyperlinks>
    <hyperlink ref="M18" r:id="rId1"/>
    <hyperlink ref="J6" r:id="rId2"/>
    <hyperlink ref="J8" r:id="rId3"/>
  </hyperlinks>
  <pageMargins left="0.7" right="0.7" top="0.75" bottom="0.75" header="0.3" footer="0.3"/>
  <pageSetup paperSize="9" orientation="portrait" horizontalDpi="300" verticalDpi="300" r:id="rId4"/>
  <drawing r:id="rId5"/>
</worksheet>
</file>

<file path=xl/worksheets/sheet2.xml><?xml version="1.0" encoding="utf-8"?>
<worksheet xmlns="http://schemas.openxmlformats.org/spreadsheetml/2006/main" xmlns:r="http://schemas.openxmlformats.org/officeDocument/2006/relationships">
  <dimension ref="A1:AB26"/>
  <sheetViews>
    <sheetView showGridLines="0" view="pageBreakPreview" zoomScale="110" zoomScaleSheetLayoutView="110" workbookViewId="0">
      <selection activeCell="D3" sqref="D3"/>
    </sheetView>
  </sheetViews>
  <sheetFormatPr defaultColWidth="9.125" defaultRowHeight="15"/>
  <cols>
    <col min="1" max="1" width="4.125" style="4" customWidth="1"/>
    <col min="2" max="2" width="7.875" style="4" customWidth="1"/>
    <col min="3" max="3" width="8" style="4" customWidth="1"/>
    <col min="4" max="5" width="6.75" style="4" customWidth="1"/>
    <col min="6" max="6" width="7.625" style="4" customWidth="1"/>
    <col min="7" max="7" width="7.75" style="4" customWidth="1"/>
    <col min="8" max="9" width="6.75" style="4" customWidth="1"/>
    <col min="10" max="10" width="7.25" style="4" customWidth="1"/>
    <col min="11" max="11" width="6.625" style="4" customWidth="1"/>
    <col min="12" max="12" width="6.75" style="4" customWidth="1"/>
    <col min="13" max="13" width="6.25" style="4" customWidth="1"/>
    <col min="14" max="14" width="6.75" style="4" customWidth="1"/>
    <col min="15" max="15" width="7.625" style="4" customWidth="1"/>
    <col min="16" max="16" width="7.125" style="4" customWidth="1"/>
    <col min="17" max="17" width="8.625" style="4" customWidth="1"/>
    <col min="18" max="18" width="10.375" style="4" customWidth="1"/>
    <col min="19" max="19" width="10.5" style="4" customWidth="1"/>
    <col min="20" max="22" width="9.125" style="4"/>
    <col min="23" max="28" width="9.125" style="4" hidden="1" customWidth="1"/>
    <col min="29" max="29" width="9.125" style="4" customWidth="1"/>
    <col min="30" max="16384" width="9.125" style="4"/>
  </cols>
  <sheetData>
    <row r="1" spans="1:27" ht="21.75" customHeight="1">
      <c r="A1" s="113" t="s">
        <v>86</v>
      </c>
      <c r="B1" s="113"/>
      <c r="C1" s="113"/>
      <c r="D1" s="113"/>
      <c r="E1" s="113"/>
      <c r="F1" s="113"/>
      <c r="G1" s="113"/>
      <c r="H1" s="113"/>
      <c r="I1" s="113"/>
      <c r="J1" s="113"/>
      <c r="K1" s="113"/>
      <c r="L1" s="113"/>
      <c r="M1" s="113"/>
      <c r="N1" s="113"/>
      <c r="O1" s="113"/>
      <c r="P1" s="113"/>
      <c r="Q1" s="113"/>
      <c r="R1" s="113"/>
      <c r="S1" s="113"/>
      <c r="W1" s="4">
        <f>IF(ISNA(VLOOKUP($D$3,Master!A$8:N$127,4,FALSE)),"",VLOOKUP($D$3,Master!A$8:AH$127,4,FALSE))</f>
        <v>3</v>
      </c>
      <c r="X1" s="4" t="str">
        <f>IF(ISNA(VLOOKUP($D$3,Master!A$8:N$127,6,FALSE)),"",VLOOKUP($D$3,Master!A$8:AH$127,6,FALSE))</f>
        <v>GPF</v>
      </c>
      <c r="Y1" s="4" t="s">
        <v>58</v>
      </c>
      <c r="Z1" s="4" t="s">
        <v>18</v>
      </c>
      <c r="AA1" s="4">
        <f>IF(ISNA(VLOOKUP($D$3,Master!A$8:N$127,7,FALSE)),"",VLOOKUP($D$3,Master!A$8:AH$127,7,FALSE))</f>
        <v>0</v>
      </c>
    </row>
    <row r="2" spans="1:27" ht="18">
      <c r="A2" s="114" t="str">
        <f>IF(AND(Master!C3=""),"",CONCATENATE("Office Of  ",Master!C3))</f>
        <v>Office Of  Mahatma Gandhi Government School (English Medium) BAR , Pali</v>
      </c>
      <c r="B2" s="114"/>
      <c r="C2" s="114"/>
      <c r="D2" s="114"/>
      <c r="E2" s="114"/>
      <c r="F2" s="114"/>
      <c r="G2" s="114"/>
      <c r="H2" s="114"/>
      <c r="I2" s="114"/>
      <c r="J2" s="114"/>
      <c r="K2" s="114"/>
      <c r="L2" s="114"/>
      <c r="M2" s="114"/>
      <c r="N2" s="114"/>
      <c r="O2" s="114"/>
      <c r="P2" s="114"/>
      <c r="Q2" s="114"/>
      <c r="R2" s="114"/>
      <c r="S2" s="114"/>
      <c r="X2" s="4">
        <f>IF(ISNA(VLOOKUP($D$3,Master!A$8:N$127,8,FALSE)),"",VLOOKUP($D$3,Master!A$8:AH$127,8,FALSE))</f>
        <v>44743</v>
      </c>
      <c r="Y2" s="4" t="s">
        <v>56</v>
      </c>
    </row>
    <row r="3" spans="1:27" ht="18.75">
      <c r="C3" s="62" t="s">
        <v>62</v>
      </c>
      <c r="D3" s="65">
        <v>5</v>
      </c>
      <c r="E3" s="116" t="s">
        <v>10</v>
      </c>
      <c r="F3" s="116"/>
      <c r="G3" s="116"/>
      <c r="H3" s="116"/>
      <c r="I3" s="116"/>
      <c r="J3" s="115" t="str">
        <f>IF(ISNA(VLOOKUP($D$3,Master!A$8:N$127,2,FALSE)),"",VLOOKUP($D$3,Master!A$8:AH$127,2,FALSE))</f>
        <v>HEERA LAL JAT</v>
      </c>
      <c r="K3" s="115"/>
      <c r="L3" s="115"/>
      <c r="M3" s="115"/>
      <c r="N3" s="115"/>
      <c r="O3" s="61" t="s">
        <v>31</v>
      </c>
      <c r="P3" s="115" t="str">
        <f>IF(ISNA(VLOOKUP($D$3,Master!A$8:N$127,3,FALSE)),"",VLOOKUP($D$3,Master!A$8:AH$127,3,FALSE))</f>
        <v>Sr. Teacher</v>
      </c>
      <c r="Q3" s="115"/>
      <c r="R3" s="115"/>
      <c r="S3" s="115"/>
    </row>
    <row r="4" spans="1:27" ht="15.75" customHeight="1">
      <c r="E4" s="19"/>
      <c r="F4" s="53"/>
      <c r="G4" s="22"/>
      <c r="H4" s="22"/>
      <c r="I4" s="22"/>
      <c r="J4" s="5"/>
      <c r="K4" s="5"/>
      <c r="L4" s="5"/>
      <c r="M4" s="5"/>
      <c r="N4" s="5"/>
      <c r="O4" s="6"/>
      <c r="P4" s="6"/>
    </row>
    <row r="5" spans="1:27" ht="24.75" customHeight="1">
      <c r="A5" s="110" t="s">
        <v>0</v>
      </c>
      <c r="B5" s="111" t="s">
        <v>3</v>
      </c>
      <c r="C5" s="112" t="s">
        <v>5</v>
      </c>
      <c r="D5" s="112"/>
      <c r="E5" s="112"/>
      <c r="F5" s="112"/>
      <c r="G5" s="112" t="s">
        <v>6</v>
      </c>
      <c r="H5" s="112"/>
      <c r="I5" s="112"/>
      <c r="J5" s="112"/>
      <c r="K5" s="112" t="s">
        <v>7</v>
      </c>
      <c r="L5" s="112"/>
      <c r="M5" s="112"/>
      <c r="N5" s="112"/>
      <c r="O5" s="97" t="s">
        <v>8</v>
      </c>
      <c r="P5" s="98"/>
      <c r="Q5" s="99"/>
      <c r="R5" s="105" t="s">
        <v>67</v>
      </c>
      <c r="S5" s="105" t="s">
        <v>50</v>
      </c>
    </row>
    <row r="6" spans="1:27" ht="69" customHeight="1">
      <c r="A6" s="110"/>
      <c r="B6" s="111"/>
      <c r="C6" s="55" t="s">
        <v>29</v>
      </c>
      <c r="D6" s="56" t="s">
        <v>1</v>
      </c>
      <c r="E6" s="57" t="s">
        <v>2</v>
      </c>
      <c r="F6" s="55" t="s">
        <v>59</v>
      </c>
      <c r="G6" s="55" t="s">
        <v>29</v>
      </c>
      <c r="H6" s="56" t="s">
        <v>1</v>
      </c>
      <c r="I6" s="57" t="s">
        <v>2</v>
      </c>
      <c r="J6" s="55" t="s">
        <v>60</v>
      </c>
      <c r="K6" s="55" t="s">
        <v>4</v>
      </c>
      <c r="L6" s="56" t="s">
        <v>1</v>
      </c>
      <c r="M6" s="57" t="s">
        <v>2</v>
      </c>
      <c r="N6" s="58" t="s">
        <v>61</v>
      </c>
      <c r="O6" s="54" t="str">
        <f>IF(X1="GPF","GPF ","GPF-2004 ")</f>
        <v xml:space="preserve">GPF </v>
      </c>
      <c r="P6" s="33" t="s">
        <v>51</v>
      </c>
      <c r="Q6" s="58" t="s">
        <v>66</v>
      </c>
      <c r="R6" s="105"/>
      <c r="S6" s="105"/>
    </row>
    <row r="7" spans="1:27" ht="18" customHeight="1">
      <c r="A7" s="7">
        <v>1</v>
      </c>
      <c r="B7" s="7">
        <v>2</v>
      </c>
      <c r="C7" s="7">
        <v>3</v>
      </c>
      <c r="D7" s="7">
        <v>4</v>
      </c>
      <c r="E7" s="7">
        <v>5</v>
      </c>
      <c r="F7" s="7">
        <v>6</v>
      </c>
      <c r="G7" s="7">
        <v>7</v>
      </c>
      <c r="H7" s="7">
        <v>8</v>
      </c>
      <c r="I7" s="7">
        <v>9</v>
      </c>
      <c r="J7" s="7">
        <v>10</v>
      </c>
      <c r="K7" s="7">
        <v>11</v>
      </c>
      <c r="L7" s="7">
        <v>12</v>
      </c>
      <c r="M7" s="7">
        <v>13</v>
      </c>
      <c r="N7" s="7">
        <v>14</v>
      </c>
      <c r="O7" s="7">
        <v>15</v>
      </c>
      <c r="P7" s="7">
        <v>17</v>
      </c>
      <c r="Q7" s="7">
        <v>18</v>
      </c>
      <c r="R7" s="7">
        <v>19</v>
      </c>
      <c r="S7" s="7">
        <v>20</v>
      </c>
    </row>
    <row r="8" spans="1:27" ht="21" customHeight="1">
      <c r="A8" s="8">
        <v>1</v>
      </c>
      <c r="B8" s="23">
        <f>IF(AND($D$3=""),"",X8)</f>
        <v>44743</v>
      </c>
      <c r="C8" s="9">
        <f>IF(ISNA(VLOOKUP(D3,Master!A$8:N$127,5,FALSE)),"",VLOOKUP($D$3,Master!A$8:AH$127,5,FALSE))</f>
        <v>53900</v>
      </c>
      <c r="D8" s="9">
        <f>IF(AND(C8=""),"",IF(AND($D$3=""),"",ROUND(C8*Master!C$5%,0)))</f>
        <v>20482</v>
      </c>
      <c r="E8" s="9">
        <f>IF(AND(C8=""),"",IF(AND($D$3=""),"",ROUND(C8*Master!H$5%,0)))</f>
        <v>4851</v>
      </c>
      <c r="F8" s="9">
        <f t="shared" ref="F8:F13" si="0">IF(AND(C8=""),"",SUM(C8:E8))</f>
        <v>79233</v>
      </c>
      <c r="G8" s="9">
        <f>IF(ISNA(VLOOKUP($D$3,Master!A$8:N$127,5,FALSE)),"",VLOOKUP($D$3,Master!A$8:AH$127,5,FALSE))</f>
        <v>53900</v>
      </c>
      <c r="H8" s="9">
        <f>IF(AND(G8=""),"",IF(AND($D$3=""),"",ROUND(G8*Master!C$4%,0)))</f>
        <v>18326</v>
      </c>
      <c r="I8" s="9">
        <f>IF(AND(G8=""),"",IF(AND($D$3=""),"",ROUND(G8*Master!H$4%,0)))</f>
        <v>4851</v>
      </c>
      <c r="J8" s="9">
        <f t="shared" ref="J8:J13" si="1">IF(AND(C8=""),"",SUM(G8:I8))</f>
        <v>77077</v>
      </c>
      <c r="K8" s="9">
        <f t="shared" ref="K8:N13" si="2">IF(AND(C8=""),"",IF(AND(G8=""),"",C8-G8))</f>
        <v>0</v>
      </c>
      <c r="L8" s="9">
        <f t="shared" si="2"/>
        <v>2156</v>
      </c>
      <c r="M8" s="9">
        <f t="shared" si="2"/>
        <v>0</v>
      </c>
      <c r="N8" s="9">
        <f t="shared" si="2"/>
        <v>2156</v>
      </c>
      <c r="O8" s="9">
        <f>IF(AND(C8=""),"",IF(AND(B8=X8),N8-P8,"0"))</f>
        <v>2156</v>
      </c>
      <c r="P8" s="9">
        <f t="shared" ref="P8:P13" si="3">IF(AND($D$3=""),"",IF(AND(N8=""),"",ROUND(N8*AA$1%,0)))</f>
        <v>0</v>
      </c>
      <c r="Q8" s="9">
        <f>IF(AND($D$3=""),"",IF(AND(C8=""),"",IF(AND(O8=""),"",SUM(O8,P8))))</f>
        <v>2156</v>
      </c>
      <c r="R8" s="9">
        <f>IF(AND(N8=""),"",IF(AND(Q8=""),"",N8-Q8))</f>
        <v>0</v>
      </c>
      <c r="S8" s="20"/>
      <c r="X8" s="23">
        <f>IF(ISNA(VLOOKUP($D$3,Master!A$8:N$127,8,FALSE)),"",VLOOKUP($D$3,Master!A$8:AH$127,8,FALSE))</f>
        <v>44743</v>
      </c>
    </row>
    <row r="9" spans="1:27" ht="21" customHeight="1">
      <c r="A9" s="8">
        <v>2</v>
      </c>
      <c r="B9" s="23">
        <f>IF(AND($D$3=""),"",IF(AND(Arrear!W$1&lt;2),"",X9))</f>
        <v>44774</v>
      </c>
      <c r="C9" s="9">
        <f>IF(AND($D$3=""),"",IF(AND(Arrear!W$1&lt;2),"",Arrear!C8))</f>
        <v>53900</v>
      </c>
      <c r="D9" s="9">
        <f>IF(AND(C9=""),"",IF(AND($D$3=""),"",ROUND(C9*Master!C$5%,0)))</f>
        <v>20482</v>
      </c>
      <c r="E9" s="9">
        <f>IF(AND(C9=""),"",IF(AND($D$3=""),"",ROUND(C9*Master!H$5%,0)))</f>
        <v>4851</v>
      </c>
      <c r="F9" s="9">
        <f t="shared" si="0"/>
        <v>79233</v>
      </c>
      <c r="G9" s="9">
        <f>IF(AND($D$3=""),"",IF(AND(Arrear!W$1&lt;2),"",Arrear!C9))</f>
        <v>53900</v>
      </c>
      <c r="H9" s="9">
        <f>IF(AND(G9=""),"",IF(AND($D$3=""),"",ROUND(G9*Master!C$4%,0)))</f>
        <v>18326</v>
      </c>
      <c r="I9" s="9">
        <f>IF(AND(G9=""),"",IF(AND($D$3=""),"",ROUND(G9*Master!H$4%,0)))</f>
        <v>4851</v>
      </c>
      <c r="J9" s="9">
        <f t="shared" si="1"/>
        <v>77077</v>
      </c>
      <c r="K9" s="9">
        <f t="shared" si="2"/>
        <v>0</v>
      </c>
      <c r="L9" s="9">
        <f t="shared" si="2"/>
        <v>2156</v>
      </c>
      <c r="M9" s="9">
        <f t="shared" si="2"/>
        <v>0</v>
      </c>
      <c r="N9" s="9">
        <f t="shared" si="2"/>
        <v>2156</v>
      </c>
      <c r="O9" s="9">
        <f t="shared" ref="O9:O10" si="4">IF(AND(C9=""),"",IF(AND(B9=X9),N9-P9,"0"))</f>
        <v>2156</v>
      </c>
      <c r="P9" s="9">
        <f t="shared" si="3"/>
        <v>0</v>
      </c>
      <c r="Q9" s="9">
        <f t="shared" ref="Q9:Q13" si="5">IF(AND($D$3=""),"",IF(AND(C9=""),"",IF(AND(O9=""),"",SUM(O9,P9))))</f>
        <v>2156</v>
      </c>
      <c r="R9" s="9">
        <f t="shared" ref="R9:R13" si="6">IF(AND(N9=""),"",IF(AND(Q9=""),"",N9-Q9))</f>
        <v>0</v>
      </c>
      <c r="S9" s="20"/>
      <c r="X9" s="23">
        <f>DATE(YEAR(X8),MONTH(X8)+1,DAY(X8))</f>
        <v>44774</v>
      </c>
    </row>
    <row r="10" spans="1:27" ht="21" customHeight="1">
      <c r="A10" s="8">
        <v>3</v>
      </c>
      <c r="B10" s="23">
        <f>IF(AND($D$3=""),"",IF(AND(Arrear!W$1&lt;3),"",X10))</f>
        <v>44805</v>
      </c>
      <c r="C10" s="9">
        <f>IF(AND($D$3=""),"",IF(AND(Arrear!W$1&lt;3),"",Arrear!C9))</f>
        <v>53900</v>
      </c>
      <c r="D10" s="9">
        <f>IF(AND(C10=""),"",IF(AND($D$3=""),"",ROUND(C10*Master!C$5%,0)))</f>
        <v>20482</v>
      </c>
      <c r="E10" s="9">
        <f>IF(AND(C10=""),"",IF(AND($D$3=""),"",ROUND(C10*Master!H$5%,0)))</f>
        <v>4851</v>
      </c>
      <c r="F10" s="9">
        <f t="shared" si="0"/>
        <v>79233</v>
      </c>
      <c r="G10" s="9">
        <f>IF(AND($D$3=""),"",IF(AND(Arrear!W$1&lt;3),"",Arrear!C10))</f>
        <v>53900</v>
      </c>
      <c r="H10" s="9">
        <f>IF(AND(G10=""),"",IF(AND($D$3=""),"",ROUND(G10*Master!C$4%,0)))</f>
        <v>18326</v>
      </c>
      <c r="I10" s="9">
        <f>IF(AND(G10=""),"",IF(AND($D$3=""),"",ROUND(G10*Master!H$4%,0)))</f>
        <v>4851</v>
      </c>
      <c r="J10" s="9">
        <f t="shared" si="1"/>
        <v>77077</v>
      </c>
      <c r="K10" s="9">
        <f t="shared" si="2"/>
        <v>0</v>
      </c>
      <c r="L10" s="9">
        <f t="shared" si="2"/>
        <v>2156</v>
      </c>
      <c r="M10" s="9">
        <f t="shared" si="2"/>
        <v>0</v>
      </c>
      <c r="N10" s="9">
        <f t="shared" si="2"/>
        <v>2156</v>
      </c>
      <c r="O10" s="9">
        <f t="shared" si="4"/>
        <v>2156</v>
      </c>
      <c r="P10" s="9">
        <f t="shared" si="3"/>
        <v>0</v>
      </c>
      <c r="Q10" s="9">
        <f t="shared" si="5"/>
        <v>2156</v>
      </c>
      <c r="R10" s="9">
        <f t="shared" si="6"/>
        <v>0</v>
      </c>
      <c r="S10" s="20"/>
      <c r="X10" s="23">
        <f t="shared" ref="X10:X14" si="7">DATE(YEAR(X9),MONTH(X9)+1,DAY(X9))</f>
        <v>44805</v>
      </c>
    </row>
    <row r="11" spans="1:27" ht="21" customHeight="1">
      <c r="A11" s="8">
        <v>4</v>
      </c>
      <c r="B11" s="23" t="str">
        <f>IF(AND($D$3=""),"",IF(AND(Arrear!W$1&lt;4),"",X11))</f>
        <v/>
      </c>
      <c r="C11" s="9" t="str">
        <f>IF(AND($D$3=""),"",IF(AND(Arrear!W$1&lt;4),"",Arrear!C10))</f>
        <v/>
      </c>
      <c r="D11" s="9" t="str">
        <f>IF(AND(C11=""),"",IF(AND($D$3=""),"",ROUND(C11*Master!C$5%,0)))</f>
        <v/>
      </c>
      <c r="E11" s="9" t="str">
        <f>IF(AND(C11=""),"",IF(AND($D$3=""),"",ROUND(C11*Master!H$5%,0)))</f>
        <v/>
      </c>
      <c r="F11" s="9" t="str">
        <f t="shared" si="0"/>
        <v/>
      </c>
      <c r="G11" s="9" t="str">
        <f>IF(AND($D$3=""),"",IF(AND(Arrear!W$1&lt;4),"",Arrear!C11))</f>
        <v/>
      </c>
      <c r="H11" s="9" t="str">
        <f>IF(AND(G11=""),"",IF(AND($D$3=""),"",ROUND(G11*Master!C$4%,0)))</f>
        <v/>
      </c>
      <c r="I11" s="9" t="str">
        <f>IF(AND(G11=""),"",IF(AND($D$3=""),"",ROUND(G11*Master!H$4%,0)))</f>
        <v/>
      </c>
      <c r="J11" s="9" t="str">
        <f t="shared" si="1"/>
        <v/>
      </c>
      <c r="K11" s="9" t="str">
        <f t="shared" si="2"/>
        <v/>
      </c>
      <c r="L11" s="9" t="str">
        <f t="shared" si="2"/>
        <v/>
      </c>
      <c r="M11" s="9" t="str">
        <f t="shared" si="2"/>
        <v/>
      </c>
      <c r="N11" s="9" t="str">
        <f t="shared" si="2"/>
        <v/>
      </c>
      <c r="O11" s="9" t="str">
        <f>IF(AND(C11=""),"",IF(AND(B11=X11),"0",""))</f>
        <v/>
      </c>
      <c r="P11" s="9" t="str">
        <f t="shared" si="3"/>
        <v/>
      </c>
      <c r="Q11" s="9" t="str">
        <f t="shared" si="5"/>
        <v/>
      </c>
      <c r="R11" s="9" t="str">
        <f t="shared" si="6"/>
        <v/>
      </c>
      <c r="S11" s="20"/>
      <c r="X11" s="23">
        <f t="shared" si="7"/>
        <v>44835</v>
      </c>
    </row>
    <row r="12" spans="1:27" ht="21" customHeight="1">
      <c r="A12" s="8">
        <v>5</v>
      </c>
      <c r="B12" s="23" t="str">
        <f>IF(AND($D$3=""),"",IF(AND(Arrear!W$1&lt;5),"",X12))</f>
        <v/>
      </c>
      <c r="C12" s="9" t="str">
        <f>IF(AND($D$3=""),"",IF(AND(Arrear!W$1&lt;5),"",Arrear!C11))</f>
        <v/>
      </c>
      <c r="D12" s="9" t="str">
        <f>IF(AND(C12=""),"",IF(AND($D$3=""),"",ROUND(C12*Master!C$5%,0)))</f>
        <v/>
      </c>
      <c r="E12" s="9" t="str">
        <f>IF(AND(C12=""),"",IF(AND($D$3=""),"",ROUND(C12*Master!H$5%,0)))</f>
        <v/>
      </c>
      <c r="F12" s="9" t="str">
        <f t="shared" si="0"/>
        <v/>
      </c>
      <c r="G12" s="9" t="str">
        <f>IF(AND($D$3=""),"",IF(AND(Arrear!W$1&lt;5),"",Arrear!C12))</f>
        <v/>
      </c>
      <c r="H12" s="9" t="str">
        <f>IF(AND(G12=""),"",IF(AND($D$3=""),"",ROUND(G12*Master!C$4%,0)))</f>
        <v/>
      </c>
      <c r="I12" s="9" t="str">
        <f>IF(AND(G12=""),"",IF(AND($D$3=""),"",ROUND(G12*Master!H$4%,0)))</f>
        <v/>
      </c>
      <c r="J12" s="9" t="str">
        <f t="shared" si="1"/>
        <v/>
      </c>
      <c r="K12" s="9" t="str">
        <f t="shared" si="2"/>
        <v/>
      </c>
      <c r="L12" s="9" t="str">
        <f t="shared" si="2"/>
        <v/>
      </c>
      <c r="M12" s="9" t="str">
        <f t="shared" si="2"/>
        <v/>
      </c>
      <c r="N12" s="9" t="str">
        <f t="shared" si="2"/>
        <v/>
      </c>
      <c r="O12" s="9" t="str">
        <f t="shared" ref="O12" si="8">IF(AND(C12=""),"",IF(AND(B12=X12),"0",""))</f>
        <v/>
      </c>
      <c r="P12" s="9" t="str">
        <f t="shared" si="3"/>
        <v/>
      </c>
      <c r="Q12" s="9" t="str">
        <f t="shared" si="5"/>
        <v/>
      </c>
      <c r="R12" s="9" t="str">
        <f t="shared" si="6"/>
        <v/>
      </c>
      <c r="S12" s="20"/>
      <c r="X12" s="23">
        <f t="shared" si="7"/>
        <v>44866</v>
      </c>
    </row>
    <row r="13" spans="1:27" ht="21" customHeight="1">
      <c r="A13" s="8">
        <v>6</v>
      </c>
      <c r="B13" s="23" t="str">
        <f>IF(AND($D$3=""),"",IF(AND(Arrear!W$1&lt;6),"",X13))</f>
        <v/>
      </c>
      <c r="C13" s="9" t="str">
        <f>IF(AND($D$3=""),"",IF(AND(Arrear!W$1&lt;6),"",Arrear!C12))</f>
        <v/>
      </c>
      <c r="D13" s="9" t="str">
        <f>IF(AND(C13=""),"",IF(AND($D$3=""),"",ROUND(C13*Master!C$5%,0)))</f>
        <v/>
      </c>
      <c r="E13" s="9" t="str">
        <f>IF(AND(C13=""),"",IF(AND($D$3=""),"",ROUND(C13*Master!H$5%,0)))</f>
        <v/>
      </c>
      <c r="F13" s="9" t="str">
        <f t="shared" si="0"/>
        <v/>
      </c>
      <c r="G13" s="9" t="str">
        <f>IF(AND($D$3=""),"",IF(AND(Arrear!W$1&lt;6),"",Arrear!C13))</f>
        <v/>
      </c>
      <c r="H13" s="9" t="str">
        <f>IF(AND(G13=""),"",IF(AND($D$3=""),"",ROUND(G13*Master!C$4%,0)))</f>
        <v/>
      </c>
      <c r="I13" s="9" t="str">
        <f>IF(AND(G13=""),"",IF(AND($D$3=""),"",ROUND(G13*Master!H$4%,0)))</f>
        <v/>
      </c>
      <c r="J13" s="9" t="str">
        <f t="shared" si="1"/>
        <v/>
      </c>
      <c r="K13" s="9" t="str">
        <f t="shared" si="2"/>
        <v/>
      </c>
      <c r="L13" s="9" t="str">
        <f t="shared" si="2"/>
        <v/>
      </c>
      <c r="M13" s="9" t="str">
        <f t="shared" si="2"/>
        <v/>
      </c>
      <c r="N13" s="9" t="str">
        <f t="shared" si="2"/>
        <v/>
      </c>
      <c r="O13" s="9" t="str">
        <f>IF(AND(C13=""),"",IF(AND(B13=X13),"0",""))</f>
        <v/>
      </c>
      <c r="P13" s="9" t="str">
        <f t="shared" si="3"/>
        <v/>
      </c>
      <c r="Q13" s="9" t="str">
        <f t="shared" si="5"/>
        <v/>
      </c>
      <c r="R13" s="9" t="str">
        <f t="shared" si="6"/>
        <v/>
      </c>
      <c r="S13" s="20"/>
      <c r="X13" s="23">
        <f t="shared" si="7"/>
        <v>44896</v>
      </c>
    </row>
    <row r="14" spans="1:27" ht="30.75" customHeight="1">
      <c r="A14" s="108" t="s">
        <v>9</v>
      </c>
      <c r="B14" s="109"/>
      <c r="C14" s="64">
        <f>IF(AND($D$3=""),"",SUM(C8:C13))</f>
        <v>161700</v>
      </c>
      <c r="D14" s="64">
        <f t="shared" ref="D14:R14" si="9">IF(AND($D$3=""),"",SUM(D8:D13))</f>
        <v>61446</v>
      </c>
      <c r="E14" s="64">
        <f t="shared" si="9"/>
        <v>14553</v>
      </c>
      <c r="F14" s="64">
        <f t="shared" si="9"/>
        <v>237699</v>
      </c>
      <c r="G14" s="64">
        <f t="shared" si="9"/>
        <v>161700</v>
      </c>
      <c r="H14" s="64">
        <f t="shared" si="9"/>
        <v>54978</v>
      </c>
      <c r="I14" s="64">
        <f t="shared" si="9"/>
        <v>14553</v>
      </c>
      <c r="J14" s="64">
        <f t="shared" si="9"/>
        <v>231231</v>
      </c>
      <c r="K14" s="64">
        <f t="shared" si="9"/>
        <v>0</v>
      </c>
      <c r="L14" s="64">
        <f t="shared" si="9"/>
        <v>6468</v>
      </c>
      <c r="M14" s="64">
        <f t="shared" si="9"/>
        <v>0</v>
      </c>
      <c r="N14" s="64">
        <f t="shared" si="9"/>
        <v>6468</v>
      </c>
      <c r="O14" s="64">
        <f t="shared" si="9"/>
        <v>6468</v>
      </c>
      <c r="P14" s="64">
        <f t="shared" si="9"/>
        <v>0</v>
      </c>
      <c r="Q14" s="64">
        <f t="shared" si="9"/>
        <v>6468</v>
      </c>
      <c r="R14" s="64">
        <f t="shared" si="9"/>
        <v>0</v>
      </c>
      <c r="S14" s="50"/>
      <c r="X14" s="23">
        <f t="shared" si="7"/>
        <v>44927</v>
      </c>
    </row>
    <row r="15" spans="1:27" ht="25.5" customHeight="1">
      <c r="A15" s="21"/>
      <c r="B15" s="10"/>
      <c r="C15" s="104" t="str">
        <f>IF(X1="GPF","Amount in Words Deposite in GPF  :-","Amount in Words Deposite in GPF-2004  :-")</f>
        <v>Amount in Words Deposite in GPF  :-</v>
      </c>
      <c r="D15" s="104"/>
      <c r="E15" s="104"/>
      <c r="F15" s="104"/>
      <c r="G15" s="104"/>
      <c r="H15" s="104"/>
      <c r="I15" s="104"/>
      <c r="J15" s="103" t="str">
        <f>IF(AND(D3=""),"",IF(AND(O14=0),"ZERO ONLY","( Rs. "&amp;LOOKUP(IF(INT(RIGHT(O14,7)/100000)&gt;19,INT(RIGHT(O14,7)/1000000),IF(INT(RIGHT(O14,7)/100000)&gt;=10,INT(RIGHT(O14,7)/100000),0)),{0,1,2,3,4,5,6,7,8,9,10,11,12,13,14,15,16,17,18,19},{""," TEN "," TWENTY "," THIRTY "," FOURTY "," FIFTY "," SIXTY "," SEVENTY "," EIGHTY "," NINETY "," TEN "," ELEVEN "," TWELVE "," THIRTEEN "," FOURTEEN "," FIFTEEN "," SIXTEEN"," SEVENTEEN"," EIGHTEEN "," NINETEEN "})&amp;IF((IF(INT(RIGHT(O14,7)/100000)&gt;19,INT(RIGHT(O14,7)/1000000),IF(INT(RIGHT(O14,7)/100000)&gt;=10,INT(RIGHT(O14,7)/100000),0))+IF(INT(RIGHT(O14,7)/100000)&gt;19,INT(RIGHT(O14,6)/100000),IF(INT(RIGHT(O14,7)/100000)&gt;10,0,INT(RIGHT(O14,6)/100000))))&gt;0,LOOKUP(IF(INT(RIGHT(O14,7)/100000)&gt;19,INT(RIGHT(O14,6)/100000),IF(INT(RIGHT(O14,7)/100000)&gt;10,0,INT(RIGHT(O14,6)/100000))),{0,1,2,3,4,5,6,7,8,9,10,11,12,13,14,15,16,17,18,19},{""," ONE "," TWO "," THREE "," FOUR "," FIVE "," SIX "," SEVEN "," EIGHT "," NINE "," TEN "," ELEVEN "," TWELVE "," THIRTEEN "," FOURTEEN "," FIFTEEN "," SIXTEEN"," SEVENTEEN"," EIGHTEEN "," NINETEEN "})&amp;" Lac. "," ")&amp;LOOKUP(IF(INT(RIGHT(O14,5)/1000)&gt;19,INT(RIGHT(O14,5)/10000),IF(INT(RIGHT(O14,5)/1000)&gt;=10,INT(RIGHT(O14,5)/1000),0)),{0,1,2,3,4,5,6,7,8,9,10,11,12,13,14,15,16,17,18,19},{""," TEN "," TWENTY "," THIRTY "," FOURTY "," FIFTY "," SIXTY "," SEVENTY "," EIGHTY "," NINETY "," TEN "," ELEVEN "," TWELVE "," THIRTEEN "," FOURTEEN "," FIFTEEN "," SIXTEEN"," SEVENTEEN"," EIGHTEEN "," NINETEEN "})&amp;IF((IF(INT(RIGHT(O14,5)/1000)&gt;19,INT(RIGHT(O14,4)/1000),IF(INT(RIGHT(O14,5)/1000)&gt;10,0,INT(RIGHT(O14,4)/1000)))+IF(INT(RIGHT(O14,5)/1000)&gt;19,INT(RIGHT(O14,5)/10000),IF(INT(RIGHT(O14,5)/1000)&gt;=10,INT(RIGHT(O14,5)/1000),0)))&gt;0,LOOKUP(IF(INT(RIGHT(O14,5)/1000)&gt;19,INT(RIGHT(O14,4)/1000),IF(INT(RIGHT(O14,5)/1000)&gt;10,0,INT(RIGHT(O14,4)/1000))),{0,1,2,3,4,5,6,7,8,9,10,11,12,13,14,15,16,17,18,19},{""," ONE "," TWO "," THREE "," FOUR "," FIVE "," SIX "," SEVEN "," EIGHT "," NINE "," TEN "," ELEVEN "," TWELVE "," THIRTEEN "," FOURTEEN "," FIFTEEN "," SIXTEEN"," SEVENTEEN"," EIGHTEEN "," NINETEEN "})&amp;" THOUSAND "," ")&amp;IF((INT((RIGHT(O14,3))/100))&gt;0,LOOKUP(INT((RIGHT(O14,3))/100),{0,1,2,3,4,5,6,7,8,9,10,11,12,13,14,15,16,17,18,19},{""," ONE "," TWO "," THREE "," FOUR "," FIVE "," SIX "," SEVEN "," EIGHT "," NINE "," TEN "," ELEVEN "," TWELVE "," THIRTEEN "," FOURTEEN "," FIFTEEN "," SIXTEEN"," SEVENTEEN"," EIGHTEEN "," NINETEEN "})&amp;" HUNDRED "," ")&amp;LOOKUP(IF(INT(RIGHT(O14,2))&gt;19,INT(RIGHT(O14,2)/10),IF(INT(RIGHT(O14,2))&gt;=10,INT(RIGHT(O14,2)),0)),{0,1,2,3,4,5,6,7,8,9,10,11,12,13,14,15,16,17,18,19},{""," TEN "," TWENTY "," THIRTY "," FOURTY "," FIFTY "," SIXTY "," SEVENTY "," EIGHTY "," NINETY "," TEN "," ELEVEN "," TWELVE "," THIRTEEN "," FOURTEEN "," FIFTEEN "," SIXTEEN"," SEVENTEEN"," EIGHTEEN "," NINETEEN "})&amp;LOOKUP(IF(INT(RIGHT(O14,2))&lt;10,INT(RIGHT(O14,1)),IF(INT(RIGHT(O14,2))&lt;20,0,INT(RIGHT(O14,1)))),{0,1,2,3,4,5,6,7,8,9,10,11,12,13,14,15,16,17,18,19},{""," ONE "," TWO "," THREE "," FOUR "," FIVE "," SIX "," SEVEN "," EIGHT "," NINE "," TEN "," ELEVEN "," TWELVE "," THIRTEEN "," FOURTEEN "," FIFTEEN "," SIXTEEN"," SEVENTEEN"," EIGHTEEN "," NINETEEN "})&amp;" Only)"))</f>
        <v>( Rs.   SIX  THOUSAND  FOUR  HUNDRED  SIXTY  EIGHT  Only)</v>
      </c>
      <c r="K15" s="103"/>
      <c r="L15" s="103"/>
      <c r="M15" s="103"/>
      <c r="N15" s="103"/>
      <c r="O15" s="103"/>
      <c r="P15" s="103"/>
      <c r="Q15" s="103"/>
      <c r="R15" s="103"/>
      <c r="S15" s="103"/>
    </row>
    <row r="16" spans="1:27" ht="10.5" customHeight="1">
      <c r="A16" s="21"/>
      <c r="B16" s="10"/>
      <c r="C16" s="11"/>
      <c r="D16" s="11"/>
      <c r="E16" s="51"/>
      <c r="F16" s="51"/>
      <c r="G16" s="51"/>
      <c r="H16" s="51"/>
      <c r="I16" s="51"/>
      <c r="J16" s="52"/>
      <c r="K16" s="52"/>
      <c r="L16" s="52"/>
      <c r="M16" s="52"/>
      <c r="N16" s="52"/>
      <c r="O16" s="52"/>
      <c r="P16" s="52"/>
      <c r="Q16" s="52"/>
      <c r="R16" s="52"/>
      <c r="S16" s="52"/>
    </row>
    <row r="17" spans="1:19" ht="20.25" customHeight="1">
      <c r="A17" s="21"/>
      <c r="B17" s="102" t="s">
        <v>5</v>
      </c>
      <c r="C17" s="102"/>
      <c r="D17" s="102"/>
      <c r="E17" s="102" t="s">
        <v>6</v>
      </c>
      <c r="F17" s="102"/>
      <c r="G17" s="102"/>
      <c r="H17" s="102" t="s">
        <v>7</v>
      </c>
      <c r="I17" s="102"/>
      <c r="J17" s="102"/>
      <c r="K17" s="100" t="s">
        <v>84</v>
      </c>
      <c r="L17" s="100"/>
      <c r="M17" s="101" t="s">
        <v>68</v>
      </c>
      <c r="N17" s="101"/>
      <c r="O17" s="32"/>
      <c r="P17" s="32"/>
      <c r="Q17" s="32"/>
      <c r="R17" s="32"/>
      <c r="S17" s="11"/>
    </row>
    <row r="18" spans="1:19" ht="18.75">
      <c r="A18" s="21"/>
      <c r="B18" s="71" t="s">
        <v>65</v>
      </c>
      <c r="C18" s="72" t="s">
        <v>63</v>
      </c>
      <c r="D18" s="71" t="s">
        <v>64</v>
      </c>
      <c r="E18" s="71" t="s">
        <v>65</v>
      </c>
      <c r="F18" s="72" t="s">
        <v>63</v>
      </c>
      <c r="G18" s="71" t="s">
        <v>64</v>
      </c>
      <c r="H18" s="71" t="s">
        <v>65</v>
      </c>
      <c r="I18" s="72" t="s">
        <v>63</v>
      </c>
      <c r="J18" s="71" t="s">
        <v>64</v>
      </c>
      <c r="K18" s="100"/>
      <c r="L18" s="100"/>
      <c r="M18" s="101"/>
      <c r="N18" s="101"/>
      <c r="O18" s="32"/>
      <c r="P18" s="32"/>
      <c r="Q18" s="32"/>
      <c r="R18" s="32"/>
      <c r="S18" s="11"/>
    </row>
    <row r="19" spans="1:19" ht="18.75">
      <c r="A19" s="21"/>
      <c r="B19" s="63">
        <f>C14</f>
        <v>161700</v>
      </c>
      <c r="C19" s="63">
        <f t="shared" ref="C19:D19" si="10">D14</f>
        <v>61446</v>
      </c>
      <c r="D19" s="63">
        <f t="shared" si="10"/>
        <v>14553</v>
      </c>
      <c r="E19" s="63">
        <f>G14</f>
        <v>161700</v>
      </c>
      <c r="F19" s="63">
        <f t="shared" ref="F19:G19" si="11">H14</f>
        <v>54978</v>
      </c>
      <c r="G19" s="63">
        <f t="shared" si="11"/>
        <v>14553</v>
      </c>
      <c r="H19" s="66">
        <f>B19-E19</f>
        <v>0</v>
      </c>
      <c r="I19" s="66">
        <f t="shared" ref="I19:J19" si="12">C19-F19</f>
        <v>6468</v>
      </c>
      <c r="J19" s="66">
        <f t="shared" si="12"/>
        <v>0</v>
      </c>
      <c r="K19" s="106">
        <f>O14</f>
        <v>6468</v>
      </c>
      <c r="L19" s="106"/>
      <c r="M19" s="106">
        <f>R14</f>
        <v>0</v>
      </c>
      <c r="N19" s="106"/>
      <c r="O19" s="32"/>
      <c r="P19" s="32"/>
      <c r="Q19" s="32"/>
      <c r="R19" s="32"/>
      <c r="S19" s="11"/>
    </row>
    <row r="20" spans="1:19" ht="18.75">
      <c r="A20" s="21"/>
      <c r="B20" s="59"/>
      <c r="C20" s="59"/>
      <c r="D20" s="59"/>
      <c r="E20" s="59"/>
      <c r="F20" s="59"/>
      <c r="G20" s="59"/>
      <c r="H20" s="60"/>
      <c r="I20" s="60"/>
      <c r="J20" s="60"/>
      <c r="K20" s="34"/>
      <c r="L20" s="34"/>
      <c r="M20" s="34"/>
      <c r="N20" s="34"/>
      <c r="O20" s="107" t="s">
        <v>55</v>
      </c>
      <c r="P20" s="107"/>
      <c r="Q20" s="107"/>
      <c r="R20" s="107"/>
      <c r="S20" s="107"/>
    </row>
    <row r="21" spans="1:19" ht="18.75">
      <c r="A21" s="1"/>
      <c r="B21" s="24" t="s">
        <v>19</v>
      </c>
      <c r="C21" s="118"/>
      <c r="D21" s="118"/>
      <c r="E21" s="118"/>
      <c r="F21" s="118"/>
      <c r="G21" s="118"/>
      <c r="H21" s="25"/>
      <c r="I21" s="121" t="s">
        <v>20</v>
      </c>
      <c r="J21" s="121"/>
      <c r="K21" s="120"/>
      <c r="L21" s="120"/>
      <c r="M21" s="120"/>
      <c r="O21" s="107"/>
      <c r="P21" s="107"/>
      <c r="Q21" s="107"/>
      <c r="R21" s="107"/>
      <c r="S21" s="107"/>
    </row>
    <row r="22" spans="1:19" ht="18.75">
      <c r="A22" s="1"/>
      <c r="B22" s="119" t="s">
        <v>21</v>
      </c>
      <c r="C22" s="119"/>
      <c r="D22" s="119"/>
      <c r="E22" s="119"/>
      <c r="F22" s="119"/>
      <c r="G22" s="119"/>
      <c r="H22" s="119"/>
      <c r="I22" s="27"/>
      <c r="J22" s="26"/>
      <c r="K22" s="26"/>
      <c r="L22" s="26"/>
      <c r="M22" s="26"/>
    </row>
    <row r="23" spans="1:19" ht="18.75">
      <c r="A23" s="22">
        <v>1</v>
      </c>
      <c r="B23" s="117" t="s">
        <v>22</v>
      </c>
      <c r="C23" s="117"/>
      <c r="D23" s="117"/>
      <c r="E23" s="117"/>
      <c r="F23" s="117"/>
      <c r="G23" s="117"/>
      <c r="H23" s="117"/>
      <c r="I23" s="28"/>
      <c r="J23" s="26"/>
      <c r="K23" s="26"/>
      <c r="L23" s="26"/>
      <c r="M23" s="26"/>
    </row>
    <row r="24" spans="1:19" ht="18.75">
      <c r="A24" s="2">
        <v>2</v>
      </c>
      <c r="B24" s="117" t="s">
        <v>23</v>
      </c>
      <c r="C24" s="117"/>
      <c r="D24" s="117"/>
      <c r="E24" s="117"/>
      <c r="F24" s="117"/>
      <c r="G24" s="115" t="str">
        <f>IF(AND(D3=""),"",CONCATENATE(J3,",","  ",P3))</f>
        <v>HEERA LAL JAT,  Sr. Teacher</v>
      </c>
      <c r="H24" s="115"/>
      <c r="I24" s="115"/>
      <c r="J24" s="115"/>
      <c r="K24" s="115"/>
      <c r="L24" s="115"/>
      <c r="M24" s="115"/>
    </row>
    <row r="25" spans="1:19" ht="18.75">
      <c r="A25" s="3">
        <v>3</v>
      </c>
      <c r="B25" s="117" t="s">
        <v>24</v>
      </c>
      <c r="C25" s="117"/>
      <c r="D25" s="117"/>
      <c r="E25" s="29"/>
      <c r="F25" s="28"/>
      <c r="G25" s="28"/>
      <c r="H25" s="30"/>
      <c r="I25" s="31"/>
      <c r="J25" s="26"/>
      <c r="K25" s="26"/>
      <c r="L25" s="26"/>
      <c r="M25" s="26"/>
    </row>
    <row r="26" spans="1:19" ht="15.75">
      <c r="O26" s="107" t="s">
        <v>55</v>
      </c>
      <c r="P26" s="107"/>
      <c r="Q26" s="107"/>
      <c r="R26" s="107"/>
      <c r="S26" s="107"/>
    </row>
  </sheetData>
  <sheetProtection password="C1FB" sheet="1" objects="1" scenarios="1" formatColumns="0" formatRows="0"/>
  <mergeCells count="34">
    <mergeCell ref="B25:D25"/>
    <mergeCell ref="O21:S21"/>
    <mergeCell ref="O26:S26"/>
    <mergeCell ref="C21:G21"/>
    <mergeCell ref="B22:H22"/>
    <mergeCell ref="K21:M21"/>
    <mergeCell ref="B24:F24"/>
    <mergeCell ref="I21:J21"/>
    <mergeCell ref="G24:M24"/>
    <mergeCell ref="B23:H23"/>
    <mergeCell ref="A1:S1"/>
    <mergeCell ref="A2:S2"/>
    <mergeCell ref="J3:N3"/>
    <mergeCell ref="P3:S3"/>
    <mergeCell ref="E3:I3"/>
    <mergeCell ref="K19:L19"/>
    <mergeCell ref="M19:N19"/>
    <mergeCell ref="O20:S20"/>
    <mergeCell ref="A14:B14"/>
    <mergeCell ref="A5:A6"/>
    <mergeCell ref="B5:B6"/>
    <mergeCell ref="K5:N5"/>
    <mergeCell ref="C5:F5"/>
    <mergeCell ref="G5:J5"/>
    <mergeCell ref="O5:Q5"/>
    <mergeCell ref="K17:L18"/>
    <mergeCell ref="M17:N18"/>
    <mergeCell ref="B17:D17"/>
    <mergeCell ref="E17:G17"/>
    <mergeCell ref="H17:J17"/>
    <mergeCell ref="J15:S15"/>
    <mergeCell ref="C15:I15"/>
    <mergeCell ref="R5:R6"/>
    <mergeCell ref="S5:S6"/>
  </mergeCells>
  <pageMargins left="0.7" right="0.3" top="0.3" bottom="0.3" header="0.3" footer="0.3"/>
  <pageSetup paperSize="9" scale="95" orientation="landscape" r:id="rId1"/>
</worksheet>
</file>

<file path=xl/worksheets/sheet3.xml><?xml version="1.0" encoding="utf-8"?>
<worksheet xmlns="http://schemas.openxmlformats.org/spreadsheetml/2006/main" xmlns:r="http://schemas.openxmlformats.org/officeDocument/2006/relationships">
  <dimension ref="A1:AB26"/>
  <sheetViews>
    <sheetView showGridLines="0" view="pageBreakPreview" topLeftCell="A4" zoomScaleSheetLayoutView="100" workbookViewId="0">
      <selection activeCell="I30" sqref="I30"/>
    </sheetView>
  </sheetViews>
  <sheetFormatPr defaultColWidth="9.125" defaultRowHeight="15"/>
  <cols>
    <col min="1" max="1" width="4.125" style="4" customWidth="1"/>
    <col min="2" max="2" width="7.875" style="4" customWidth="1"/>
    <col min="3" max="3" width="8" style="4" customWidth="1"/>
    <col min="4" max="5" width="6.75" style="4" customWidth="1"/>
    <col min="6" max="6" width="7.625" style="4" customWidth="1"/>
    <col min="7" max="7" width="7.75" style="4" customWidth="1"/>
    <col min="8" max="9" width="6.75" style="4" customWidth="1"/>
    <col min="10" max="10" width="7.25" style="4" customWidth="1"/>
    <col min="11" max="11" width="6.625" style="4" customWidth="1"/>
    <col min="12" max="12" width="6.75" style="4" customWidth="1"/>
    <col min="13" max="13" width="6.25" style="4" customWidth="1"/>
    <col min="14" max="14" width="6.75" style="4" customWidth="1"/>
    <col min="15" max="15" width="7.625" style="4" customWidth="1"/>
    <col min="16" max="16" width="7.125" style="4" customWidth="1"/>
    <col min="17" max="17" width="8.625" style="4" customWidth="1"/>
    <col min="18" max="18" width="10.375" style="4" customWidth="1"/>
    <col min="19" max="19" width="10.5" style="4" customWidth="1"/>
    <col min="20" max="22" width="9.125" style="4"/>
    <col min="23" max="28" width="9.125" style="4" hidden="1" customWidth="1"/>
    <col min="29" max="29" width="9.125" style="4" customWidth="1"/>
    <col min="30" max="16384" width="9.125" style="4"/>
  </cols>
  <sheetData>
    <row r="1" spans="1:27" ht="18" customHeight="1">
      <c r="A1" s="122" t="s">
        <v>86</v>
      </c>
      <c r="B1" s="122"/>
      <c r="C1" s="122"/>
      <c r="D1" s="122"/>
      <c r="E1" s="122"/>
      <c r="F1" s="122"/>
      <c r="G1" s="122"/>
      <c r="H1" s="122"/>
      <c r="I1" s="122"/>
      <c r="J1" s="122"/>
      <c r="K1" s="122"/>
      <c r="L1" s="122"/>
      <c r="M1" s="122"/>
      <c r="N1" s="122"/>
      <c r="O1" s="122"/>
      <c r="P1" s="122"/>
      <c r="Q1" s="122"/>
      <c r="R1" s="122"/>
      <c r="S1" s="122"/>
      <c r="W1" s="4">
        <f>IF(ISNA(VLOOKUP($D$3,Master!A$8:N$127,4,FALSE)),"",VLOOKUP($D$3,Master!A$8:AH$127,4,FALSE))</f>
        <v>3</v>
      </c>
      <c r="X1" s="4" t="str">
        <f>IF(ISNA(VLOOKUP($D$3,Master!A$8:N$127,6,FALSE)),"",VLOOKUP($D$3,Master!A$8:AH$127,6,FALSE))</f>
        <v>GPF-2004</v>
      </c>
      <c r="Y1" s="4" t="s">
        <v>58</v>
      </c>
      <c r="Z1" s="4" t="s">
        <v>18</v>
      </c>
      <c r="AA1" s="4">
        <f>IF(ISNA(VLOOKUP($D$3,Master!A$8:N$127,7,FALSE)),"",VLOOKUP($D$3,Master!A$8:AH$127,7,FALSE))</f>
        <v>0</v>
      </c>
    </row>
    <row r="2" spans="1:27" ht="18">
      <c r="A2" s="114" t="str">
        <f>IF(AND(Master!C3=""),"",CONCATENATE("Office Of  ",Master!C3))</f>
        <v>Office Of  Mahatma Gandhi Government School (English Medium) BAR , Pali</v>
      </c>
      <c r="B2" s="114"/>
      <c r="C2" s="114"/>
      <c r="D2" s="114"/>
      <c r="E2" s="114"/>
      <c r="F2" s="114"/>
      <c r="G2" s="114"/>
      <c r="H2" s="114"/>
      <c r="I2" s="114"/>
      <c r="J2" s="114"/>
      <c r="K2" s="114"/>
      <c r="L2" s="114"/>
      <c r="M2" s="114"/>
      <c r="N2" s="114"/>
      <c r="O2" s="114"/>
      <c r="P2" s="114"/>
      <c r="Q2" s="114"/>
      <c r="R2" s="114"/>
      <c r="S2" s="114"/>
      <c r="X2" s="4">
        <f>IF(ISNA(VLOOKUP($D$3,Master!A$8:N$127,8,FALSE)),"",VLOOKUP($D$3,Master!A$8:AH$127,8,FALSE))</f>
        <v>44743</v>
      </c>
      <c r="Y2" s="4" t="s">
        <v>56</v>
      </c>
    </row>
    <row r="3" spans="1:27" ht="18.75">
      <c r="C3" s="62" t="s">
        <v>62</v>
      </c>
      <c r="D3" s="65">
        <v>2</v>
      </c>
      <c r="E3" s="116" t="s">
        <v>10</v>
      </c>
      <c r="F3" s="116"/>
      <c r="G3" s="116"/>
      <c r="H3" s="116"/>
      <c r="I3" s="116"/>
      <c r="J3" s="115" t="str">
        <f>IF(ISNA(VLOOKUP($D$3,Master!A$8:N$127,2,FALSE)),"",VLOOKUP($D$3,Master!A$8:AH$127,2,FALSE))</f>
        <v>KALYAN SINGH</v>
      </c>
      <c r="K3" s="115"/>
      <c r="L3" s="115"/>
      <c r="M3" s="115"/>
      <c r="N3" s="115"/>
      <c r="O3" s="61" t="s">
        <v>31</v>
      </c>
      <c r="P3" s="115" t="str">
        <f>IF(ISNA(VLOOKUP($D$3,Master!A$8:N$127,3,FALSE)),"",VLOOKUP($D$3,Master!A$8:AH$127,3,FALSE))</f>
        <v>LECTURER</v>
      </c>
      <c r="Q3" s="115"/>
      <c r="R3" s="115"/>
      <c r="S3" s="115"/>
    </row>
    <row r="4" spans="1:27" ht="15.75" customHeight="1">
      <c r="E4" s="19"/>
      <c r="F4" s="53"/>
      <c r="G4" s="22"/>
      <c r="H4" s="22"/>
      <c r="I4" s="22"/>
      <c r="J4" s="5"/>
      <c r="K4" s="5"/>
      <c r="L4" s="5"/>
      <c r="M4" s="5"/>
      <c r="N4" s="5"/>
      <c r="O4" s="6"/>
      <c r="P4" s="6"/>
    </row>
    <row r="5" spans="1:27" ht="24.75" customHeight="1">
      <c r="A5" s="110" t="s">
        <v>0</v>
      </c>
      <c r="B5" s="111" t="s">
        <v>3</v>
      </c>
      <c r="C5" s="112" t="s">
        <v>5</v>
      </c>
      <c r="D5" s="112"/>
      <c r="E5" s="112"/>
      <c r="F5" s="112"/>
      <c r="G5" s="112" t="s">
        <v>6</v>
      </c>
      <c r="H5" s="112"/>
      <c r="I5" s="112"/>
      <c r="J5" s="112"/>
      <c r="K5" s="112" t="s">
        <v>7</v>
      </c>
      <c r="L5" s="112"/>
      <c r="M5" s="112"/>
      <c r="N5" s="112"/>
      <c r="O5" s="97" t="s">
        <v>8</v>
      </c>
      <c r="P5" s="98"/>
      <c r="Q5" s="99"/>
      <c r="R5" s="105" t="s">
        <v>67</v>
      </c>
      <c r="S5" s="105" t="s">
        <v>50</v>
      </c>
    </row>
    <row r="6" spans="1:27" ht="69" customHeight="1">
      <c r="A6" s="110"/>
      <c r="B6" s="111"/>
      <c r="C6" s="55" t="s">
        <v>29</v>
      </c>
      <c r="D6" s="56" t="s">
        <v>1</v>
      </c>
      <c r="E6" s="57" t="s">
        <v>2</v>
      </c>
      <c r="F6" s="55" t="s">
        <v>59</v>
      </c>
      <c r="G6" s="55" t="s">
        <v>29</v>
      </c>
      <c r="H6" s="56" t="s">
        <v>1</v>
      </c>
      <c r="I6" s="57" t="s">
        <v>2</v>
      </c>
      <c r="J6" s="55" t="s">
        <v>60</v>
      </c>
      <c r="K6" s="55" t="s">
        <v>4</v>
      </c>
      <c r="L6" s="56" t="s">
        <v>1</v>
      </c>
      <c r="M6" s="57" t="s">
        <v>2</v>
      </c>
      <c r="N6" s="58" t="s">
        <v>61</v>
      </c>
      <c r="O6" s="54" t="str">
        <f>IF(X1="GPF","GPF ","GPF-2004 ")</f>
        <v xml:space="preserve">GPF-2004 </v>
      </c>
      <c r="P6" s="67" t="s">
        <v>51</v>
      </c>
      <c r="Q6" s="58" t="s">
        <v>66</v>
      </c>
      <c r="R6" s="105"/>
      <c r="S6" s="105"/>
    </row>
    <row r="7" spans="1:27" ht="18" customHeight="1">
      <c r="A7" s="7">
        <v>1</v>
      </c>
      <c r="B7" s="7">
        <v>2</v>
      </c>
      <c r="C7" s="7">
        <v>3</v>
      </c>
      <c r="D7" s="7">
        <v>4</v>
      </c>
      <c r="E7" s="7">
        <v>5</v>
      </c>
      <c r="F7" s="7">
        <v>6</v>
      </c>
      <c r="G7" s="7">
        <v>7</v>
      </c>
      <c r="H7" s="7">
        <v>8</v>
      </c>
      <c r="I7" s="7">
        <v>9</v>
      </c>
      <c r="J7" s="7">
        <v>10</v>
      </c>
      <c r="K7" s="7">
        <v>11</v>
      </c>
      <c r="L7" s="7">
        <v>12</v>
      </c>
      <c r="M7" s="7">
        <v>13</v>
      </c>
      <c r="N7" s="7">
        <v>14</v>
      </c>
      <c r="O7" s="7">
        <v>15</v>
      </c>
      <c r="P7" s="7">
        <v>17</v>
      </c>
      <c r="Q7" s="7">
        <v>18</v>
      </c>
      <c r="R7" s="7">
        <v>19</v>
      </c>
      <c r="S7" s="7">
        <v>20</v>
      </c>
    </row>
    <row r="8" spans="1:27" ht="21" customHeight="1">
      <c r="A8" s="8">
        <v>1</v>
      </c>
      <c r="B8" s="23">
        <f>IF(AND($D$3=""),"",X8)</f>
        <v>44743</v>
      </c>
      <c r="C8" s="9">
        <f>IF(ISNA(VLOOKUP(D3,Master!A$8:N$127,5,FALSE)),"",VLOOKUP($D$3,Master!A$8:AH$127,5,FALSE))</f>
        <v>47000</v>
      </c>
      <c r="D8" s="9">
        <f>IF(AND(C8=""),"",IF(AND($D$3=""),"",ROUND(C8*Master!C$5%,0)))</f>
        <v>17860</v>
      </c>
      <c r="E8" s="9">
        <f>IF(AND(C8=""),"",IF(AND($D$3=""),"",ROUND(C8*Master!H$5%,0)))</f>
        <v>4230</v>
      </c>
      <c r="F8" s="9">
        <f t="shared" ref="F8:F13" si="0">IF(AND(C8=""),"",SUM(C8:E8))</f>
        <v>69090</v>
      </c>
      <c r="G8" s="9">
        <f>IF(ISNA(VLOOKUP($D$3,Master!A$8:N$127,5,FALSE)),"",VLOOKUP($D$3,Master!A$8:AH$127,5,FALSE))</f>
        <v>47000</v>
      </c>
      <c r="H8" s="9">
        <f>IF(AND(G8=""),"",IF(AND($D$3=""),"",ROUND(G8*Master!C$4%,0)))</f>
        <v>15980</v>
      </c>
      <c r="I8" s="9">
        <f>IF(AND(G8=""),"",IF(AND($D$3=""),"",ROUND(G8*Master!H$4%,0)))</f>
        <v>4230</v>
      </c>
      <c r="J8" s="9">
        <f t="shared" ref="J8:J13" si="1">IF(AND(C8=""),"",SUM(G8:I8))</f>
        <v>67210</v>
      </c>
      <c r="K8" s="9">
        <f t="shared" ref="K8:N13" si="2">IF(AND(C8=""),"",IF(AND(G8=""),"",C8-G8))</f>
        <v>0</v>
      </c>
      <c r="L8" s="9">
        <f t="shared" si="2"/>
        <v>1880</v>
      </c>
      <c r="M8" s="9">
        <f t="shared" si="2"/>
        <v>0</v>
      </c>
      <c r="N8" s="9">
        <f t="shared" si="2"/>
        <v>1880</v>
      </c>
      <c r="O8" s="9">
        <f>IF(AND(C8=""),"",IF(AND(B8=X8),N8-P8,"0"))</f>
        <v>1880</v>
      </c>
      <c r="P8" s="9">
        <f t="shared" ref="P8:P13" si="3">IF(AND($D$3=""),"",IF(AND(N8=""),"",ROUND(N8*AA$1%,0)))</f>
        <v>0</v>
      </c>
      <c r="Q8" s="9">
        <f>IF(AND($D$3=""),"",IF(AND(C8=""),"",IF(AND(O8=""),"",SUM(O8,P8))))</f>
        <v>1880</v>
      </c>
      <c r="R8" s="9">
        <f>IF(AND(N8=""),"",IF(AND(Q8=""),"",N8-Q8))</f>
        <v>0</v>
      </c>
      <c r="S8" s="20"/>
      <c r="X8" s="23">
        <f>IF(ISNA(VLOOKUP($D$3,Master!A$8:N$127,8,FALSE)),"",VLOOKUP($D$3,Master!A$8:AH$127,8,FALSE))</f>
        <v>44743</v>
      </c>
    </row>
    <row r="9" spans="1:27" ht="21" customHeight="1">
      <c r="A9" s="8">
        <v>2</v>
      </c>
      <c r="B9" s="23">
        <f>IF(AND($D$3=""),"",IF(AND(Arrear!W$1&lt;2),"",X9))</f>
        <v>44774</v>
      </c>
      <c r="C9" s="9">
        <f>IF(AND($D$3=""),"",IF(AND(Arrear!W$1&lt;2),"",Arrear!C8))</f>
        <v>53900</v>
      </c>
      <c r="D9" s="9">
        <f>IF(AND(C9=""),"",IF(AND($D$3=""),"",ROUND(C9*Master!C$5%,0)))</f>
        <v>20482</v>
      </c>
      <c r="E9" s="9">
        <f>IF(AND(C9=""),"",IF(AND($D$3=""),"",ROUND(C9*Master!H$5%,0)))</f>
        <v>4851</v>
      </c>
      <c r="F9" s="9">
        <f t="shared" si="0"/>
        <v>79233</v>
      </c>
      <c r="G9" s="9">
        <f>IF(AND($D$3=""),"",IF(AND(Arrear!W$1&lt;2),"",Arrear!C9))</f>
        <v>53900</v>
      </c>
      <c r="H9" s="9">
        <f>IF(AND(G9=""),"",IF(AND($D$3=""),"",ROUND(G9*Master!C$4%,0)))</f>
        <v>18326</v>
      </c>
      <c r="I9" s="9">
        <f>IF(AND(G9=""),"",IF(AND($D$3=""),"",ROUND(G9*Master!H$4%,0)))</f>
        <v>4851</v>
      </c>
      <c r="J9" s="9">
        <f t="shared" si="1"/>
        <v>77077</v>
      </c>
      <c r="K9" s="9">
        <f t="shared" si="2"/>
        <v>0</v>
      </c>
      <c r="L9" s="9">
        <f t="shared" si="2"/>
        <v>2156</v>
      </c>
      <c r="M9" s="9">
        <f t="shared" si="2"/>
        <v>0</v>
      </c>
      <c r="N9" s="9">
        <f t="shared" si="2"/>
        <v>2156</v>
      </c>
      <c r="O9" s="9">
        <f t="shared" ref="O9:O10" si="4">IF(AND(C9=""),"",IF(AND(B9=X9),N9-P9,"0"))</f>
        <v>2156</v>
      </c>
      <c r="P9" s="9">
        <f t="shared" si="3"/>
        <v>0</v>
      </c>
      <c r="Q9" s="9">
        <f t="shared" ref="Q9:Q13" si="5">IF(AND($D$3=""),"",IF(AND(C9=""),"",IF(AND(O9=""),"",SUM(O9,P9))))</f>
        <v>2156</v>
      </c>
      <c r="R9" s="9">
        <f t="shared" ref="R9:R13" si="6">IF(AND(N9=""),"",IF(AND(Q9=""),"",N9-Q9))</f>
        <v>0</v>
      </c>
      <c r="S9" s="20"/>
      <c r="X9" s="23">
        <f>DATE(YEAR(X8),MONTH(X8)+1,DAY(X8))</f>
        <v>44774</v>
      </c>
    </row>
    <row r="10" spans="1:27" ht="21" customHeight="1">
      <c r="A10" s="8">
        <v>3</v>
      </c>
      <c r="B10" s="23">
        <f>IF(AND($D$3=""),"",IF(AND(Arrear!W$1&lt;3),"",X10))</f>
        <v>44805</v>
      </c>
      <c r="C10" s="9">
        <f>IF(AND($D$3=""),"",IF(AND(Arrear!W$1&lt;3),"",Arrear!C9))</f>
        <v>53900</v>
      </c>
      <c r="D10" s="9">
        <f>IF(AND(C10=""),"",IF(AND($D$3=""),"",ROUND(C10*Master!C$5%,0)))</f>
        <v>20482</v>
      </c>
      <c r="E10" s="9">
        <f>IF(AND(C10=""),"",IF(AND($D$3=""),"",ROUND(C10*Master!H$5%,0)))</f>
        <v>4851</v>
      </c>
      <c r="F10" s="9">
        <f t="shared" si="0"/>
        <v>79233</v>
      </c>
      <c r="G10" s="9">
        <f>IF(AND($D$3=""),"",IF(AND(Arrear!W$1&lt;3),"",Arrear!C10))</f>
        <v>53900</v>
      </c>
      <c r="H10" s="9">
        <f>IF(AND(G10=""),"",IF(AND($D$3=""),"",ROUND(G10*Master!C$4%,0)))</f>
        <v>18326</v>
      </c>
      <c r="I10" s="9">
        <f>IF(AND(G10=""),"",IF(AND($D$3=""),"",ROUND(G10*Master!H$4%,0)))</f>
        <v>4851</v>
      </c>
      <c r="J10" s="9">
        <f t="shared" si="1"/>
        <v>77077</v>
      </c>
      <c r="K10" s="9">
        <f t="shared" si="2"/>
        <v>0</v>
      </c>
      <c r="L10" s="9">
        <f t="shared" si="2"/>
        <v>2156</v>
      </c>
      <c r="M10" s="9">
        <f t="shared" si="2"/>
        <v>0</v>
      </c>
      <c r="N10" s="9">
        <f t="shared" si="2"/>
        <v>2156</v>
      </c>
      <c r="O10" s="9">
        <f t="shared" si="4"/>
        <v>2156</v>
      </c>
      <c r="P10" s="9">
        <f t="shared" si="3"/>
        <v>0</v>
      </c>
      <c r="Q10" s="9">
        <f t="shared" si="5"/>
        <v>2156</v>
      </c>
      <c r="R10" s="9">
        <f t="shared" si="6"/>
        <v>0</v>
      </c>
      <c r="S10" s="20"/>
      <c r="X10" s="23">
        <f t="shared" ref="X10:X14" si="7">DATE(YEAR(X9),MONTH(X9)+1,DAY(X9))</f>
        <v>44805</v>
      </c>
    </row>
    <row r="11" spans="1:27" ht="21" customHeight="1">
      <c r="A11" s="8">
        <v>4</v>
      </c>
      <c r="B11" s="23" t="str">
        <f>IF(AND($D$3=""),"",IF(AND(Arrear!W$1&lt;4),"",X11))</f>
        <v/>
      </c>
      <c r="C11" s="9" t="str">
        <f>IF(AND($D$3=""),"",IF(AND(Arrear!W$1&lt;4),"",Arrear!C10))</f>
        <v/>
      </c>
      <c r="D11" s="9" t="str">
        <f>IF(AND(C11=""),"",IF(AND($D$3=""),"",ROUND(C11*Master!C$5%,0)))</f>
        <v/>
      </c>
      <c r="E11" s="9" t="str">
        <f>IF(AND(C11=""),"",IF(AND($D$3=""),"",ROUND(C11*Master!H$5%,0)))</f>
        <v/>
      </c>
      <c r="F11" s="9" t="str">
        <f t="shared" si="0"/>
        <v/>
      </c>
      <c r="G11" s="9" t="str">
        <f>IF(AND($D$3=""),"",IF(AND(Arrear!W$1&lt;4),"",Arrear!C11))</f>
        <v/>
      </c>
      <c r="H11" s="9" t="str">
        <f>IF(AND(G11=""),"",IF(AND($D$3=""),"",ROUND(G11*Master!C$4%,0)))</f>
        <v/>
      </c>
      <c r="I11" s="9" t="str">
        <f>IF(AND(G11=""),"",IF(AND($D$3=""),"",ROUND(G11*Master!H$4%,0)))</f>
        <v/>
      </c>
      <c r="J11" s="9" t="str">
        <f t="shared" si="1"/>
        <v/>
      </c>
      <c r="K11" s="9" t="str">
        <f t="shared" si="2"/>
        <v/>
      </c>
      <c r="L11" s="9" t="str">
        <f t="shared" si="2"/>
        <v/>
      </c>
      <c r="M11" s="9" t="str">
        <f t="shared" si="2"/>
        <v/>
      </c>
      <c r="N11" s="9" t="str">
        <f t="shared" si="2"/>
        <v/>
      </c>
      <c r="O11" s="9" t="str">
        <f>IF(AND(C11=""),"",IF(AND(B11=X11),"0",""))</f>
        <v/>
      </c>
      <c r="P11" s="9" t="str">
        <f t="shared" si="3"/>
        <v/>
      </c>
      <c r="Q11" s="9" t="str">
        <f t="shared" si="5"/>
        <v/>
      </c>
      <c r="R11" s="9" t="str">
        <f t="shared" si="6"/>
        <v/>
      </c>
      <c r="S11" s="20"/>
      <c r="X11" s="23">
        <f t="shared" si="7"/>
        <v>44835</v>
      </c>
    </row>
    <row r="12" spans="1:27" ht="21" customHeight="1">
      <c r="A12" s="8">
        <v>5</v>
      </c>
      <c r="B12" s="23" t="str">
        <f>IF(AND($D$3=""),"",IF(AND(Arrear!W$1&lt;5),"",X12))</f>
        <v/>
      </c>
      <c r="C12" s="9" t="str">
        <f>IF(AND($D$3=""),"",IF(AND(Arrear!W$1&lt;5),"",Arrear!C11))</f>
        <v/>
      </c>
      <c r="D12" s="9" t="str">
        <f>IF(AND(C12=""),"",IF(AND($D$3=""),"",ROUND(C12*Master!C$5%,0)))</f>
        <v/>
      </c>
      <c r="E12" s="9" t="str">
        <f>IF(AND(C12=""),"",IF(AND($D$3=""),"",ROUND(C12*Master!H$5%,0)))</f>
        <v/>
      </c>
      <c r="F12" s="9" t="str">
        <f t="shared" si="0"/>
        <v/>
      </c>
      <c r="G12" s="9" t="str">
        <f>IF(AND($D$3=""),"",IF(AND(Arrear!W$1&lt;5),"",Arrear!C12))</f>
        <v/>
      </c>
      <c r="H12" s="9" t="str">
        <f>IF(AND(G12=""),"",IF(AND($D$3=""),"",ROUND(G12*Master!C$4%,0)))</f>
        <v/>
      </c>
      <c r="I12" s="9" t="str">
        <f>IF(AND(G12=""),"",IF(AND($D$3=""),"",ROUND(G12*Master!H$4%,0)))</f>
        <v/>
      </c>
      <c r="J12" s="9" t="str">
        <f t="shared" si="1"/>
        <v/>
      </c>
      <c r="K12" s="9" t="str">
        <f t="shared" si="2"/>
        <v/>
      </c>
      <c r="L12" s="9" t="str">
        <f t="shared" si="2"/>
        <v/>
      </c>
      <c r="M12" s="9" t="str">
        <f t="shared" si="2"/>
        <v/>
      </c>
      <c r="N12" s="9" t="str">
        <f t="shared" si="2"/>
        <v/>
      </c>
      <c r="O12" s="9" t="str">
        <f t="shared" ref="O12" si="8">IF(AND(C12=""),"",IF(AND(B12=X12),"0",""))</f>
        <v/>
      </c>
      <c r="P12" s="9" t="str">
        <f t="shared" si="3"/>
        <v/>
      </c>
      <c r="Q12" s="9" t="str">
        <f t="shared" si="5"/>
        <v/>
      </c>
      <c r="R12" s="9" t="str">
        <f t="shared" si="6"/>
        <v/>
      </c>
      <c r="S12" s="20"/>
      <c r="X12" s="23">
        <f t="shared" si="7"/>
        <v>44866</v>
      </c>
    </row>
    <row r="13" spans="1:27" ht="21" customHeight="1">
      <c r="A13" s="8">
        <v>6</v>
      </c>
      <c r="B13" s="23" t="str">
        <f>IF(AND($D$3=""),"",IF(AND(Arrear!W$1&lt;6),"",X13))</f>
        <v/>
      </c>
      <c r="C13" s="9" t="str">
        <f>IF(AND($D$3=""),"",IF(AND(Arrear!W$1&lt;6),"",Arrear!C12))</f>
        <v/>
      </c>
      <c r="D13" s="9" t="str">
        <f>IF(AND(C13=""),"",IF(AND($D$3=""),"",ROUND(C13*Master!C$5%,0)))</f>
        <v/>
      </c>
      <c r="E13" s="9" t="str">
        <f>IF(AND(C13=""),"",IF(AND($D$3=""),"",ROUND(C13*Master!H$5%,0)))</f>
        <v/>
      </c>
      <c r="F13" s="9" t="str">
        <f t="shared" si="0"/>
        <v/>
      </c>
      <c r="G13" s="9" t="str">
        <f>IF(AND($D$3=""),"",IF(AND(Arrear!W$1&lt;6),"",Arrear!C13))</f>
        <v/>
      </c>
      <c r="H13" s="9" t="str">
        <f>IF(AND(G13=""),"",IF(AND($D$3=""),"",ROUND(G13*Master!C$4%,0)))</f>
        <v/>
      </c>
      <c r="I13" s="9" t="str">
        <f>IF(AND(G13=""),"",IF(AND($D$3=""),"",ROUND(G13*Master!H$4%,0)))</f>
        <v/>
      </c>
      <c r="J13" s="9" t="str">
        <f t="shared" si="1"/>
        <v/>
      </c>
      <c r="K13" s="9" t="str">
        <f t="shared" si="2"/>
        <v/>
      </c>
      <c r="L13" s="9" t="str">
        <f t="shared" si="2"/>
        <v/>
      </c>
      <c r="M13" s="9" t="str">
        <f t="shared" si="2"/>
        <v/>
      </c>
      <c r="N13" s="9" t="str">
        <f t="shared" si="2"/>
        <v/>
      </c>
      <c r="O13" s="9" t="str">
        <f>IF(AND(C13=""),"",IF(AND(B13=X13),"0",""))</f>
        <v/>
      </c>
      <c r="P13" s="9" t="str">
        <f t="shared" si="3"/>
        <v/>
      </c>
      <c r="Q13" s="9" t="str">
        <f t="shared" si="5"/>
        <v/>
      </c>
      <c r="R13" s="9" t="str">
        <f t="shared" si="6"/>
        <v/>
      </c>
      <c r="S13" s="20"/>
      <c r="X13" s="23">
        <f t="shared" si="7"/>
        <v>44896</v>
      </c>
    </row>
    <row r="14" spans="1:27" ht="30.75" customHeight="1">
      <c r="A14" s="108" t="s">
        <v>9</v>
      </c>
      <c r="B14" s="109"/>
      <c r="C14" s="64">
        <f>IF(AND($D$3=""),"",SUM(C8:C13))</f>
        <v>154800</v>
      </c>
      <c r="D14" s="64">
        <f t="shared" ref="D14:R14" si="9">IF(AND($D$3=""),"",SUM(D8:D13))</f>
        <v>58824</v>
      </c>
      <c r="E14" s="64">
        <f t="shared" si="9"/>
        <v>13932</v>
      </c>
      <c r="F14" s="64">
        <f t="shared" si="9"/>
        <v>227556</v>
      </c>
      <c r="G14" s="64">
        <f t="shared" si="9"/>
        <v>154800</v>
      </c>
      <c r="H14" s="64">
        <f t="shared" si="9"/>
        <v>52632</v>
      </c>
      <c r="I14" s="64">
        <f t="shared" si="9"/>
        <v>13932</v>
      </c>
      <c r="J14" s="64">
        <f t="shared" si="9"/>
        <v>221364</v>
      </c>
      <c r="K14" s="64">
        <f t="shared" si="9"/>
        <v>0</v>
      </c>
      <c r="L14" s="64">
        <f t="shared" si="9"/>
        <v>6192</v>
      </c>
      <c r="M14" s="64">
        <f t="shared" si="9"/>
        <v>0</v>
      </c>
      <c r="N14" s="64">
        <f t="shared" si="9"/>
        <v>6192</v>
      </c>
      <c r="O14" s="64">
        <f t="shared" si="9"/>
        <v>6192</v>
      </c>
      <c r="P14" s="64">
        <f t="shared" si="9"/>
        <v>0</v>
      </c>
      <c r="Q14" s="64">
        <f t="shared" si="9"/>
        <v>6192</v>
      </c>
      <c r="R14" s="64">
        <f t="shared" si="9"/>
        <v>0</v>
      </c>
      <c r="S14" s="50"/>
      <c r="X14" s="23">
        <f t="shared" si="7"/>
        <v>44927</v>
      </c>
    </row>
    <row r="15" spans="1:27" ht="30" customHeight="1">
      <c r="A15" s="21"/>
      <c r="B15" s="10"/>
      <c r="C15" s="104" t="str">
        <f>IF(X1="GPF","Amount in Words Deposite in GPF  :-","Amount in Words Deposite in GPF-2004  :-")</f>
        <v>Amount in Words Deposite in GPF-2004  :-</v>
      </c>
      <c r="D15" s="104"/>
      <c r="E15" s="104"/>
      <c r="F15" s="104"/>
      <c r="G15" s="104"/>
      <c r="H15" s="104"/>
      <c r="I15" s="104"/>
      <c r="J15" s="103"/>
      <c r="K15" s="103"/>
      <c r="L15" s="103"/>
      <c r="M15" s="103"/>
      <c r="N15" s="103"/>
      <c r="O15" s="103"/>
      <c r="P15" s="103"/>
      <c r="Q15" s="103"/>
      <c r="R15" s="103"/>
      <c r="S15" s="103"/>
    </row>
    <row r="16" spans="1:27" ht="10.5" customHeight="1">
      <c r="A16" s="21"/>
      <c r="B16" s="10"/>
      <c r="C16" s="11"/>
      <c r="D16" s="11"/>
      <c r="E16" s="51"/>
      <c r="F16" s="51"/>
      <c r="G16" s="51"/>
      <c r="H16" s="51"/>
      <c r="I16" s="51"/>
      <c r="J16" s="52"/>
      <c r="K16" s="52"/>
      <c r="L16" s="52"/>
      <c r="M16" s="52"/>
      <c r="N16" s="52"/>
      <c r="O16" s="52"/>
      <c r="P16" s="52"/>
      <c r="Q16" s="52"/>
      <c r="R16" s="52"/>
      <c r="S16" s="52"/>
    </row>
    <row r="17" spans="1:19" ht="20.25" customHeight="1">
      <c r="A17" s="21"/>
      <c r="B17" s="102" t="s">
        <v>5</v>
      </c>
      <c r="C17" s="102"/>
      <c r="D17" s="102"/>
      <c r="E17" s="102" t="s">
        <v>6</v>
      </c>
      <c r="F17" s="102"/>
      <c r="G17" s="102"/>
      <c r="H17" s="102" t="s">
        <v>7</v>
      </c>
      <c r="I17" s="102"/>
      <c r="J17" s="102"/>
      <c r="K17" s="100" t="s">
        <v>84</v>
      </c>
      <c r="L17" s="100"/>
      <c r="M17" s="101" t="s">
        <v>68</v>
      </c>
      <c r="N17" s="101"/>
      <c r="O17" s="68"/>
      <c r="P17" s="68"/>
      <c r="Q17" s="68"/>
      <c r="R17" s="68"/>
      <c r="S17" s="11"/>
    </row>
    <row r="18" spans="1:19" ht="18.75">
      <c r="A18" s="21"/>
      <c r="B18" s="71" t="s">
        <v>65</v>
      </c>
      <c r="C18" s="72" t="s">
        <v>63</v>
      </c>
      <c r="D18" s="71" t="s">
        <v>64</v>
      </c>
      <c r="E18" s="71" t="s">
        <v>65</v>
      </c>
      <c r="F18" s="72" t="s">
        <v>63</v>
      </c>
      <c r="G18" s="71" t="s">
        <v>64</v>
      </c>
      <c r="H18" s="71" t="s">
        <v>65</v>
      </c>
      <c r="I18" s="72" t="s">
        <v>63</v>
      </c>
      <c r="J18" s="71" t="s">
        <v>64</v>
      </c>
      <c r="K18" s="100"/>
      <c r="L18" s="100"/>
      <c r="M18" s="101"/>
      <c r="N18" s="101"/>
      <c r="O18" s="68"/>
      <c r="P18" s="68"/>
      <c r="Q18" s="68"/>
      <c r="R18" s="68"/>
      <c r="S18" s="11"/>
    </row>
    <row r="19" spans="1:19" ht="18.75">
      <c r="A19" s="21"/>
      <c r="B19" s="63">
        <f>C14</f>
        <v>154800</v>
      </c>
      <c r="C19" s="63">
        <f t="shared" ref="C19:D19" si="10">D14</f>
        <v>58824</v>
      </c>
      <c r="D19" s="63">
        <f t="shared" si="10"/>
        <v>13932</v>
      </c>
      <c r="E19" s="63">
        <f>G14</f>
        <v>154800</v>
      </c>
      <c r="F19" s="63">
        <f t="shared" ref="F19:G19" si="11">H14</f>
        <v>52632</v>
      </c>
      <c r="G19" s="63">
        <f t="shared" si="11"/>
        <v>13932</v>
      </c>
      <c r="H19" s="66">
        <f>B19-E19</f>
        <v>0</v>
      </c>
      <c r="I19" s="66">
        <f t="shared" ref="I19:J19" si="12">C19-F19</f>
        <v>6192</v>
      </c>
      <c r="J19" s="66">
        <f t="shared" si="12"/>
        <v>0</v>
      </c>
      <c r="K19" s="106">
        <f>O14</f>
        <v>6192</v>
      </c>
      <c r="L19" s="106"/>
      <c r="M19" s="106">
        <f>R14</f>
        <v>0</v>
      </c>
      <c r="N19" s="106"/>
      <c r="O19" s="68"/>
      <c r="P19" s="68"/>
      <c r="Q19" s="68"/>
      <c r="R19" s="68"/>
      <c r="S19" s="11"/>
    </row>
    <row r="20" spans="1:19" ht="18.75">
      <c r="A20" s="21"/>
      <c r="B20" s="59"/>
      <c r="C20" s="59"/>
      <c r="D20" s="59"/>
      <c r="E20" s="59"/>
      <c r="F20" s="59"/>
      <c r="G20" s="59"/>
      <c r="H20" s="60"/>
      <c r="I20" s="60"/>
      <c r="J20" s="60"/>
      <c r="K20" s="68"/>
      <c r="L20" s="68"/>
      <c r="M20" s="68"/>
      <c r="N20" s="68"/>
      <c r="O20" s="107" t="s">
        <v>55</v>
      </c>
      <c r="P20" s="107"/>
      <c r="Q20" s="107"/>
      <c r="R20" s="107"/>
      <c r="S20" s="107"/>
    </row>
    <row r="21" spans="1:19" ht="18.75">
      <c r="A21" s="1"/>
      <c r="B21" s="24" t="s">
        <v>19</v>
      </c>
      <c r="C21" s="118"/>
      <c r="D21" s="118"/>
      <c r="E21" s="118"/>
      <c r="F21" s="118"/>
      <c r="G21" s="118"/>
      <c r="H21" s="25"/>
      <c r="I21" s="121" t="s">
        <v>20</v>
      </c>
      <c r="J21" s="121"/>
      <c r="K21" s="120"/>
      <c r="L21" s="120"/>
      <c r="M21" s="120"/>
      <c r="O21" s="107"/>
      <c r="P21" s="107"/>
      <c r="Q21" s="107"/>
      <c r="R21" s="107"/>
      <c r="S21" s="107"/>
    </row>
    <row r="22" spans="1:19" ht="18.75">
      <c r="A22" s="1"/>
      <c r="B22" s="119" t="s">
        <v>21</v>
      </c>
      <c r="C22" s="119"/>
      <c r="D22" s="119"/>
      <c r="E22" s="119"/>
      <c r="F22" s="119"/>
      <c r="G22" s="119"/>
      <c r="H22" s="119"/>
      <c r="I22" s="27"/>
      <c r="J22" s="26"/>
      <c r="K22" s="26"/>
      <c r="L22" s="26"/>
      <c r="M22" s="26"/>
    </row>
    <row r="23" spans="1:19" ht="18.75">
      <c r="A23" s="22">
        <v>1</v>
      </c>
      <c r="B23" s="117" t="s">
        <v>22</v>
      </c>
      <c r="C23" s="117"/>
      <c r="D23" s="117"/>
      <c r="E23" s="117"/>
      <c r="F23" s="117"/>
      <c r="G23" s="117"/>
      <c r="H23" s="117"/>
      <c r="I23" s="28"/>
      <c r="J23" s="26"/>
      <c r="K23" s="26"/>
      <c r="L23" s="26"/>
      <c r="M23" s="26"/>
    </row>
    <row r="24" spans="1:19" ht="18.75">
      <c r="A24" s="2">
        <v>2</v>
      </c>
      <c r="B24" s="117" t="s">
        <v>23</v>
      </c>
      <c r="C24" s="117"/>
      <c r="D24" s="117"/>
      <c r="E24" s="117"/>
      <c r="F24" s="117"/>
      <c r="G24" s="115" t="str">
        <f>IF(AND(D3=""),"",CONCATENATE(J3,",","  ",P3))</f>
        <v>KALYAN SINGH,  LECTURER</v>
      </c>
      <c r="H24" s="115"/>
      <c r="I24" s="115"/>
      <c r="J24" s="115"/>
      <c r="K24" s="115"/>
      <c r="L24" s="115"/>
      <c r="M24" s="115"/>
    </row>
    <row r="25" spans="1:19" ht="18.75">
      <c r="A25" s="3">
        <v>3</v>
      </c>
      <c r="B25" s="117" t="s">
        <v>24</v>
      </c>
      <c r="C25" s="117"/>
      <c r="D25" s="117"/>
      <c r="E25" s="29"/>
      <c r="F25" s="28"/>
      <c r="G25" s="28"/>
      <c r="H25" s="30"/>
      <c r="I25" s="31"/>
      <c r="J25" s="26"/>
      <c r="K25" s="26"/>
      <c r="L25" s="26"/>
      <c r="M25" s="26"/>
    </row>
    <row r="26" spans="1:19" ht="15.75">
      <c r="O26" s="107" t="s">
        <v>55</v>
      </c>
      <c r="P26" s="107"/>
      <c r="Q26" s="107"/>
      <c r="R26" s="107"/>
      <c r="S26" s="107"/>
    </row>
  </sheetData>
  <sheetProtection formatCells="0" formatColumns="0" formatRows="0" insertColumns="0" insertRows="0" insertHyperlinks="0" deleteColumns="0" deleteRows="0" autoFilter="0"/>
  <mergeCells count="34">
    <mergeCell ref="E3:I3"/>
    <mergeCell ref="J3:N3"/>
    <mergeCell ref="A1:S1"/>
    <mergeCell ref="A2:S2"/>
    <mergeCell ref="P3:S3"/>
    <mergeCell ref="O26:S26"/>
    <mergeCell ref="C5:F5"/>
    <mergeCell ref="G5:J5"/>
    <mergeCell ref="K5:N5"/>
    <mergeCell ref="O5:Q5"/>
    <mergeCell ref="C15:I15"/>
    <mergeCell ref="J15:S15"/>
    <mergeCell ref="B17:D17"/>
    <mergeCell ref="E17:G17"/>
    <mergeCell ref="H17:J17"/>
    <mergeCell ref="K17:L18"/>
    <mergeCell ref="M17:N18"/>
    <mergeCell ref="K19:L19"/>
    <mergeCell ref="M19:N19"/>
    <mergeCell ref="A5:A6"/>
    <mergeCell ref="B5:B6"/>
    <mergeCell ref="R5:R6"/>
    <mergeCell ref="S5:S6"/>
    <mergeCell ref="A14:B14"/>
    <mergeCell ref="O20:S20"/>
    <mergeCell ref="C21:G21"/>
    <mergeCell ref="I21:J21"/>
    <mergeCell ref="K21:M21"/>
    <mergeCell ref="O21:S21"/>
    <mergeCell ref="B22:H22"/>
    <mergeCell ref="B23:H23"/>
    <mergeCell ref="B24:F24"/>
    <mergeCell ref="G24:M24"/>
    <mergeCell ref="B25:D25"/>
  </mergeCells>
  <pageMargins left="0.7" right="0.25" top="0.25" bottom="0.25" header="0.3" footer="0.3"/>
  <pageSetup paperSize="9" scale="90" orientation="landscape" horizontalDpi="300" verticalDpi="300" r:id="rId1"/>
</worksheet>
</file>

<file path=xl/worksheets/sheet4.xml><?xml version="1.0" encoding="utf-8"?>
<worksheet xmlns="http://schemas.openxmlformats.org/spreadsheetml/2006/main" xmlns:r="http://schemas.openxmlformats.org/officeDocument/2006/relationships">
  <dimension ref="A1:AB18"/>
  <sheetViews>
    <sheetView showGridLines="0" view="pageBreakPreview" zoomScale="110" zoomScaleSheetLayoutView="110" workbookViewId="0">
      <selection activeCell="D3" sqref="D3"/>
    </sheetView>
  </sheetViews>
  <sheetFormatPr defaultColWidth="9.125" defaultRowHeight="15"/>
  <cols>
    <col min="1" max="1" width="4.125" style="4" customWidth="1"/>
    <col min="2" max="2" width="14.875" style="4" customWidth="1"/>
    <col min="3" max="3" width="8" style="4" customWidth="1"/>
    <col min="4" max="5" width="6.75" style="4" customWidth="1"/>
    <col min="6" max="6" width="7.625" style="4" customWidth="1"/>
    <col min="7" max="7" width="7.75" style="4" customWidth="1"/>
    <col min="8" max="9" width="6.75" style="4" customWidth="1"/>
    <col min="10" max="10" width="7.25" style="4" customWidth="1"/>
    <col min="11" max="11" width="6.625" style="4" customWidth="1"/>
    <col min="12" max="12" width="6.75" style="4" customWidth="1"/>
    <col min="13" max="13" width="6.25" style="4" customWidth="1"/>
    <col min="14" max="14" width="6.75" style="4" customWidth="1"/>
    <col min="15" max="15" width="7.625" style="4" customWidth="1"/>
    <col min="16" max="16" width="7.125" style="4" customWidth="1"/>
    <col min="17" max="17" width="8.625" style="4" customWidth="1"/>
    <col min="18" max="18" width="10.375" style="4" customWidth="1"/>
    <col min="19" max="19" width="10.5" style="4" customWidth="1"/>
    <col min="20" max="22" width="9.125" style="4"/>
    <col min="23" max="28" width="9.125" style="4" hidden="1" customWidth="1"/>
    <col min="29" max="29" width="9.125" style="4" customWidth="1"/>
    <col min="30" max="16384" width="9.125" style="4"/>
  </cols>
  <sheetData>
    <row r="1" spans="1:27" ht="18" customHeight="1">
      <c r="A1" s="122" t="s">
        <v>86</v>
      </c>
      <c r="B1" s="122"/>
      <c r="C1" s="122"/>
      <c r="D1" s="122"/>
      <c r="E1" s="122"/>
      <c r="F1" s="122"/>
      <c r="G1" s="122"/>
      <c r="H1" s="122"/>
      <c r="I1" s="122"/>
      <c r="J1" s="122"/>
      <c r="K1" s="122"/>
      <c r="L1" s="122"/>
      <c r="M1" s="122"/>
      <c r="N1" s="122"/>
      <c r="O1" s="122"/>
      <c r="P1" s="122"/>
      <c r="Q1" s="122"/>
      <c r="R1" s="122"/>
      <c r="S1" s="122"/>
      <c r="W1" s="4">
        <f>IF(ISNA(VLOOKUP($D$3,Master!A$8:N$127,4,FALSE)),"",VLOOKUP($D$3,Master!A$8:AH$127,4,FALSE))</f>
        <v>3</v>
      </c>
      <c r="X1" s="4" t="str">
        <f>IF(ISNA(VLOOKUP($D$3,Master!A$8:N$127,6,FALSE)),"",VLOOKUP($D$3,Master!A$8:AH$127,6,FALSE))</f>
        <v>GPF</v>
      </c>
      <c r="Y1" s="4" t="s">
        <v>58</v>
      </c>
      <c r="Z1" s="4" t="s">
        <v>18</v>
      </c>
      <c r="AA1" s="4">
        <f>IF(ISNA(VLOOKUP($D$3,Master!A$8:N$127,7,FALSE)),"",VLOOKUP($D$3,Master!A$8:AH$127,7,FALSE))</f>
        <v>0</v>
      </c>
    </row>
    <row r="2" spans="1:27" ht="18">
      <c r="A2" s="114" t="str">
        <f>IF(AND(Master!C3=""),"",CONCATENATE("Office Of  ",Master!C3))</f>
        <v>Office Of  Mahatma Gandhi Government School (English Medium) BAR , Pali</v>
      </c>
      <c r="B2" s="114"/>
      <c r="C2" s="114"/>
      <c r="D2" s="114"/>
      <c r="E2" s="114"/>
      <c r="F2" s="114"/>
      <c r="G2" s="114"/>
      <c r="H2" s="114"/>
      <c r="I2" s="114"/>
      <c r="J2" s="114"/>
      <c r="K2" s="114"/>
      <c r="L2" s="114"/>
      <c r="M2" s="114"/>
      <c r="N2" s="114"/>
      <c r="O2" s="114"/>
      <c r="P2" s="114"/>
      <c r="Q2" s="114"/>
      <c r="R2" s="114"/>
      <c r="S2" s="114"/>
      <c r="X2" s="4">
        <f>IF(ISNA(VLOOKUP($D$3,Master!A$8:N$127,8,FALSE)),"",VLOOKUP($D$3,Master!A$8:AH$127,8,FALSE))</f>
        <v>44743</v>
      </c>
      <c r="Y2" s="4" t="s">
        <v>56</v>
      </c>
    </row>
    <row r="3" spans="1:27" ht="18.75">
      <c r="C3" s="62" t="s">
        <v>62</v>
      </c>
      <c r="D3" s="65">
        <v>3</v>
      </c>
      <c r="E3" s="116" t="s">
        <v>10</v>
      </c>
      <c r="F3" s="116"/>
      <c r="G3" s="116"/>
      <c r="H3" s="116"/>
      <c r="I3" s="116"/>
      <c r="J3" s="115" t="str">
        <f>IF(ISNA(VLOOKUP($D$3,Master!A$8:N$127,2,FALSE)),"",VLOOKUP($D$3,Master!A$8:AH$127,2,FALSE))</f>
        <v>BHAGWAN SINGH</v>
      </c>
      <c r="K3" s="115"/>
      <c r="L3" s="115"/>
      <c r="M3" s="115"/>
      <c r="N3" s="115"/>
      <c r="O3" s="61" t="s">
        <v>31</v>
      </c>
      <c r="P3" s="115" t="str">
        <f>IF(ISNA(VLOOKUP($D$3,Master!A$8:N$127,3,FALSE)),"",VLOOKUP($D$3,Master!A$8:AH$127,3,FALSE))</f>
        <v>LECTURER</v>
      </c>
      <c r="Q3" s="115"/>
      <c r="R3" s="115"/>
      <c r="S3" s="115"/>
    </row>
    <row r="4" spans="1:27" ht="15.75" customHeight="1">
      <c r="E4" s="19"/>
      <c r="F4" s="53"/>
      <c r="G4" s="22"/>
      <c r="H4" s="22"/>
      <c r="I4" s="22"/>
      <c r="J4" s="5"/>
      <c r="K4" s="5"/>
      <c r="L4" s="5"/>
      <c r="M4" s="5"/>
      <c r="N4" s="5"/>
      <c r="O4" s="6"/>
      <c r="P4" s="6"/>
    </row>
    <row r="5" spans="1:27" ht="24.75" customHeight="1">
      <c r="A5" s="110" t="s">
        <v>72</v>
      </c>
      <c r="B5" s="111" t="s">
        <v>3</v>
      </c>
      <c r="C5" s="112" t="s">
        <v>5</v>
      </c>
      <c r="D5" s="112"/>
      <c r="E5" s="112"/>
      <c r="F5" s="112"/>
      <c r="G5" s="112" t="s">
        <v>6</v>
      </c>
      <c r="H5" s="112"/>
      <c r="I5" s="112"/>
      <c r="J5" s="112"/>
      <c r="K5" s="112" t="s">
        <v>7</v>
      </c>
      <c r="L5" s="112"/>
      <c r="M5" s="112"/>
      <c r="N5" s="112"/>
      <c r="O5" s="97" t="s">
        <v>8</v>
      </c>
      <c r="P5" s="98"/>
      <c r="Q5" s="99"/>
      <c r="R5" s="125" t="s">
        <v>74</v>
      </c>
      <c r="S5" s="125" t="s">
        <v>50</v>
      </c>
    </row>
    <row r="6" spans="1:27" ht="69" customHeight="1">
      <c r="A6" s="110"/>
      <c r="B6" s="111"/>
      <c r="C6" s="58" t="s">
        <v>29</v>
      </c>
      <c r="D6" s="69" t="s">
        <v>1</v>
      </c>
      <c r="E6" s="70" t="s">
        <v>2</v>
      </c>
      <c r="F6" s="67" t="s">
        <v>59</v>
      </c>
      <c r="G6" s="58" t="s">
        <v>29</v>
      </c>
      <c r="H6" s="69" t="s">
        <v>1</v>
      </c>
      <c r="I6" s="70" t="s">
        <v>2</v>
      </c>
      <c r="J6" s="67" t="s">
        <v>60</v>
      </c>
      <c r="K6" s="58" t="s">
        <v>4</v>
      </c>
      <c r="L6" s="69" t="s">
        <v>1</v>
      </c>
      <c r="M6" s="70" t="s">
        <v>2</v>
      </c>
      <c r="N6" s="67" t="s">
        <v>73</v>
      </c>
      <c r="O6" s="54" t="str">
        <f>IF(X1="GPF","GPF ","GPF-2004 ")</f>
        <v xml:space="preserve">GPF </v>
      </c>
      <c r="P6" s="67" t="s">
        <v>51</v>
      </c>
      <c r="Q6" s="67" t="s">
        <v>66</v>
      </c>
      <c r="R6" s="125"/>
      <c r="S6" s="125"/>
    </row>
    <row r="7" spans="1:27" ht="18" customHeight="1">
      <c r="A7" s="7">
        <v>1</v>
      </c>
      <c r="B7" s="7">
        <v>2</v>
      </c>
      <c r="C7" s="7">
        <v>3</v>
      </c>
      <c r="D7" s="7">
        <v>4</v>
      </c>
      <c r="E7" s="7">
        <v>5</v>
      </c>
      <c r="F7" s="7">
        <v>6</v>
      </c>
      <c r="G7" s="7">
        <v>7</v>
      </c>
      <c r="H7" s="7">
        <v>8</v>
      </c>
      <c r="I7" s="7">
        <v>9</v>
      </c>
      <c r="J7" s="7">
        <v>10</v>
      </c>
      <c r="K7" s="7">
        <v>11</v>
      </c>
      <c r="L7" s="7">
        <v>12</v>
      </c>
      <c r="M7" s="7">
        <v>13</v>
      </c>
      <c r="N7" s="7">
        <v>14</v>
      </c>
      <c r="O7" s="7">
        <v>15</v>
      </c>
      <c r="P7" s="7">
        <v>17</v>
      </c>
      <c r="Q7" s="7">
        <v>18</v>
      </c>
      <c r="R7" s="7">
        <v>19</v>
      </c>
      <c r="S7" s="7">
        <v>20</v>
      </c>
    </row>
    <row r="8" spans="1:27" ht="21" customHeight="1">
      <c r="A8" s="8">
        <v>1</v>
      </c>
      <c r="B8" s="23" t="s">
        <v>71</v>
      </c>
      <c r="C8" s="9">
        <f>IF(ISNA(VLOOKUP(D3,Master!A$8:N$127,5,FALSE)),"",VLOOKUP($D$3,Master!A$8:AH$127,5,FALSE))/2</f>
        <v>35650</v>
      </c>
      <c r="D8" s="9">
        <f>IF(AND(C8=""),"",IF(AND($D$3=""),"",ROUND(C8*Master!C$5%,0)))</f>
        <v>13547</v>
      </c>
      <c r="E8" s="9"/>
      <c r="F8" s="9">
        <f t="shared" ref="F8" si="0">IF(AND(C8=""),"",SUM(C8:E8))</f>
        <v>49197</v>
      </c>
      <c r="G8" s="9">
        <f>IF(ISNA(VLOOKUP($D$3,Master!A$8:N$127,5,FALSE)),"",VLOOKUP($D$3,Master!A$8:AH$127,5,FALSE))/2</f>
        <v>35650</v>
      </c>
      <c r="H8" s="9">
        <f>IF(AND(G8=""),"",IF(AND($D$3=""),"",ROUND(G8*Master!C$4%,0)))</f>
        <v>12121</v>
      </c>
      <c r="I8" s="9"/>
      <c r="J8" s="9">
        <f t="shared" ref="J8" si="1">IF(AND(C8=""),"",SUM(G8:I8))</f>
        <v>47771</v>
      </c>
      <c r="K8" s="9">
        <f t="shared" ref="K8:N8" si="2">IF(AND(C8=""),"",IF(AND(G8=""),"",C8-G8))</f>
        <v>0</v>
      </c>
      <c r="L8" s="9">
        <f t="shared" si="2"/>
        <v>1426</v>
      </c>
      <c r="M8" s="9" t="str">
        <f t="shared" si="2"/>
        <v/>
      </c>
      <c r="N8" s="9">
        <f t="shared" si="2"/>
        <v>1426</v>
      </c>
      <c r="O8" s="9">
        <f>IF(AND(C8=""),"",IF(AND(C8="",D8=""),"0",N8-P8))</f>
        <v>1426</v>
      </c>
      <c r="P8" s="9">
        <f t="shared" ref="P8" si="3">IF(AND($D$3=""),"",IF(AND(N8=""),"",ROUND(N8*AA$1%,0)))</f>
        <v>0</v>
      </c>
      <c r="Q8" s="9">
        <f>IF(AND($D$3=""),"",IF(AND(C8=""),"",IF(AND(O8=""),"",SUM(O8,P8))))</f>
        <v>1426</v>
      </c>
      <c r="R8" s="9">
        <f>IF(AND(N8=""),"",IF(AND(Q8=""),"",N8-Q8))</f>
        <v>0</v>
      </c>
      <c r="S8" s="20"/>
      <c r="X8" s="23">
        <v>44562</v>
      </c>
    </row>
    <row r="9" spans="1:27" ht="30.75" customHeight="1">
      <c r="A9" s="108" t="s">
        <v>9</v>
      </c>
      <c r="B9" s="109"/>
      <c r="C9" s="64">
        <f t="shared" ref="C9:R9" si="4">IF(AND($D$3=""),"",SUM(C8:C8))</f>
        <v>35650</v>
      </c>
      <c r="D9" s="64">
        <f t="shared" si="4"/>
        <v>13547</v>
      </c>
      <c r="E9" s="64">
        <f t="shared" si="4"/>
        <v>0</v>
      </c>
      <c r="F9" s="64">
        <f t="shared" si="4"/>
        <v>49197</v>
      </c>
      <c r="G9" s="64">
        <f t="shared" si="4"/>
        <v>35650</v>
      </c>
      <c r="H9" s="64">
        <f t="shared" si="4"/>
        <v>12121</v>
      </c>
      <c r="I9" s="64">
        <f t="shared" si="4"/>
        <v>0</v>
      </c>
      <c r="J9" s="64">
        <f t="shared" si="4"/>
        <v>47771</v>
      </c>
      <c r="K9" s="64">
        <f t="shared" si="4"/>
        <v>0</v>
      </c>
      <c r="L9" s="64">
        <f t="shared" si="4"/>
        <v>1426</v>
      </c>
      <c r="M9" s="64">
        <f t="shared" si="4"/>
        <v>0</v>
      </c>
      <c r="N9" s="64">
        <f t="shared" si="4"/>
        <v>1426</v>
      </c>
      <c r="O9" s="64">
        <f t="shared" si="4"/>
        <v>1426</v>
      </c>
      <c r="P9" s="64">
        <f t="shared" si="4"/>
        <v>0</v>
      </c>
      <c r="Q9" s="64">
        <f t="shared" si="4"/>
        <v>1426</v>
      </c>
      <c r="R9" s="64">
        <f t="shared" si="4"/>
        <v>0</v>
      </c>
      <c r="S9" s="50"/>
      <c r="X9" s="23">
        <v>44743</v>
      </c>
    </row>
    <row r="10" spans="1:27" ht="18.75">
      <c r="A10" s="21"/>
      <c r="B10" s="10"/>
      <c r="C10" s="104" t="str">
        <f>IF(X1="GPF","Amount in Words Deposite in GPF  :-","Amount in Words Deposite in GPF-2004  :-")</f>
        <v>Amount in Words Deposite in GPF  :-</v>
      </c>
      <c r="D10" s="104"/>
      <c r="E10" s="104"/>
      <c r="F10" s="104"/>
      <c r="G10" s="104"/>
      <c r="H10" s="104"/>
      <c r="I10" s="104"/>
      <c r="J10" s="103"/>
      <c r="K10" s="103"/>
      <c r="L10" s="103"/>
      <c r="M10" s="103"/>
      <c r="N10" s="103"/>
      <c r="O10" s="103"/>
      <c r="P10" s="103"/>
      <c r="Q10" s="103"/>
      <c r="R10" s="103"/>
      <c r="S10" s="103"/>
    </row>
    <row r="11" spans="1:27" ht="18.75">
      <c r="A11" s="21"/>
      <c r="B11" s="10"/>
      <c r="C11" s="123" t="s">
        <v>70</v>
      </c>
      <c r="D11" s="123"/>
      <c r="E11" s="123"/>
      <c r="F11" s="123"/>
      <c r="G11" s="123"/>
      <c r="H11" s="123"/>
      <c r="I11" s="123"/>
      <c r="J11" s="124"/>
      <c r="K11" s="124"/>
      <c r="L11" s="124"/>
      <c r="M11" s="124"/>
      <c r="N11" s="124"/>
      <c r="O11" s="124"/>
      <c r="P11" s="124"/>
      <c r="Q11" s="124"/>
      <c r="R11" s="124"/>
      <c r="S11" s="124"/>
    </row>
    <row r="12" spans="1:27" ht="18.75">
      <c r="A12" s="21"/>
      <c r="B12" s="59"/>
      <c r="C12" s="59"/>
      <c r="D12" s="59"/>
      <c r="E12" s="59"/>
      <c r="F12" s="59"/>
      <c r="G12" s="59"/>
      <c r="H12" s="60"/>
      <c r="I12" s="60"/>
      <c r="J12" s="60"/>
      <c r="K12" s="68"/>
      <c r="L12" s="68"/>
      <c r="M12" s="68"/>
      <c r="N12" s="68"/>
      <c r="O12" s="107"/>
      <c r="P12" s="107"/>
      <c r="Q12" s="107"/>
      <c r="R12" s="107"/>
      <c r="S12" s="107"/>
    </row>
    <row r="13" spans="1:27" ht="18.75">
      <c r="A13" s="1"/>
      <c r="B13" s="24" t="s">
        <v>19</v>
      </c>
      <c r="C13" s="118"/>
      <c r="D13" s="118"/>
      <c r="E13" s="118"/>
      <c r="F13" s="118"/>
      <c r="G13" s="118"/>
      <c r="H13" s="25"/>
      <c r="I13" s="121" t="s">
        <v>20</v>
      </c>
      <c r="J13" s="121"/>
      <c r="K13" s="120"/>
      <c r="L13" s="120"/>
      <c r="M13" s="120"/>
      <c r="O13" s="107" t="s">
        <v>55</v>
      </c>
      <c r="P13" s="107"/>
      <c r="Q13" s="107"/>
      <c r="R13" s="107"/>
      <c r="S13" s="107"/>
    </row>
    <row r="14" spans="1:27" ht="18.75">
      <c r="A14" s="1"/>
      <c r="B14" s="119" t="s">
        <v>21</v>
      </c>
      <c r="C14" s="119"/>
      <c r="D14" s="119"/>
      <c r="E14" s="119"/>
      <c r="F14" s="119"/>
      <c r="G14" s="119"/>
      <c r="H14" s="119"/>
      <c r="I14" s="27"/>
      <c r="J14" s="26"/>
      <c r="K14" s="26"/>
      <c r="L14" s="26"/>
      <c r="M14" s="26"/>
    </row>
    <row r="15" spans="1:27" ht="18.75">
      <c r="A15" s="22">
        <v>1</v>
      </c>
      <c r="B15" s="117" t="s">
        <v>22</v>
      </c>
      <c r="C15" s="117"/>
      <c r="D15" s="117"/>
      <c r="E15" s="117"/>
      <c r="F15" s="117"/>
      <c r="G15" s="117"/>
      <c r="H15" s="117"/>
      <c r="I15" s="28"/>
      <c r="J15" s="26"/>
      <c r="K15" s="26"/>
      <c r="L15" s="26"/>
      <c r="M15" s="26"/>
    </row>
    <row r="16" spans="1:27" ht="18.75">
      <c r="A16" s="2">
        <v>2</v>
      </c>
      <c r="B16" s="117" t="s">
        <v>23</v>
      </c>
      <c r="C16" s="117"/>
      <c r="D16" s="117"/>
      <c r="E16" s="117"/>
      <c r="F16" s="117"/>
      <c r="G16" s="115" t="str">
        <f>IF(AND(D3=""),"",CONCATENATE(J3,",","  ",P3))</f>
        <v>BHAGWAN SINGH,  LECTURER</v>
      </c>
      <c r="H16" s="115"/>
      <c r="I16" s="115"/>
      <c r="J16" s="115"/>
      <c r="K16" s="115"/>
      <c r="L16" s="115"/>
      <c r="M16" s="115"/>
    </row>
    <row r="17" spans="1:19" ht="18.75">
      <c r="A17" s="3">
        <v>3</v>
      </c>
      <c r="B17" s="117" t="s">
        <v>24</v>
      </c>
      <c r="C17" s="117"/>
      <c r="D17" s="117"/>
      <c r="E17" s="29"/>
      <c r="F17" s="28"/>
      <c r="G17" s="28"/>
      <c r="H17" s="30"/>
      <c r="I17" s="31"/>
      <c r="J17" s="26"/>
      <c r="K17" s="26"/>
      <c r="L17" s="26"/>
      <c r="M17" s="26"/>
    </row>
    <row r="18" spans="1:19" ht="15.75">
      <c r="O18" s="107" t="s">
        <v>55</v>
      </c>
      <c r="P18" s="107"/>
      <c r="Q18" s="107"/>
      <c r="R18" s="107"/>
      <c r="S18" s="107"/>
    </row>
  </sheetData>
  <mergeCells count="29">
    <mergeCell ref="E3:I3"/>
    <mergeCell ref="J3:N3"/>
    <mergeCell ref="A1:S1"/>
    <mergeCell ref="A2:S2"/>
    <mergeCell ref="P3:S3"/>
    <mergeCell ref="A9:B9"/>
    <mergeCell ref="C10:I10"/>
    <mergeCell ref="J10:S10"/>
    <mergeCell ref="A5:A6"/>
    <mergeCell ref="B5:B6"/>
    <mergeCell ref="C5:F5"/>
    <mergeCell ref="G5:J5"/>
    <mergeCell ref="K5:N5"/>
    <mergeCell ref="C11:I11"/>
    <mergeCell ref="J11:S11"/>
    <mergeCell ref="O5:Q5"/>
    <mergeCell ref="R5:R6"/>
    <mergeCell ref="S5:S6"/>
    <mergeCell ref="O12:S12"/>
    <mergeCell ref="C13:G13"/>
    <mergeCell ref="I13:J13"/>
    <mergeCell ref="K13:M13"/>
    <mergeCell ref="O13:S13"/>
    <mergeCell ref="O18:S18"/>
    <mergeCell ref="B14:H14"/>
    <mergeCell ref="B15:H15"/>
    <mergeCell ref="B16:F16"/>
    <mergeCell ref="G16:M16"/>
    <mergeCell ref="B17:D17"/>
  </mergeCells>
  <pageMargins left="0.7" right="0.45" top="0.75" bottom="0.75" header="0.3" footer="0.3"/>
  <pageSetup paperSize="9" scale="90" orientation="landscape" horizontalDpi="300" verticalDpi="300" r:id="rId1"/>
</worksheet>
</file>

<file path=xl/worksheets/sheet5.xml><?xml version="1.0" encoding="utf-8"?>
<worksheet xmlns="http://schemas.openxmlformats.org/spreadsheetml/2006/main" xmlns:r="http://schemas.openxmlformats.org/officeDocument/2006/relationships">
  <sheetPr>
    <pageSetUpPr fitToPage="1"/>
  </sheetPr>
  <dimension ref="A1:AB1155"/>
  <sheetViews>
    <sheetView showGridLines="0" view="pageBreakPreview" zoomScale="110" zoomScaleNormal="96" zoomScaleSheetLayoutView="110" workbookViewId="0">
      <selection activeCell="T12" sqref="T12"/>
    </sheetView>
  </sheetViews>
  <sheetFormatPr defaultColWidth="9.125" defaultRowHeight="15"/>
  <cols>
    <col min="1" max="1" width="5.375" style="4" customWidth="1"/>
    <col min="2" max="2" width="9.25" style="4" customWidth="1"/>
    <col min="3" max="3" width="8.75" style="4" customWidth="1"/>
    <col min="4" max="16" width="7.875" style="4" customWidth="1"/>
    <col min="17" max="17" width="9" style="4" customWidth="1"/>
    <col min="18" max="18" width="10.375" style="4" customWidth="1"/>
    <col min="19" max="19" width="11.25" style="4" customWidth="1"/>
    <col min="20" max="22" width="9.125" style="4"/>
    <col min="23" max="28" width="9.125" style="4" hidden="1" customWidth="1"/>
    <col min="29" max="29" width="9.125" style="4" customWidth="1"/>
    <col min="30" max="16384" width="9.125" style="4"/>
  </cols>
  <sheetData>
    <row r="1" spans="1:27" ht="18" customHeight="1">
      <c r="A1" s="122" t="str">
        <f>Arrear!A1</f>
        <v xml:space="preserve">DA (38%) Drawn Statement  </v>
      </c>
      <c r="B1" s="122"/>
      <c r="C1" s="122"/>
      <c r="D1" s="122"/>
      <c r="E1" s="122"/>
      <c r="F1" s="122"/>
      <c r="G1" s="122"/>
      <c r="H1" s="122"/>
      <c r="I1" s="122"/>
      <c r="J1" s="122"/>
      <c r="K1" s="122"/>
      <c r="L1" s="122"/>
      <c r="M1" s="122"/>
      <c r="N1" s="122"/>
      <c r="O1" s="122"/>
      <c r="P1" s="122"/>
      <c r="Q1" s="122"/>
      <c r="R1" s="122"/>
      <c r="S1" s="122"/>
      <c r="W1" s="4">
        <f>IF(ISNA(VLOOKUP($Y$3,Master!A$8:N$127,4,FALSE)),"",VLOOKUP($Y$3,Master!A$8:AH$127,4,FALSE))</f>
        <v>3</v>
      </c>
      <c r="X1" s="4" t="str">
        <f>IF(ISNA(VLOOKUP($Y$3,Master!A$8:N$127,6,FALSE)),"",VLOOKUP($Y$3,Master!A$8:AH$127,6,FALSE))</f>
        <v>GPF</v>
      </c>
      <c r="Y1" s="4" t="s">
        <v>58</v>
      </c>
      <c r="Z1" s="4" t="s">
        <v>18</v>
      </c>
      <c r="AA1" s="4">
        <f>IF(ISNA(VLOOKUP($Y$3,Master!A$8:N$127,7,FALSE)),"",VLOOKUP($Y$3,Master!A$8:AH$127,7,FALSE))</f>
        <v>0</v>
      </c>
    </row>
    <row r="2" spans="1:27" ht="18">
      <c r="A2" s="114" t="str">
        <f>IF(AND(Master!C3=""),"",CONCATENATE("Office Of  ",Master!C3))</f>
        <v>Office Of  Mahatma Gandhi Government School (English Medium) BAR , Pali</v>
      </c>
      <c r="B2" s="114"/>
      <c r="C2" s="114"/>
      <c r="D2" s="114"/>
      <c r="E2" s="114"/>
      <c r="F2" s="114"/>
      <c r="G2" s="114"/>
      <c r="H2" s="114"/>
      <c r="I2" s="114"/>
      <c r="J2" s="114"/>
      <c r="K2" s="114"/>
      <c r="L2" s="114"/>
      <c r="M2" s="114"/>
      <c r="N2" s="114"/>
      <c r="O2" s="114"/>
      <c r="P2" s="114"/>
      <c r="Q2" s="114"/>
      <c r="R2" s="114"/>
      <c r="S2" s="114"/>
      <c r="X2" s="4">
        <f>IF(ISNA(VLOOKUP($Y$3,Master!A$8:N$127,8,FALSE)),"",VLOOKUP($Y$3,Master!A$8:AH$127,8,FALSE))</f>
        <v>44743</v>
      </c>
      <c r="Y2" s="4" t="s">
        <v>56</v>
      </c>
      <c r="Z2" s="6"/>
    </row>
    <row r="3" spans="1:27" ht="18.75">
      <c r="E3" s="116" t="s">
        <v>10</v>
      </c>
      <c r="F3" s="116"/>
      <c r="G3" s="116"/>
      <c r="H3" s="116"/>
      <c r="I3" s="116"/>
      <c r="J3" s="115" t="str">
        <f>IF(ISNA(VLOOKUP($Y$3,Master!A$8:N$127,2,FALSE)),"",VLOOKUP($Y$3,Master!A$8:AH$127,2,FALSE))</f>
        <v>MISHRI LAL</v>
      </c>
      <c r="K3" s="115"/>
      <c r="L3" s="115"/>
      <c r="M3" s="115"/>
      <c r="N3" s="115"/>
      <c r="O3" s="61" t="s">
        <v>31</v>
      </c>
      <c r="P3" s="115" t="str">
        <f>IF(ISNA(VLOOKUP($Y$3,Master!A$8:N$127,3,FALSE)),"",VLOOKUP($Y$3,Master!A$8:AH$127,3,FALSE))</f>
        <v>PRINCIPAL</v>
      </c>
      <c r="Q3" s="115"/>
      <c r="R3" s="115"/>
      <c r="S3" s="115"/>
      <c r="X3" s="62" t="s">
        <v>62</v>
      </c>
      <c r="Y3" s="65">
        <f>IF(AND(Master!B8="",Master!E8=""),"",1)</f>
        <v>1</v>
      </c>
    </row>
    <row r="4" spans="1:27" ht="8.25" customHeight="1">
      <c r="E4" s="19"/>
      <c r="F4" s="53"/>
      <c r="G4" s="22"/>
      <c r="H4" s="22"/>
      <c r="I4" s="22"/>
      <c r="J4" s="5"/>
      <c r="K4" s="5"/>
      <c r="L4" s="5"/>
      <c r="M4" s="5"/>
      <c r="N4" s="5"/>
      <c r="O4" s="6"/>
      <c r="P4" s="6"/>
    </row>
    <row r="5" spans="1:27" ht="24.75" customHeight="1">
      <c r="A5" s="110" t="s">
        <v>0</v>
      </c>
      <c r="B5" s="111" t="s">
        <v>3</v>
      </c>
      <c r="C5" s="112" t="s">
        <v>5</v>
      </c>
      <c r="D5" s="112"/>
      <c r="E5" s="112"/>
      <c r="F5" s="112"/>
      <c r="G5" s="112" t="s">
        <v>6</v>
      </c>
      <c r="H5" s="112"/>
      <c r="I5" s="112"/>
      <c r="J5" s="112"/>
      <c r="K5" s="112" t="s">
        <v>7</v>
      </c>
      <c r="L5" s="112"/>
      <c r="M5" s="112"/>
      <c r="N5" s="112"/>
      <c r="O5" s="97" t="s">
        <v>8</v>
      </c>
      <c r="P5" s="98"/>
      <c r="Q5" s="99"/>
      <c r="R5" s="105" t="s">
        <v>67</v>
      </c>
      <c r="S5" s="105" t="s">
        <v>50</v>
      </c>
    </row>
    <row r="6" spans="1:27" ht="69" customHeight="1">
      <c r="A6" s="110"/>
      <c r="B6" s="111"/>
      <c r="C6" s="55" t="s">
        <v>29</v>
      </c>
      <c r="D6" s="56" t="s">
        <v>1</v>
      </c>
      <c r="E6" s="57" t="s">
        <v>2</v>
      </c>
      <c r="F6" s="55" t="s">
        <v>59</v>
      </c>
      <c r="G6" s="55" t="s">
        <v>29</v>
      </c>
      <c r="H6" s="56" t="s">
        <v>1</v>
      </c>
      <c r="I6" s="57" t="s">
        <v>2</v>
      </c>
      <c r="J6" s="55" t="s">
        <v>60</v>
      </c>
      <c r="K6" s="55" t="s">
        <v>4</v>
      </c>
      <c r="L6" s="56" t="s">
        <v>1</v>
      </c>
      <c r="M6" s="57" t="s">
        <v>2</v>
      </c>
      <c r="N6" s="58" t="s">
        <v>61</v>
      </c>
      <c r="O6" s="54" t="s">
        <v>83</v>
      </c>
      <c r="P6" s="67" t="s">
        <v>51</v>
      </c>
      <c r="Q6" s="58" t="s">
        <v>66</v>
      </c>
      <c r="R6" s="105"/>
      <c r="S6" s="105"/>
    </row>
    <row r="7" spans="1:27" ht="18" customHeight="1">
      <c r="A7" s="7">
        <v>1</v>
      </c>
      <c r="B7" s="7">
        <v>2</v>
      </c>
      <c r="C7" s="7">
        <v>3</v>
      </c>
      <c r="D7" s="7">
        <v>4</v>
      </c>
      <c r="E7" s="7">
        <v>5</v>
      </c>
      <c r="F7" s="7">
        <v>6</v>
      </c>
      <c r="G7" s="7">
        <v>7</v>
      </c>
      <c r="H7" s="7">
        <v>8</v>
      </c>
      <c r="I7" s="7">
        <v>9</v>
      </c>
      <c r="J7" s="7">
        <v>10</v>
      </c>
      <c r="K7" s="7">
        <v>11</v>
      </c>
      <c r="L7" s="7">
        <v>12</v>
      </c>
      <c r="M7" s="7">
        <v>13</v>
      </c>
      <c r="N7" s="7">
        <v>14</v>
      </c>
      <c r="O7" s="7">
        <v>15</v>
      </c>
      <c r="P7" s="7">
        <v>17</v>
      </c>
      <c r="Q7" s="7">
        <v>18</v>
      </c>
      <c r="R7" s="7">
        <v>19</v>
      </c>
      <c r="S7" s="7">
        <v>20</v>
      </c>
    </row>
    <row r="8" spans="1:27" ht="21" customHeight="1">
      <c r="A8" s="8">
        <v>1</v>
      </c>
      <c r="B8" s="23">
        <f>IFERROR(IF(ISNA(VLOOKUP(Y3,Master!A$8:N$127,8,FALSE)),"",VLOOKUP($Y$3,Master!A$8:AH$127,8,FALSE)),"")</f>
        <v>44743</v>
      </c>
      <c r="C8" s="9">
        <f>IFERROR(IF(ISNA(VLOOKUP(Y3,Master!A$8:N$127,5,FALSE)),"",VLOOKUP($Y$3,Master!A$8:AH$127,5,FALSE)),"")</f>
        <v>71400</v>
      </c>
      <c r="D8" s="9">
        <f>IF(AND(C8=""),"",IF(AND($Y$3=""),"",ROUND(C8*Master!C$5%,0)))</f>
        <v>27132</v>
      </c>
      <c r="E8" s="9">
        <f>IF(AND(C8=""),"",IF(AND($Y$3=""),"",ROUND(C8*Master!H$5%,0)))</f>
        <v>6426</v>
      </c>
      <c r="F8" s="9">
        <f t="shared" ref="F8:F10" si="0">IF(AND(C8=""),"",SUM(C8:E8))</f>
        <v>104958</v>
      </c>
      <c r="G8" s="9">
        <f>IFERROR(IF(ISNA(VLOOKUP($Y$3,Master!A$8:N$127,5,FALSE)),"",VLOOKUP($Y$3,Master!A$8:AH$127,5,FALSE)),"")</f>
        <v>71400</v>
      </c>
      <c r="H8" s="9">
        <f>IF(AND(G8=""),"",IF(AND($Y$3=""),"",ROUND(G8*Master!C$4%,0)))</f>
        <v>24276</v>
      </c>
      <c r="I8" s="9">
        <f>IF(AND(G8=""),"",IF(AND($Y$3=""),"",ROUND(G8*Master!H$4%,0)))</f>
        <v>6426</v>
      </c>
      <c r="J8" s="9">
        <f t="shared" ref="J8:J9" si="1">IF(AND(C8=""),"",SUM(G8:I8))</f>
        <v>102102</v>
      </c>
      <c r="K8" s="9">
        <f t="shared" ref="K8:N10" si="2">IF(AND(C8=""),"",IF(AND(G8=""),"",C8-G8))</f>
        <v>0</v>
      </c>
      <c r="L8" s="9">
        <f t="shared" si="2"/>
        <v>2856</v>
      </c>
      <c r="M8" s="9">
        <f t="shared" si="2"/>
        <v>0</v>
      </c>
      <c r="N8" s="9">
        <f t="shared" si="2"/>
        <v>2856</v>
      </c>
      <c r="O8" s="9">
        <f>IF(AND(C8=""),"",N8-P8)</f>
        <v>2856</v>
      </c>
      <c r="P8" s="9">
        <f>IF(AND($Y$3=""),"",IF(AND(N8=""),"",ROUND(N8*AA$1%,0)))</f>
        <v>0</v>
      </c>
      <c r="Q8" s="9">
        <f>IF(AND($Y$3=""),"",IF(AND(C8=""),"",IF(AND(O8=""),"",SUM(O8,P8))))</f>
        <v>2856</v>
      </c>
      <c r="R8" s="9">
        <f>IF(AND(N8=""),"",IF(AND(Q8=""),"",N8-Q8))</f>
        <v>0</v>
      </c>
      <c r="S8" s="20"/>
    </row>
    <row r="9" spans="1:27" ht="21" customHeight="1">
      <c r="A9" s="8">
        <v>2</v>
      </c>
      <c r="B9" s="23">
        <f>IFERROR(DATE(YEAR(B8),MONTH(B8)+1,DAY(B8)),"")</f>
        <v>44774</v>
      </c>
      <c r="C9" s="9">
        <f>IF(AND($Y$3=""),"",C8)</f>
        <v>71400</v>
      </c>
      <c r="D9" s="9">
        <f>IF(AND(C9=""),"",IF(AND($Y$3=""),"",ROUND(C9*Master!C$5%,0)))</f>
        <v>27132</v>
      </c>
      <c r="E9" s="9">
        <f>IF(AND(C9=""),"",IF(AND($Y$3=""),"",ROUND(C9*Master!H$5%,0)))</f>
        <v>6426</v>
      </c>
      <c r="F9" s="9">
        <f>IF(AND(C9=""),"",SUM(C9:E9))</f>
        <v>104958</v>
      </c>
      <c r="G9" s="9">
        <f>IF(AND($Y$3=""),"",G8)</f>
        <v>71400</v>
      </c>
      <c r="H9" s="9">
        <f>IF(AND(G9=""),"",IF(AND($Y$3=""),"",ROUND(G9*Master!C$4%,0)))</f>
        <v>24276</v>
      </c>
      <c r="I9" s="9">
        <f>IF(AND(G9=""),"",IF(AND($Y$3=""),"",ROUND(G9*Master!H$4%,0)))</f>
        <v>6426</v>
      </c>
      <c r="J9" s="9">
        <f t="shared" si="1"/>
        <v>102102</v>
      </c>
      <c r="K9" s="9">
        <f t="shared" si="2"/>
        <v>0</v>
      </c>
      <c r="L9" s="9">
        <f t="shared" si="2"/>
        <v>2856</v>
      </c>
      <c r="M9" s="9">
        <f t="shared" si="2"/>
        <v>0</v>
      </c>
      <c r="N9" s="9">
        <f t="shared" si="2"/>
        <v>2856</v>
      </c>
      <c r="O9" s="9">
        <f t="shared" ref="O9:O10" si="3">IF(AND(C9=""),"",N9-P9)</f>
        <v>2856</v>
      </c>
      <c r="P9" s="9">
        <f>IF(AND($Y$3=""),"",IF(AND(N9=""),"",ROUND(N9*AA$1%,0)))</f>
        <v>0</v>
      </c>
      <c r="Q9" s="9">
        <f>IF(AND($Y$3=""),"",IF(AND(C9=""),"",IF(AND(O9=""),"",SUM(O9,P9))))</f>
        <v>2856</v>
      </c>
      <c r="R9" s="9">
        <f t="shared" ref="R9:R10" si="4">IF(AND(N9=""),"",IF(AND(Q9=""),"",N9-Q9))</f>
        <v>0</v>
      </c>
      <c r="S9" s="20"/>
    </row>
    <row r="10" spans="1:27" ht="21" customHeight="1">
      <c r="A10" s="8">
        <v>3</v>
      </c>
      <c r="B10" s="23">
        <f>IFERROR(DATE(YEAR(B9),MONTH(B9)+1,DAY(B9)),"")</f>
        <v>44805</v>
      </c>
      <c r="C10" s="9">
        <f>IF(AND($Y$3=""),"",C9)</f>
        <v>71400</v>
      </c>
      <c r="D10" s="9">
        <f>IF(AND(C10=""),"",IF(AND($Y$3=""),"",ROUND(C10*Master!C$5%,0)))</f>
        <v>27132</v>
      </c>
      <c r="E10" s="9">
        <f>IF(AND(C10=""),"",IF(AND($Y$3=""),"",ROUND(C10*Master!H$5%,0)))</f>
        <v>6426</v>
      </c>
      <c r="F10" s="9">
        <f t="shared" si="0"/>
        <v>104958</v>
      </c>
      <c r="G10" s="9">
        <f>IF(AND($Y$3=""),"",G9)</f>
        <v>71400</v>
      </c>
      <c r="H10" s="9">
        <f>IF(AND(G10=""),"",IF(AND($Y$3=""),"",ROUND(G10*Master!C$4%,0)))</f>
        <v>24276</v>
      </c>
      <c r="I10" s="9">
        <f>IF(AND(G10=""),"",IF(AND($Y$3=""),"",ROUND(G10*Master!H$4%,0)))</f>
        <v>6426</v>
      </c>
      <c r="J10" s="9">
        <f>IF(AND(C10=""),"",SUM(G10:I10))</f>
        <v>102102</v>
      </c>
      <c r="K10" s="9">
        <f t="shared" si="2"/>
        <v>0</v>
      </c>
      <c r="L10" s="9">
        <f t="shared" si="2"/>
        <v>2856</v>
      </c>
      <c r="M10" s="9">
        <f>IF(AND(E10=""),"",IF(AND(I10=""),"",E10-I10))</f>
        <v>0</v>
      </c>
      <c r="N10" s="9">
        <f>IF(AND(F10=""),"",IF(AND(J10=""),"",F10-J10))</f>
        <v>2856</v>
      </c>
      <c r="O10" s="9">
        <f t="shared" si="3"/>
        <v>2856</v>
      </c>
      <c r="P10" s="9">
        <f>IF(AND($Y$3=""),"",IF(AND(N10=""),"",ROUND(N10*AA$1%,0)))</f>
        <v>0</v>
      </c>
      <c r="Q10" s="9">
        <f>IF(AND($Y$3=""),"",IF(AND(C10=""),"",IF(AND(O10=""),"",SUM(O10,P10))))</f>
        <v>2856</v>
      </c>
      <c r="R10" s="9">
        <f t="shared" si="4"/>
        <v>0</v>
      </c>
      <c r="S10" s="20"/>
    </row>
    <row r="11" spans="1:27" ht="23.25" customHeight="1">
      <c r="A11" s="108" t="s">
        <v>9</v>
      </c>
      <c r="B11" s="109"/>
      <c r="C11" s="64">
        <f t="shared" ref="C11:R11" si="5">IF(AND($Y$3=""),"",SUM(C8:C10))</f>
        <v>214200</v>
      </c>
      <c r="D11" s="64">
        <f t="shared" si="5"/>
        <v>81396</v>
      </c>
      <c r="E11" s="64">
        <f t="shared" si="5"/>
        <v>19278</v>
      </c>
      <c r="F11" s="64">
        <f t="shared" si="5"/>
        <v>314874</v>
      </c>
      <c r="G11" s="64">
        <f t="shared" si="5"/>
        <v>214200</v>
      </c>
      <c r="H11" s="64">
        <f t="shared" si="5"/>
        <v>72828</v>
      </c>
      <c r="I11" s="64">
        <f t="shared" si="5"/>
        <v>19278</v>
      </c>
      <c r="J11" s="64">
        <f t="shared" si="5"/>
        <v>306306</v>
      </c>
      <c r="K11" s="64">
        <f t="shared" si="5"/>
        <v>0</v>
      </c>
      <c r="L11" s="64">
        <f t="shared" si="5"/>
        <v>8568</v>
      </c>
      <c r="M11" s="64">
        <f t="shared" si="5"/>
        <v>0</v>
      </c>
      <c r="N11" s="64">
        <f t="shared" si="5"/>
        <v>8568</v>
      </c>
      <c r="O11" s="64">
        <f t="shared" si="5"/>
        <v>8568</v>
      </c>
      <c r="P11" s="64">
        <f t="shared" si="5"/>
        <v>0</v>
      </c>
      <c r="Q11" s="64">
        <f t="shared" si="5"/>
        <v>8568</v>
      </c>
      <c r="R11" s="64">
        <f t="shared" si="5"/>
        <v>0</v>
      </c>
      <c r="S11" s="50"/>
    </row>
    <row r="12" spans="1:27" ht="10.5" customHeight="1">
      <c r="A12" s="75"/>
      <c r="B12" s="75"/>
      <c r="C12" s="76"/>
      <c r="D12" s="76"/>
      <c r="E12" s="76"/>
      <c r="F12" s="76"/>
      <c r="G12" s="76"/>
      <c r="H12" s="76"/>
      <c r="I12" s="76"/>
      <c r="J12" s="76"/>
      <c r="K12" s="76"/>
      <c r="L12" s="76"/>
      <c r="M12" s="76"/>
      <c r="N12" s="76"/>
      <c r="O12" s="76"/>
      <c r="P12" s="76"/>
      <c r="Q12" s="76"/>
      <c r="R12" s="76"/>
      <c r="S12" s="77"/>
    </row>
    <row r="13" spans="1:27" ht="23.25" customHeight="1">
      <c r="E13" s="116" t="s">
        <v>10</v>
      </c>
      <c r="F13" s="116"/>
      <c r="G13" s="116"/>
      <c r="H13" s="116"/>
      <c r="I13" s="116"/>
      <c r="J13" s="115" t="str">
        <f>IF(ISNA(VLOOKUP($Y$15,Master!A$8:N$127,2,FALSE)),"",VLOOKUP($Y$15,Master!A$8:AH$127,2,FALSE))</f>
        <v>KALYAN SINGH</v>
      </c>
      <c r="K13" s="115"/>
      <c r="L13" s="115"/>
      <c r="M13" s="115"/>
      <c r="N13" s="115"/>
      <c r="O13" s="61" t="s">
        <v>31</v>
      </c>
      <c r="P13" s="115" t="str">
        <f>IF(ISNA(VLOOKUP($Y$15,Master!A$8:N$127,3,FALSE)),"",VLOOKUP($Y$15,Master!A$8:AH$127,3,FALSE))</f>
        <v>LECTURER</v>
      </c>
      <c r="Q13" s="115"/>
      <c r="R13" s="115"/>
      <c r="S13" s="115"/>
    </row>
    <row r="14" spans="1:27" ht="9" customHeight="1">
      <c r="E14" s="19"/>
      <c r="F14" s="53"/>
      <c r="G14" s="22"/>
      <c r="H14" s="22"/>
      <c r="I14" s="22"/>
      <c r="J14" s="5"/>
      <c r="K14" s="5"/>
      <c r="L14" s="5"/>
      <c r="M14" s="5"/>
      <c r="N14" s="5"/>
      <c r="O14" s="6"/>
      <c r="P14" s="6"/>
    </row>
    <row r="15" spans="1:27" ht="21" customHeight="1">
      <c r="A15" s="8">
        <v>1</v>
      </c>
      <c r="B15" s="23">
        <f>IFERROR(IF(ISNA(VLOOKUP(Y15,Master!A$8:N$127,8,FALSE)),"",VLOOKUP($Y15,Master!A$8:AH$127,8,FALSE)),"")</f>
        <v>44743</v>
      </c>
      <c r="C15" s="9">
        <f>IFERROR(IF(ISNA(VLOOKUP($Y$15,Master!A$8:N$127,5,FALSE)),"",VLOOKUP($Y$15,Master!A$8:AH$127,5,FALSE)),"")</f>
        <v>47000</v>
      </c>
      <c r="D15" s="9">
        <f>IF(AND(C15=""),"",IF(AND($Y$15=""),"",ROUND(C15*Master!C$5%,0)))</f>
        <v>17860</v>
      </c>
      <c r="E15" s="9">
        <f>IF(AND(C15=""),"",IF(AND($Y$15=""),"",ROUND(C15*Master!H$5%,0)))</f>
        <v>4230</v>
      </c>
      <c r="F15" s="9">
        <f t="shared" ref="F15:F17" si="6">IF(AND(C15=""),"",SUM(C15:E15))</f>
        <v>69090</v>
      </c>
      <c r="G15" s="9">
        <f>IFERROR(IF(ISNA(VLOOKUP($Y$15,Master!A$8:N$127,5,FALSE)),"",VLOOKUP($Y$15,Master!A$8:AH$127,5,FALSE)),"")</f>
        <v>47000</v>
      </c>
      <c r="H15" s="9">
        <f>IF(AND(G15=""),"",IF(AND($Y$15=""),"",ROUND(G15*Master!C$4%,0)))</f>
        <v>15980</v>
      </c>
      <c r="I15" s="9">
        <f>IF(AND(G15=""),"",IF(AND($Y$15=""),"",ROUND(G15*Master!H$4%,0)))</f>
        <v>4230</v>
      </c>
      <c r="J15" s="9">
        <f t="shared" ref="J15:J17" si="7">IF(AND(C15=""),"",SUM(G15:I15))</f>
        <v>67210</v>
      </c>
      <c r="K15" s="9">
        <f t="shared" ref="K15:K17" si="8">IF(AND(C15=""),"",IF(AND(G15=""),"",C15-G15))</f>
        <v>0</v>
      </c>
      <c r="L15" s="9">
        <f>IF(AND(D15=""),"",IF(AND(H15=""),"",D15-H15))</f>
        <v>1880</v>
      </c>
      <c r="M15" s="9">
        <f t="shared" ref="M15:M17" si="9">IF(AND(E15=""),"",IF(AND(I15=""),"",E15-I15))</f>
        <v>0</v>
      </c>
      <c r="N15" s="9">
        <f t="shared" ref="N15:N17" si="10">IF(AND(F15=""),"",IF(AND(J15=""),"",F15-J15))</f>
        <v>1880</v>
      </c>
      <c r="O15" s="9">
        <f>IF(AND(C15=""),"",N15-P15)</f>
        <v>1880</v>
      </c>
      <c r="P15" s="9">
        <f>IF(AND($Y$15=""),"",IF(AND(N15=""),"",ROUND(N15*X$16%,0)))</f>
        <v>0</v>
      </c>
      <c r="Q15" s="9">
        <f>IF(AND($Y$15=""),"",IF(AND(C15=""),"",IF(AND(O15=""),"",SUM(O15,P15))))</f>
        <v>1880</v>
      </c>
      <c r="R15" s="9">
        <f>IF(AND(N15=""),"",IF(AND(Q15=""),"",N15-Q15))</f>
        <v>0</v>
      </c>
      <c r="S15" s="20"/>
      <c r="X15" s="62" t="s">
        <v>62</v>
      </c>
      <c r="Y15" s="65">
        <f>IF(AND(Master!B9="",Master!E9=""),"",2)</f>
        <v>2</v>
      </c>
    </row>
    <row r="16" spans="1:27" ht="21" customHeight="1">
      <c r="A16" s="8">
        <v>2</v>
      </c>
      <c r="B16" s="23">
        <f>IFERROR(DATE(YEAR(B15),MONTH(B15)+1,DAY(B15)),"")</f>
        <v>44774</v>
      </c>
      <c r="C16" s="9">
        <f>IF(AND($Y$15=""),"",C15)</f>
        <v>47000</v>
      </c>
      <c r="D16" s="9">
        <f>IF(AND(C16=""),"",IF(AND($Y$15=""),"",ROUND(C16*Master!C$5%,0)))</f>
        <v>17860</v>
      </c>
      <c r="E16" s="9">
        <f>IF(AND(C16=""),"",IF(AND($Y$15=""),"",ROUND(C16*Master!H$5%,0)))</f>
        <v>4230</v>
      </c>
      <c r="F16" s="9">
        <f t="shared" si="6"/>
        <v>69090</v>
      </c>
      <c r="G16" s="9">
        <f>IF(AND($Y$15=""),"",G15)</f>
        <v>47000</v>
      </c>
      <c r="H16" s="9">
        <f>IF(AND(G16=""),"",IF(AND($Y$15=""),"",ROUND(G16*Master!C$4%,0)))</f>
        <v>15980</v>
      </c>
      <c r="I16" s="9">
        <f>IF(AND(G16=""),"",IF(AND($Y$15=""),"",ROUND(G16*Master!H$4%,0)))</f>
        <v>4230</v>
      </c>
      <c r="J16" s="9">
        <f t="shared" si="7"/>
        <v>67210</v>
      </c>
      <c r="K16" s="9">
        <f>IF(AND(C16=""),"",IF(AND(G16=""),"",C16-G16))</f>
        <v>0</v>
      </c>
      <c r="L16" s="9">
        <f t="shared" ref="L16:L17" si="11">IF(AND(D16=""),"",IF(AND(H16=""),"",D16-H16))</f>
        <v>1880</v>
      </c>
      <c r="M16" s="9">
        <f t="shared" si="9"/>
        <v>0</v>
      </c>
      <c r="N16" s="9">
        <f t="shared" si="10"/>
        <v>1880</v>
      </c>
      <c r="O16" s="9">
        <f t="shared" ref="O16:O17" si="12">IF(AND(C16=""),"",N16-P16)</f>
        <v>1880</v>
      </c>
      <c r="P16" s="9">
        <f t="shared" ref="P16:P17" si="13">IF(AND($Y$15=""),"",IF(AND(N16=""),"",ROUND(N16*X$16%,0)))</f>
        <v>0</v>
      </c>
      <c r="Q16" s="9">
        <f>IF(AND($Y$15=""),"",IF(AND(C16=""),"",IF(AND(O16=""),"",SUM(O16,P16))))</f>
        <v>1880</v>
      </c>
      <c r="R16" s="9">
        <f t="shared" ref="R16:R17" si="14">IF(AND(N16=""),"",IF(AND(Q16=""),"",N16-Q16))</f>
        <v>0</v>
      </c>
      <c r="S16" s="20"/>
      <c r="X16" s="4">
        <f>IF(ISNA(VLOOKUP($Y$15,Master!A$8:N$127,7,FALSE)),"",VLOOKUP($Y$15,Master!A$8:AH$127,7,FALSE))</f>
        <v>0</v>
      </c>
    </row>
    <row r="17" spans="1:25" ht="21" customHeight="1">
      <c r="A17" s="8">
        <v>3</v>
      </c>
      <c r="B17" s="23">
        <f>IFERROR(DATE(YEAR(B16),MONTH(B16)+1,DAY(B16)),"")</f>
        <v>44805</v>
      </c>
      <c r="C17" s="9">
        <f>IF(AND($Y$15=""),"",C16)</f>
        <v>47000</v>
      </c>
      <c r="D17" s="9">
        <f>IF(AND(C17=""),"",IF(AND($Y$15=""),"",ROUND(C17*Master!C$5%,0)))</f>
        <v>17860</v>
      </c>
      <c r="E17" s="9">
        <f>IF(AND(C17=""),"",IF(AND($Y$15=""),"",ROUND(C17*Master!H$5%,0)))</f>
        <v>4230</v>
      </c>
      <c r="F17" s="9">
        <f t="shared" si="6"/>
        <v>69090</v>
      </c>
      <c r="G17" s="9">
        <f>IF(AND($Y$15=""),"",G16)</f>
        <v>47000</v>
      </c>
      <c r="H17" s="9">
        <f>IF(AND(G17=""),"",IF(AND($Y$15=""),"",ROUND(G17*Master!C$4%,0)))</f>
        <v>15980</v>
      </c>
      <c r="I17" s="9">
        <f>IF(AND(G17=""),"",IF(AND($Y$15=""),"",ROUND(G17*Master!H$4%,0)))</f>
        <v>4230</v>
      </c>
      <c r="J17" s="9">
        <f t="shared" si="7"/>
        <v>67210</v>
      </c>
      <c r="K17" s="9">
        <f t="shared" si="8"/>
        <v>0</v>
      </c>
      <c r="L17" s="9">
        <f t="shared" si="11"/>
        <v>1880</v>
      </c>
      <c r="M17" s="9">
        <f t="shared" si="9"/>
        <v>0</v>
      </c>
      <c r="N17" s="9">
        <f t="shared" si="10"/>
        <v>1880</v>
      </c>
      <c r="O17" s="9">
        <f t="shared" si="12"/>
        <v>1880</v>
      </c>
      <c r="P17" s="9">
        <f t="shared" si="13"/>
        <v>0</v>
      </c>
      <c r="Q17" s="9">
        <f>IF(AND($Y$15=""),"",IF(AND(C17=""),"",IF(AND(O17=""),"",SUM(O17,P17))))</f>
        <v>1880</v>
      </c>
      <c r="R17" s="9">
        <f t="shared" si="14"/>
        <v>0</v>
      </c>
      <c r="S17" s="20"/>
    </row>
    <row r="18" spans="1:25" ht="30.75" customHeight="1">
      <c r="A18" s="108" t="s">
        <v>9</v>
      </c>
      <c r="B18" s="109"/>
      <c r="C18" s="64">
        <f>IF(AND($Y$15=""),"",SUM(C15:C17))</f>
        <v>141000</v>
      </c>
      <c r="D18" s="64">
        <f t="shared" ref="D18:R18" si="15">IF(AND($Y$15=""),"",SUM(D15:D17))</f>
        <v>53580</v>
      </c>
      <c r="E18" s="64">
        <f t="shared" si="15"/>
        <v>12690</v>
      </c>
      <c r="F18" s="64">
        <f t="shared" si="15"/>
        <v>207270</v>
      </c>
      <c r="G18" s="64">
        <f t="shared" si="15"/>
        <v>141000</v>
      </c>
      <c r="H18" s="64">
        <f t="shared" si="15"/>
        <v>47940</v>
      </c>
      <c r="I18" s="64">
        <f t="shared" si="15"/>
        <v>12690</v>
      </c>
      <c r="J18" s="64">
        <f t="shared" si="15"/>
        <v>201630</v>
      </c>
      <c r="K18" s="64">
        <f t="shared" si="15"/>
        <v>0</v>
      </c>
      <c r="L18" s="64">
        <f t="shared" si="15"/>
        <v>5640</v>
      </c>
      <c r="M18" s="64">
        <f t="shared" si="15"/>
        <v>0</v>
      </c>
      <c r="N18" s="64">
        <f t="shared" si="15"/>
        <v>5640</v>
      </c>
      <c r="O18" s="64">
        <f t="shared" si="15"/>
        <v>5640</v>
      </c>
      <c r="P18" s="64">
        <f t="shared" si="15"/>
        <v>0</v>
      </c>
      <c r="Q18" s="64">
        <f t="shared" si="15"/>
        <v>5640</v>
      </c>
      <c r="R18" s="64">
        <f t="shared" si="15"/>
        <v>0</v>
      </c>
      <c r="S18" s="50"/>
    </row>
    <row r="19" spans="1:25" ht="11.25" customHeight="1">
      <c r="A19" s="75"/>
      <c r="B19" s="75"/>
      <c r="C19" s="76"/>
      <c r="D19" s="76"/>
      <c r="E19" s="76"/>
      <c r="F19" s="76"/>
      <c r="G19" s="76"/>
      <c r="H19" s="76"/>
      <c r="I19" s="76"/>
      <c r="J19" s="76"/>
      <c r="K19" s="76"/>
      <c r="L19" s="76"/>
      <c r="M19" s="76"/>
      <c r="N19" s="76"/>
      <c r="O19" s="76"/>
      <c r="P19" s="76"/>
      <c r="Q19" s="76"/>
      <c r="R19" s="76"/>
      <c r="S19" s="77"/>
    </row>
    <row r="20" spans="1:25" ht="23.25" customHeight="1">
      <c r="E20" s="116" t="s">
        <v>10</v>
      </c>
      <c r="F20" s="116"/>
      <c r="G20" s="116"/>
      <c r="H20" s="116"/>
      <c r="I20" s="116"/>
      <c r="J20" s="115" t="str">
        <f>IF(ISNA(VLOOKUP($Y$22,Master!A$8:N$127,2,FALSE)),"",VLOOKUP($Y$22,Master!A$8:AH$127,2,FALSE))</f>
        <v>BHAGWAN SINGH</v>
      </c>
      <c r="K20" s="115"/>
      <c r="L20" s="115"/>
      <c r="M20" s="115"/>
      <c r="N20" s="115"/>
      <c r="O20" s="61" t="s">
        <v>31</v>
      </c>
      <c r="P20" s="115" t="str">
        <f>IF(ISNA(VLOOKUP($Y$22,Master!A$8:N$127,3,FALSE)),"",VLOOKUP($Y$22,Master!A$8:AH$127,3,FALSE))</f>
        <v>LECTURER</v>
      </c>
      <c r="Q20" s="115"/>
      <c r="R20" s="115"/>
      <c r="S20" s="115"/>
    </row>
    <row r="21" spans="1:25" ht="9" customHeight="1">
      <c r="E21" s="19"/>
      <c r="F21" s="53"/>
      <c r="G21" s="22"/>
      <c r="H21" s="22"/>
      <c r="I21" s="22"/>
      <c r="J21" s="5"/>
      <c r="K21" s="5"/>
      <c r="L21" s="5"/>
      <c r="M21" s="5"/>
      <c r="N21" s="5"/>
      <c r="O21" s="6"/>
      <c r="P21" s="6"/>
    </row>
    <row r="22" spans="1:25" ht="21" customHeight="1">
      <c r="A22" s="8">
        <v>1</v>
      </c>
      <c r="B22" s="23">
        <f>IFERROR(IF(ISNA(VLOOKUP(Y22,Master!A$8:N$127,8,FALSE)),"",VLOOKUP($Y22,Master!A$8:AH$127,8,FALSE)),"")</f>
        <v>44743</v>
      </c>
      <c r="C22" s="9">
        <f>IFERROR(IF(ISNA(VLOOKUP($Y$22,Master!A$8:N$127,5,FALSE)),"",VLOOKUP($Y$22,Master!A$8:AH$127,5,FALSE)),"")</f>
        <v>71300</v>
      </c>
      <c r="D22" s="9">
        <f>IF(AND(C22=""),"",IF(AND($Y$22=""),"",ROUND(C22*Master!C$5%,0)))</f>
        <v>27094</v>
      </c>
      <c r="E22" s="9">
        <f>IF(AND(C22=""),"",IF(AND($Y$22=""),"",ROUND(C22*Master!H$5%,0)))</f>
        <v>6417</v>
      </c>
      <c r="F22" s="9">
        <f t="shared" ref="F22:F24" si="16">IF(AND(C22=""),"",SUM(C22:E22))</f>
        <v>104811</v>
      </c>
      <c r="G22" s="9">
        <f>IFERROR(IF(ISNA(VLOOKUP($Y$22,Master!A$8:N$127,5,FALSE)),"",VLOOKUP($Y$22,Master!A$8:AH$127,5,FALSE)),"")</f>
        <v>71300</v>
      </c>
      <c r="H22" s="9">
        <f>IF(AND(G22=""),"",IF(AND($Y$22=""),"",ROUND(G22*Master!C$4%,0)))</f>
        <v>24242</v>
      </c>
      <c r="I22" s="9">
        <f>IF(AND(G22=""),"",IF(AND($Y$22=""),"",ROUND(G22*Master!H$4%,0)))</f>
        <v>6417</v>
      </c>
      <c r="J22" s="9">
        <f t="shared" ref="J22:J24" si="17">IF(AND(C22=""),"",SUM(G22:I22))</f>
        <v>101959</v>
      </c>
      <c r="K22" s="9">
        <f t="shared" ref="K22:K24" si="18">IF(AND(C22=""),"",IF(AND(G22=""),"",C22-G22))</f>
        <v>0</v>
      </c>
      <c r="L22" s="9">
        <f t="shared" ref="L22:L24" si="19">IF(AND(D22=""),"",IF(AND(H22=""),"",D22-H22))</f>
        <v>2852</v>
      </c>
      <c r="M22" s="9">
        <f t="shared" ref="M22:M24" si="20">IF(AND(E22=""),"",IF(AND(I22=""),"",E22-I22))</f>
        <v>0</v>
      </c>
      <c r="N22" s="9">
        <f t="shared" ref="N22:N24" si="21">IF(AND(F22=""),"",IF(AND(J22=""),"",F22-J22))</f>
        <v>2852</v>
      </c>
      <c r="O22" s="9">
        <f>IF(AND(C22=""),"",N22-P22)</f>
        <v>2852</v>
      </c>
      <c r="P22" s="9">
        <f>IF(AND($Y$22=""),"",IF(AND(N22=""),"",ROUND(N22*$X$23%,0)))</f>
        <v>0</v>
      </c>
      <c r="Q22" s="9">
        <f>IF(AND($Y$22=""),"",IF(AND(C22=""),"",IF(AND(O22=""),"",SUM(O22,P22))))</f>
        <v>2852</v>
      </c>
      <c r="R22" s="9">
        <f>IF(AND(N22=""),"",IF(AND(Q22=""),"",N22-Q22))</f>
        <v>0</v>
      </c>
      <c r="S22" s="20"/>
      <c r="X22" s="62" t="s">
        <v>62</v>
      </c>
      <c r="Y22" s="65">
        <f>IF(AND(Master!B10="",Master!E10=""),"",3)</f>
        <v>3</v>
      </c>
    </row>
    <row r="23" spans="1:25" ht="21" customHeight="1">
      <c r="A23" s="8">
        <v>2</v>
      </c>
      <c r="B23" s="23">
        <f>IFERROR(DATE(YEAR(B22),MONTH(B22)+1,DAY(B22)),"")</f>
        <v>44774</v>
      </c>
      <c r="C23" s="9">
        <f>IF(AND($Y$22=""),"",C22)</f>
        <v>71300</v>
      </c>
      <c r="D23" s="9">
        <f>IF(AND(C23=""),"",IF(AND($Y$22=""),"",ROUND(C23*Master!C$5%,0)))</f>
        <v>27094</v>
      </c>
      <c r="E23" s="9">
        <f>IF(AND(C23=""),"",IF(AND($Y$22=""),"",ROUND(C23*Master!H$5%,0)))</f>
        <v>6417</v>
      </c>
      <c r="F23" s="9">
        <f t="shared" si="16"/>
        <v>104811</v>
      </c>
      <c r="G23" s="9">
        <f>IF(AND($Y$22=""),"",G22)</f>
        <v>71300</v>
      </c>
      <c r="H23" s="9">
        <f>IF(AND(G23=""),"",IF(AND($Y$22=""),"",ROUND(G23*Master!C$4%,0)))</f>
        <v>24242</v>
      </c>
      <c r="I23" s="9">
        <f>IF(AND(G23=""),"",IF(AND($Y$22=""),"",ROUND(G23*Master!H$4%,0)))</f>
        <v>6417</v>
      </c>
      <c r="J23" s="9">
        <f t="shared" si="17"/>
        <v>101959</v>
      </c>
      <c r="K23" s="9">
        <f t="shared" si="18"/>
        <v>0</v>
      </c>
      <c r="L23" s="9">
        <f t="shared" si="19"/>
        <v>2852</v>
      </c>
      <c r="M23" s="9">
        <f t="shared" si="20"/>
        <v>0</v>
      </c>
      <c r="N23" s="9">
        <f t="shared" si="21"/>
        <v>2852</v>
      </c>
      <c r="O23" s="9">
        <f t="shared" ref="O23:O24" si="22">IF(AND(C23=""),"",N23-P23)</f>
        <v>2852</v>
      </c>
      <c r="P23" s="9">
        <f t="shared" ref="P23:P24" si="23">IF(AND($Y$22=""),"",IF(AND(N23=""),"",ROUND(N23*$X$23%,0)))</f>
        <v>0</v>
      </c>
      <c r="Q23" s="9">
        <f>IF(AND($Y$22=""),"",IF(AND(C23=""),"",IF(AND(O23=""),"",SUM(O23,P23))))</f>
        <v>2852</v>
      </c>
      <c r="R23" s="9">
        <f t="shared" ref="R23:R24" si="24">IF(AND(N23=""),"",IF(AND(Q23=""),"",N23-Q23))</f>
        <v>0</v>
      </c>
      <c r="S23" s="20"/>
      <c r="X23" s="4">
        <f>IF(ISNA(VLOOKUP($Y$22,Master!A$8:N$127,7,FALSE)),"",VLOOKUP($Y$22,Master!A$8:AH$127,7,FALSE))</f>
        <v>0</v>
      </c>
    </row>
    <row r="24" spans="1:25" ht="21" customHeight="1">
      <c r="A24" s="8">
        <v>3</v>
      </c>
      <c r="B24" s="23">
        <f>IFERROR(DATE(YEAR(B23),MONTH(B23)+1,DAY(B23)),"")</f>
        <v>44805</v>
      </c>
      <c r="C24" s="9">
        <f>IF(AND($Y$22=""),"",C23)</f>
        <v>71300</v>
      </c>
      <c r="D24" s="9">
        <f>IF(AND(C24=""),"",IF(AND($Y$22=""),"",ROUND(C24*Master!C$5%,0)))</f>
        <v>27094</v>
      </c>
      <c r="E24" s="9">
        <f>IF(AND(C24=""),"",IF(AND($Y$22=""),"",ROUND(C24*Master!H$5%,0)))</f>
        <v>6417</v>
      </c>
      <c r="F24" s="9">
        <f t="shared" si="16"/>
        <v>104811</v>
      </c>
      <c r="G24" s="9">
        <f>IF(AND($Y$22=""),"",G23)</f>
        <v>71300</v>
      </c>
      <c r="H24" s="9">
        <f>IF(AND(G24=""),"",IF(AND($Y$22=""),"",ROUND(G24*Master!C$4%,0)))</f>
        <v>24242</v>
      </c>
      <c r="I24" s="9">
        <f>IF(AND(G24=""),"",IF(AND($Y$22=""),"",ROUND(G24*Master!H$4%,0)))</f>
        <v>6417</v>
      </c>
      <c r="J24" s="9">
        <f t="shared" si="17"/>
        <v>101959</v>
      </c>
      <c r="K24" s="9">
        <f t="shared" si="18"/>
        <v>0</v>
      </c>
      <c r="L24" s="9">
        <f t="shared" si="19"/>
        <v>2852</v>
      </c>
      <c r="M24" s="9">
        <f t="shared" si="20"/>
        <v>0</v>
      </c>
      <c r="N24" s="9">
        <f t="shared" si="21"/>
        <v>2852</v>
      </c>
      <c r="O24" s="9">
        <f t="shared" si="22"/>
        <v>2852</v>
      </c>
      <c r="P24" s="9">
        <f t="shared" si="23"/>
        <v>0</v>
      </c>
      <c r="Q24" s="9">
        <f>IF(AND($Y$22=""),"",IF(AND(C24=""),"",IF(AND(O24=""),"",SUM(O24,P24))))</f>
        <v>2852</v>
      </c>
      <c r="R24" s="9">
        <f t="shared" si="24"/>
        <v>0</v>
      </c>
      <c r="S24" s="20"/>
    </row>
    <row r="25" spans="1:25" ht="30.75" customHeight="1">
      <c r="A25" s="108" t="s">
        <v>9</v>
      </c>
      <c r="B25" s="109"/>
      <c r="C25" s="64">
        <f t="shared" ref="C25:R25" si="25">IF(AND($Y$22=""),"",SUM(C22:C24))</f>
        <v>213900</v>
      </c>
      <c r="D25" s="64">
        <f t="shared" si="25"/>
        <v>81282</v>
      </c>
      <c r="E25" s="64">
        <f t="shared" si="25"/>
        <v>19251</v>
      </c>
      <c r="F25" s="64">
        <f t="shared" si="25"/>
        <v>314433</v>
      </c>
      <c r="G25" s="64">
        <f t="shared" si="25"/>
        <v>213900</v>
      </c>
      <c r="H25" s="64">
        <f t="shared" si="25"/>
        <v>72726</v>
      </c>
      <c r="I25" s="64">
        <f t="shared" si="25"/>
        <v>19251</v>
      </c>
      <c r="J25" s="64">
        <f t="shared" si="25"/>
        <v>305877</v>
      </c>
      <c r="K25" s="64">
        <f t="shared" si="25"/>
        <v>0</v>
      </c>
      <c r="L25" s="64">
        <f t="shared" si="25"/>
        <v>8556</v>
      </c>
      <c r="M25" s="64">
        <f t="shared" si="25"/>
        <v>0</v>
      </c>
      <c r="N25" s="64">
        <f t="shared" si="25"/>
        <v>8556</v>
      </c>
      <c r="O25" s="64">
        <f t="shared" si="25"/>
        <v>8556</v>
      </c>
      <c r="P25" s="64">
        <f t="shared" si="25"/>
        <v>0</v>
      </c>
      <c r="Q25" s="64">
        <f t="shared" si="25"/>
        <v>8556</v>
      </c>
      <c r="R25" s="64">
        <f t="shared" si="25"/>
        <v>0</v>
      </c>
      <c r="S25" s="50"/>
    </row>
    <row r="26" spans="1:25" ht="30.75" customHeight="1">
      <c r="A26" s="75"/>
      <c r="B26" s="75"/>
      <c r="C26" s="76"/>
      <c r="D26" s="76"/>
      <c r="E26" s="76"/>
      <c r="F26" s="76"/>
      <c r="G26" s="76"/>
      <c r="H26" s="76"/>
      <c r="I26" s="76"/>
      <c r="J26" s="76"/>
      <c r="K26" s="76"/>
      <c r="L26" s="76"/>
      <c r="M26" s="76"/>
      <c r="N26" s="76"/>
      <c r="O26" s="76"/>
      <c r="P26" s="76"/>
      <c r="Q26" s="76"/>
      <c r="R26" s="76"/>
      <c r="S26" s="77"/>
    </row>
    <row r="27" spans="1:25" ht="18.75">
      <c r="A27" s="21"/>
      <c r="B27" s="59"/>
      <c r="C27" s="59"/>
      <c r="D27" s="59"/>
      <c r="E27" s="59"/>
      <c r="F27" s="59"/>
      <c r="G27" s="59"/>
      <c r="H27" s="60"/>
      <c r="I27" s="60"/>
      <c r="J27" s="60"/>
      <c r="K27" s="68"/>
      <c r="L27" s="68"/>
      <c r="M27" s="68"/>
      <c r="N27" s="68"/>
      <c r="O27" s="107" t="s">
        <v>55</v>
      </c>
      <c r="P27" s="107"/>
      <c r="Q27" s="107"/>
      <c r="R27" s="107"/>
      <c r="S27" s="107"/>
    </row>
    <row r="28" spans="1:25" ht="18.75">
      <c r="A28" s="1"/>
      <c r="B28" s="24" t="s">
        <v>19</v>
      </c>
      <c r="C28" s="118"/>
      <c r="D28" s="118"/>
      <c r="E28" s="118"/>
      <c r="F28" s="118"/>
      <c r="G28" s="118"/>
      <c r="H28" s="25"/>
      <c r="I28" s="121" t="s">
        <v>20</v>
      </c>
      <c r="J28" s="121"/>
      <c r="K28" s="120"/>
      <c r="L28" s="120"/>
      <c r="M28" s="120"/>
      <c r="O28" s="107"/>
      <c r="P28" s="107"/>
      <c r="Q28" s="107"/>
      <c r="R28" s="107"/>
      <c r="S28" s="107"/>
    </row>
    <row r="29" spans="1:25" ht="18.75">
      <c r="A29" s="1"/>
      <c r="B29" s="119" t="s">
        <v>21</v>
      </c>
      <c r="C29" s="119"/>
      <c r="D29" s="119"/>
      <c r="E29" s="119"/>
      <c r="F29" s="119"/>
      <c r="G29" s="119"/>
      <c r="H29" s="119"/>
      <c r="I29" s="27"/>
      <c r="J29" s="26"/>
      <c r="K29" s="26"/>
      <c r="L29" s="26"/>
      <c r="M29" s="26"/>
    </row>
    <row r="30" spans="1:25" ht="18.75">
      <c r="A30" s="22">
        <v>1</v>
      </c>
      <c r="B30" s="117" t="s">
        <v>22</v>
      </c>
      <c r="C30" s="117"/>
      <c r="D30" s="117"/>
      <c r="E30" s="117"/>
      <c r="F30" s="117"/>
      <c r="G30" s="117"/>
      <c r="H30" s="117"/>
      <c r="I30" s="28"/>
      <c r="J30" s="26"/>
      <c r="K30" s="26"/>
      <c r="L30" s="26"/>
      <c r="M30" s="26"/>
    </row>
    <row r="31" spans="1:25" ht="18.75">
      <c r="A31" s="2">
        <v>2</v>
      </c>
      <c r="B31" s="117" t="s">
        <v>23</v>
      </c>
      <c r="C31" s="117"/>
      <c r="D31" s="117"/>
      <c r="E31" s="117"/>
      <c r="F31" s="117"/>
      <c r="G31" s="115"/>
      <c r="H31" s="115"/>
      <c r="I31" s="115"/>
      <c r="J31" s="115"/>
      <c r="K31" s="115"/>
      <c r="L31" s="115"/>
      <c r="M31" s="115"/>
    </row>
    <row r="32" spans="1:25" ht="18.75">
      <c r="A32" s="3">
        <v>3</v>
      </c>
      <c r="B32" s="117" t="s">
        <v>24</v>
      </c>
      <c r="C32" s="117"/>
      <c r="D32" s="117"/>
      <c r="E32" s="29"/>
      <c r="F32" s="28"/>
      <c r="G32" s="28"/>
      <c r="H32" s="30"/>
      <c r="I32" s="31"/>
      <c r="J32" s="26"/>
      <c r="K32" s="26"/>
      <c r="L32" s="26"/>
      <c r="M32" s="26"/>
    </row>
    <row r="33" spans="1:27" ht="15.75">
      <c r="O33" s="107" t="s">
        <v>55</v>
      </c>
      <c r="P33" s="107"/>
      <c r="Q33" s="107"/>
      <c r="R33" s="107"/>
      <c r="S33" s="107"/>
    </row>
    <row r="35" spans="1:27" ht="18" customHeight="1">
      <c r="A35" s="122" t="str">
        <f>A1</f>
        <v xml:space="preserve">DA (38%) Drawn Statement  </v>
      </c>
      <c r="B35" s="122"/>
      <c r="C35" s="122"/>
      <c r="D35" s="122"/>
      <c r="E35" s="122"/>
      <c r="F35" s="122"/>
      <c r="G35" s="122"/>
      <c r="H35" s="122"/>
      <c r="I35" s="122"/>
      <c r="J35" s="122"/>
      <c r="K35" s="122"/>
      <c r="L35" s="122"/>
      <c r="M35" s="122"/>
      <c r="N35" s="122"/>
      <c r="O35" s="122"/>
      <c r="P35" s="122"/>
      <c r="Q35" s="122"/>
      <c r="R35" s="122"/>
      <c r="S35" s="122"/>
      <c r="W35" s="4">
        <f>IF(ISNA(VLOOKUP($Y$3,Master!A$8:N$127,4,FALSE)),"",VLOOKUP($Y$3,Master!A$8:AH$127,4,FALSE))</f>
        <v>3</v>
      </c>
      <c r="X35" s="4" t="str">
        <f>IF(ISNA(VLOOKUP($Y$3,Master!A$8:N$127,6,FALSE)),"",VLOOKUP($Y$3,Master!A$8:AH$127,6,FALSE))</f>
        <v>GPF</v>
      </c>
      <c r="Y35" s="4" t="s">
        <v>58</v>
      </c>
      <c r="Z35" s="4" t="s">
        <v>18</v>
      </c>
      <c r="AA35" s="4">
        <f>IF(ISNA(VLOOKUP($Y$37,Master!A$8:N$127,7,FALSE)),"",VLOOKUP($Y$37,Master!A$8:AH$127,7,FALSE))</f>
        <v>0</v>
      </c>
    </row>
    <row r="36" spans="1:27" ht="18">
      <c r="A36" s="114" t="str">
        <f>IF(AND(Master!C37=""),"",CONCATENATE("Office Of  ",Master!C37))</f>
        <v/>
      </c>
      <c r="B36" s="114"/>
      <c r="C36" s="114"/>
      <c r="D36" s="114"/>
      <c r="E36" s="114"/>
      <c r="F36" s="114"/>
      <c r="G36" s="114"/>
      <c r="H36" s="114"/>
      <c r="I36" s="114"/>
      <c r="J36" s="114"/>
      <c r="K36" s="114"/>
      <c r="L36" s="114"/>
      <c r="M36" s="114"/>
      <c r="N36" s="114"/>
      <c r="O36" s="114"/>
      <c r="P36" s="114"/>
      <c r="Q36" s="114"/>
      <c r="R36" s="114"/>
      <c r="S36" s="114"/>
      <c r="X36" s="4">
        <f>IF(ISNA(VLOOKUP($Y$3,Master!A$8:N$127,8,FALSE)),"",VLOOKUP($Y$3,Master!A$8:AH$127,8,FALSE))</f>
        <v>44743</v>
      </c>
      <c r="Y36" s="4" t="s">
        <v>56</v>
      </c>
    </row>
    <row r="37" spans="1:27" ht="18.75">
      <c r="E37" s="116" t="s">
        <v>10</v>
      </c>
      <c r="F37" s="116"/>
      <c r="G37" s="116"/>
      <c r="H37" s="116"/>
      <c r="I37" s="116"/>
      <c r="J37" s="115" t="str">
        <f>IF(ISNA(VLOOKUP($Y$37,Master!A$8:N$127,2,FALSE)),"",VLOOKUP($Y$37,Master!A$8:AH$127,2,FALSE))</f>
        <v>MANGILAL RANGI</v>
      </c>
      <c r="K37" s="115"/>
      <c r="L37" s="115"/>
      <c r="M37" s="115"/>
      <c r="N37" s="115"/>
      <c r="O37" s="61" t="s">
        <v>31</v>
      </c>
      <c r="P37" s="115" t="str">
        <f>IF(ISNA(VLOOKUP($Y$37,Master!A$8:N$127,3,FALSE)),"",VLOOKUP($Y$37,Master!A$8:AH$127,3,FALSE))</f>
        <v>Sr. Teacher</v>
      </c>
      <c r="Q37" s="115"/>
      <c r="R37" s="115"/>
      <c r="S37" s="115"/>
      <c r="X37" s="62" t="s">
        <v>62</v>
      </c>
      <c r="Y37" s="65">
        <f>IF(AND(Master!B11="",Master!E11=""),"",4)</f>
        <v>4</v>
      </c>
    </row>
    <row r="38" spans="1:27" ht="8.25" customHeight="1">
      <c r="E38" s="19"/>
      <c r="F38" s="53"/>
      <c r="G38" s="22"/>
      <c r="H38" s="22"/>
      <c r="I38" s="22"/>
      <c r="J38" s="5"/>
      <c r="K38" s="5"/>
      <c r="L38" s="5"/>
      <c r="M38" s="5"/>
      <c r="N38" s="5"/>
      <c r="O38" s="6"/>
      <c r="P38" s="6"/>
    </row>
    <row r="39" spans="1:27" ht="24.75" customHeight="1">
      <c r="A39" s="110" t="s">
        <v>0</v>
      </c>
      <c r="B39" s="111" t="s">
        <v>3</v>
      </c>
      <c r="C39" s="112" t="s">
        <v>5</v>
      </c>
      <c r="D39" s="112"/>
      <c r="E39" s="112"/>
      <c r="F39" s="112"/>
      <c r="G39" s="112" t="s">
        <v>6</v>
      </c>
      <c r="H39" s="112"/>
      <c r="I39" s="112"/>
      <c r="J39" s="112"/>
      <c r="K39" s="112" t="s">
        <v>7</v>
      </c>
      <c r="L39" s="112"/>
      <c r="M39" s="112"/>
      <c r="N39" s="112"/>
      <c r="O39" s="97" t="s">
        <v>8</v>
      </c>
      <c r="P39" s="98"/>
      <c r="Q39" s="99"/>
      <c r="R39" s="105" t="s">
        <v>67</v>
      </c>
      <c r="S39" s="105" t="s">
        <v>50</v>
      </c>
    </row>
    <row r="40" spans="1:27" ht="69" customHeight="1">
      <c r="A40" s="110"/>
      <c r="B40" s="111"/>
      <c r="C40" s="55" t="s">
        <v>29</v>
      </c>
      <c r="D40" s="56" t="s">
        <v>1</v>
      </c>
      <c r="E40" s="57" t="s">
        <v>2</v>
      </c>
      <c r="F40" s="55" t="s">
        <v>59</v>
      </c>
      <c r="G40" s="55" t="s">
        <v>29</v>
      </c>
      <c r="H40" s="56" t="s">
        <v>1</v>
      </c>
      <c r="I40" s="57" t="s">
        <v>2</v>
      </c>
      <c r="J40" s="55" t="s">
        <v>60</v>
      </c>
      <c r="K40" s="55" t="s">
        <v>4</v>
      </c>
      <c r="L40" s="56" t="s">
        <v>1</v>
      </c>
      <c r="M40" s="57" t="s">
        <v>2</v>
      </c>
      <c r="N40" s="58" t="s">
        <v>61</v>
      </c>
      <c r="O40" s="54" t="s">
        <v>83</v>
      </c>
      <c r="P40" s="67" t="s">
        <v>51</v>
      </c>
      <c r="Q40" s="58" t="s">
        <v>66</v>
      </c>
      <c r="R40" s="105"/>
      <c r="S40" s="105"/>
    </row>
    <row r="41" spans="1:27" ht="18" customHeight="1">
      <c r="A41" s="7">
        <v>1</v>
      </c>
      <c r="B41" s="7">
        <v>2</v>
      </c>
      <c r="C41" s="7">
        <v>3</v>
      </c>
      <c r="D41" s="7">
        <v>4</v>
      </c>
      <c r="E41" s="7">
        <v>5</v>
      </c>
      <c r="F41" s="7">
        <v>6</v>
      </c>
      <c r="G41" s="7">
        <v>7</v>
      </c>
      <c r="H41" s="7">
        <v>8</v>
      </c>
      <c r="I41" s="7">
        <v>9</v>
      </c>
      <c r="J41" s="7">
        <v>10</v>
      </c>
      <c r="K41" s="7">
        <v>11</v>
      </c>
      <c r="L41" s="7">
        <v>12</v>
      </c>
      <c r="M41" s="7">
        <v>13</v>
      </c>
      <c r="N41" s="7">
        <v>14</v>
      </c>
      <c r="O41" s="7">
        <v>15</v>
      </c>
      <c r="P41" s="7">
        <v>17</v>
      </c>
      <c r="Q41" s="7">
        <v>18</v>
      </c>
      <c r="R41" s="7">
        <v>19</v>
      </c>
      <c r="S41" s="7">
        <v>20</v>
      </c>
    </row>
    <row r="42" spans="1:27" ht="21" customHeight="1">
      <c r="A42" s="8">
        <v>1</v>
      </c>
      <c r="B42" s="23">
        <f>IFERROR(IF(ISNA(VLOOKUP(Y37,Master!A$8:N$127,8,FALSE)),"",VLOOKUP($Y37,Master!A$8:AH$127,8,FALSE)),"")</f>
        <v>44743</v>
      </c>
      <c r="C42" s="9">
        <f>IFERROR(IF(ISNA(VLOOKUP(Y37,Master!A$8:N$127,5,FALSE)),"",VLOOKUP($Y$37,Master!A$8:AH$127,5,FALSE)),"")</f>
        <v>71300</v>
      </c>
      <c r="D42" s="9">
        <f>IF(AND(C42=""),"",IF(AND($Y$37=""),"",ROUND(C42*Master!C$5%,0)))</f>
        <v>27094</v>
      </c>
      <c r="E42" s="9">
        <f>IF(AND(C42=""),"",IF(AND($Y$37=""),"",ROUND(C42*Master!H$5%,0)))</f>
        <v>6417</v>
      </c>
      <c r="F42" s="9">
        <f t="shared" ref="F42" si="26">IF(AND(C42=""),"",SUM(C42:E42))</f>
        <v>104811</v>
      </c>
      <c r="G42" s="9">
        <f>IFERROR(IF(ISNA(VLOOKUP($Y$37,Master!A$8:N$127,5,FALSE)),"",VLOOKUP($Y$37,Master!A$8:AH$127,5,FALSE)),"")</f>
        <v>71300</v>
      </c>
      <c r="H42" s="9">
        <f>IF(AND(G42=""),"",IF(AND($Y$37=""),"",ROUND(G42*Master!C$4%,0)))</f>
        <v>24242</v>
      </c>
      <c r="I42" s="9">
        <f>IF(AND(G42=""),"",IF(AND($Y$37=""),"",ROUND(G42*Master!H$4%,0)))</f>
        <v>6417</v>
      </c>
      <c r="J42" s="9">
        <f t="shared" ref="J42:J43" si="27">IF(AND(C42=""),"",SUM(G42:I42))</f>
        <v>101959</v>
      </c>
      <c r="K42" s="9">
        <f t="shared" ref="K42:K44" si="28">IF(AND(C42=""),"",IF(AND(G42=""),"",C42-G42))</f>
        <v>0</v>
      </c>
      <c r="L42" s="9">
        <f t="shared" ref="L42:L44" si="29">IF(AND(D42=""),"",IF(AND(H42=""),"",D42-H42))</f>
        <v>2852</v>
      </c>
      <c r="M42" s="9">
        <f t="shared" ref="M42:M43" si="30">IF(AND(E42=""),"",IF(AND(I42=""),"",E42-I42))</f>
        <v>0</v>
      </c>
      <c r="N42" s="9">
        <f t="shared" ref="N42:N43" si="31">IF(AND(F42=""),"",IF(AND(J42=""),"",F42-J42))</f>
        <v>2852</v>
      </c>
      <c r="O42" s="9">
        <f>IF(AND(C42=""),"",N42-P42)</f>
        <v>2852</v>
      </c>
      <c r="P42" s="9">
        <f>IF(AND($Y$37=""),"",IF(AND(N42=""),"",ROUND(N42*AA$35%,0)))</f>
        <v>0</v>
      </c>
      <c r="Q42" s="9">
        <f>IF(AND($Y$37=""),"",IF(AND(C42=""),"",IF(AND(O42=""),"",SUM(O42,P42))))</f>
        <v>2852</v>
      </c>
      <c r="R42" s="9">
        <f>IF(AND(N42=""),"",IF(AND(Q42=""),"",N42-Q42))</f>
        <v>0</v>
      </c>
      <c r="S42" s="20"/>
    </row>
    <row r="43" spans="1:27" ht="21" customHeight="1">
      <c r="A43" s="8">
        <v>2</v>
      </c>
      <c r="B43" s="23">
        <f>IFERROR(DATE(YEAR(B42),MONTH(B42)+1,DAY(B42)),"")</f>
        <v>44774</v>
      </c>
      <c r="C43" s="9">
        <f>IF(AND($Y$37=""),"",C42)</f>
        <v>71300</v>
      </c>
      <c r="D43" s="9">
        <f>IF(AND(C43=""),"",IF(AND($Y$37=""),"",ROUND(C43*Master!C$5%,0)))</f>
        <v>27094</v>
      </c>
      <c r="E43" s="9">
        <f>IF(AND(C43=""),"",IF(AND($Y$37=""),"",ROUND(C43*Master!H$5%,0)))</f>
        <v>6417</v>
      </c>
      <c r="F43" s="9">
        <f>IF(AND(C43=""),"",SUM(C43:E43))</f>
        <v>104811</v>
      </c>
      <c r="G43" s="9">
        <f>IF(AND($Y$37=""),"",G42)</f>
        <v>71300</v>
      </c>
      <c r="H43" s="9">
        <f>IF(AND(G43=""),"",IF(AND($Y$37=""),"",ROUND(G43*Master!C$4%,0)))</f>
        <v>24242</v>
      </c>
      <c r="I43" s="9">
        <f>IF(AND(G43=""),"",IF(AND($Y$37=""),"",ROUND(G43*Master!H$4%,0)))</f>
        <v>6417</v>
      </c>
      <c r="J43" s="9">
        <f t="shared" si="27"/>
        <v>101959</v>
      </c>
      <c r="K43" s="9">
        <f t="shared" si="28"/>
        <v>0</v>
      </c>
      <c r="L43" s="9">
        <f t="shared" si="29"/>
        <v>2852</v>
      </c>
      <c r="M43" s="9">
        <f t="shared" si="30"/>
        <v>0</v>
      </c>
      <c r="N43" s="9">
        <f t="shared" si="31"/>
        <v>2852</v>
      </c>
      <c r="O43" s="9">
        <f t="shared" ref="O43:O44" si="32">IF(AND(C43=""),"",N43-P43)</f>
        <v>2852</v>
      </c>
      <c r="P43" s="9">
        <f t="shared" ref="P43:P44" si="33">IF(AND($Y$37=""),"",IF(AND(N43=""),"",ROUND(N43*AA$35%,0)))</f>
        <v>0</v>
      </c>
      <c r="Q43" s="9">
        <f>IF(AND($Y$37=""),"",IF(AND(C43=""),"",IF(AND(O43=""),"",SUM(O43,P43))))</f>
        <v>2852</v>
      </c>
      <c r="R43" s="9">
        <f t="shared" ref="R43:R44" si="34">IF(AND(N43=""),"",IF(AND(Q43=""),"",N43-Q43))</f>
        <v>0</v>
      </c>
      <c r="S43" s="20"/>
    </row>
    <row r="44" spans="1:27" ht="21" customHeight="1">
      <c r="A44" s="8">
        <v>3</v>
      </c>
      <c r="B44" s="23">
        <f>IFERROR(DATE(YEAR(B43),MONTH(B43)+1,DAY(B43)),"")</f>
        <v>44805</v>
      </c>
      <c r="C44" s="9">
        <f>IF(AND($Y$37=""),"",C43)</f>
        <v>71300</v>
      </c>
      <c r="D44" s="9">
        <f>IF(AND(C44=""),"",IF(AND($Y$37=""),"",ROUND(C44*Master!C$5%,0)))</f>
        <v>27094</v>
      </c>
      <c r="E44" s="9">
        <f>IF(AND(C44=""),"",IF(AND($Y$37=""),"",ROUND(C44*Master!H$5%,0)))</f>
        <v>6417</v>
      </c>
      <c r="F44" s="9">
        <f t="shared" ref="F44" si="35">IF(AND(C44=""),"",SUM(C44:E44))</f>
        <v>104811</v>
      </c>
      <c r="G44" s="9">
        <f>IF(AND($Y$37=""),"",G43)</f>
        <v>71300</v>
      </c>
      <c r="H44" s="9">
        <f>IF(AND(G44=""),"",IF(AND($Y$37=""),"",ROUND(G44*Master!C$4%,0)))</f>
        <v>24242</v>
      </c>
      <c r="I44" s="9">
        <f>IF(AND(G44=""),"",IF(AND($Y$37=""),"",ROUND(G44*Master!H$4%,0)))</f>
        <v>6417</v>
      </c>
      <c r="J44" s="9">
        <f>IF(AND(C44=""),"",SUM(G44:I44))</f>
        <v>101959</v>
      </c>
      <c r="K44" s="9">
        <f t="shared" si="28"/>
        <v>0</v>
      </c>
      <c r="L44" s="9">
        <f t="shared" si="29"/>
        <v>2852</v>
      </c>
      <c r="M44" s="9">
        <f>IF(AND(E44=""),"",IF(AND(I44=""),"",E44-I44))</f>
        <v>0</v>
      </c>
      <c r="N44" s="9">
        <f>IF(AND(F44=""),"",IF(AND(J44=""),"",F44-J44))</f>
        <v>2852</v>
      </c>
      <c r="O44" s="9">
        <f t="shared" si="32"/>
        <v>2852</v>
      </c>
      <c r="P44" s="9">
        <f t="shared" si="33"/>
        <v>0</v>
      </c>
      <c r="Q44" s="9">
        <f>IF(AND($Y$37=""),"",IF(AND(C44=""),"",IF(AND(O44=""),"",SUM(O44,P44))))</f>
        <v>2852</v>
      </c>
      <c r="R44" s="9">
        <f t="shared" si="34"/>
        <v>0</v>
      </c>
      <c r="S44" s="20"/>
    </row>
    <row r="45" spans="1:27" ht="23.25" customHeight="1">
      <c r="A45" s="108" t="s">
        <v>9</v>
      </c>
      <c r="B45" s="109"/>
      <c r="C45" s="64">
        <f t="shared" ref="C45:R45" si="36">IF(AND($Y$37=""),"",SUM(C42:C44))</f>
        <v>213900</v>
      </c>
      <c r="D45" s="64">
        <f t="shared" si="36"/>
        <v>81282</v>
      </c>
      <c r="E45" s="64">
        <f t="shared" si="36"/>
        <v>19251</v>
      </c>
      <c r="F45" s="64">
        <f t="shared" si="36"/>
        <v>314433</v>
      </c>
      <c r="G45" s="64">
        <f t="shared" si="36"/>
        <v>213900</v>
      </c>
      <c r="H45" s="64">
        <f t="shared" si="36"/>
        <v>72726</v>
      </c>
      <c r="I45" s="64">
        <f t="shared" si="36"/>
        <v>19251</v>
      </c>
      <c r="J45" s="64">
        <f t="shared" si="36"/>
        <v>305877</v>
      </c>
      <c r="K45" s="64">
        <f t="shared" si="36"/>
        <v>0</v>
      </c>
      <c r="L45" s="64">
        <f t="shared" si="36"/>
        <v>8556</v>
      </c>
      <c r="M45" s="64">
        <f t="shared" si="36"/>
        <v>0</v>
      </c>
      <c r="N45" s="64">
        <f t="shared" si="36"/>
        <v>8556</v>
      </c>
      <c r="O45" s="64">
        <f t="shared" si="36"/>
        <v>8556</v>
      </c>
      <c r="P45" s="64">
        <f t="shared" si="36"/>
        <v>0</v>
      </c>
      <c r="Q45" s="64">
        <f t="shared" si="36"/>
        <v>8556</v>
      </c>
      <c r="R45" s="64">
        <f t="shared" si="36"/>
        <v>0</v>
      </c>
      <c r="S45" s="50"/>
    </row>
    <row r="46" spans="1:27" ht="10.5" customHeight="1">
      <c r="A46" s="75"/>
      <c r="B46" s="75"/>
      <c r="C46" s="76"/>
      <c r="D46" s="76"/>
      <c r="E46" s="76"/>
      <c r="F46" s="76"/>
      <c r="G46" s="76"/>
      <c r="H46" s="76"/>
      <c r="I46" s="76"/>
      <c r="J46" s="76"/>
      <c r="K46" s="76"/>
      <c r="L46" s="76"/>
      <c r="M46" s="76"/>
      <c r="N46" s="76"/>
      <c r="O46" s="76"/>
      <c r="P46" s="76"/>
      <c r="Q46" s="76"/>
      <c r="R46" s="76"/>
      <c r="S46" s="77"/>
    </row>
    <row r="47" spans="1:27" ht="23.25" customHeight="1">
      <c r="E47" s="116" t="s">
        <v>10</v>
      </c>
      <c r="F47" s="116"/>
      <c r="G47" s="116"/>
      <c r="H47" s="116"/>
      <c r="I47" s="116"/>
      <c r="J47" s="115" t="str">
        <f>IF(ISNA(VLOOKUP($Y$49,Master!A$8:N$127,2,FALSE)),"",VLOOKUP($Y$49,Master!A$8:AH$127,2,FALSE))</f>
        <v>HEERA LAL JAT</v>
      </c>
      <c r="K47" s="115"/>
      <c r="L47" s="115"/>
      <c r="M47" s="115"/>
      <c r="N47" s="115"/>
      <c r="O47" s="61" t="s">
        <v>31</v>
      </c>
      <c r="P47" s="115" t="str">
        <f>IF(ISNA(VLOOKUP($Y$49,Master!A$8:N$127,3,FALSE)),"",VLOOKUP($Y$49,Master!A$8:AH$127,3,FALSE))</f>
        <v>Sr. Teacher</v>
      </c>
      <c r="Q47" s="115"/>
      <c r="R47" s="115"/>
      <c r="S47" s="115"/>
    </row>
    <row r="48" spans="1:27" ht="9" customHeight="1">
      <c r="E48" s="19"/>
      <c r="F48" s="53"/>
      <c r="G48" s="22"/>
      <c r="H48" s="22"/>
      <c r="I48" s="22"/>
      <c r="J48" s="5"/>
      <c r="K48" s="5"/>
      <c r="L48" s="5"/>
      <c r="M48" s="5"/>
      <c r="N48" s="5"/>
      <c r="O48" s="6"/>
      <c r="P48" s="6"/>
    </row>
    <row r="49" spans="1:25" ht="21" customHeight="1">
      <c r="A49" s="8">
        <v>1</v>
      </c>
      <c r="B49" s="23">
        <f>IFERROR(IF(ISNA(VLOOKUP(Y49,Master!A$8:N$127,8,FALSE)),"",VLOOKUP($Y49,Master!A$8:AH$127,8,FALSE)),"")</f>
        <v>44743</v>
      </c>
      <c r="C49" s="9">
        <f>IFERROR(IF(ISNA(VLOOKUP($Y$49,Master!A$8:N$127,5,FALSE)),"",VLOOKUP($Y$49,Master!A$8:AH$127,5,FALSE)),"")</f>
        <v>53900</v>
      </c>
      <c r="D49" s="9">
        <f>IF(AND(C49=""),"",IF(AND($Y$49=""),"",ROUND(C49*Master!C$5%,0)))</f>
        <v>20482</v>
      </c>
      <c r="E49" s="9">
        <f>IF(AND(C49=""),"",IF(AND($Y$49=""),"",ROUND(C49*Master!H$5%,0)))</f>
        <v>4851</v>
      </c>
      <c r="F49" s="9">
        <f t="shared" ref="F49:F51" si="37">IF(AND(C49=""),"",SUM(C49:E49))</f>
        <v>79233</v>
      </c>
      <c r="G49" s="9">
        <f>IFERROR(IF(ISNA(VLOOKUP($Y$49,Master!A$8:N$127,5,FALSE)),"",VLOOKUP($Y$49,Master!A$8:AH$127,5,FALSE)),"")</f>
        <v>53900</v>
      </c>
      <c r="H49" s="9">
        <f>IF(AND(G49=""),"",IF(AND($Y$49=""),"",ROUND(G49*Master!C$4%,0)))</f>
        <v>18326</v>
      </c>
      <c r="I49" s="9">
        <f>IF(AND(G49=""),"",IF(AND($Y$49=""),"",ROUND(G49*Master!H$4%,0)))</f>
        <v>4851</v>
      </c>
      <c r="J49" s="9">
        <f t="shared" ref="J49:J51" si="38">IF(AND(C49=""),"",SUM(G49:I49))</f>
        <v>77077</v>
      </c>
      <c r="K49" s="9">
        <f t="shared" ref="K49" si="39">IF(AND(C49=""),"",IF(AND(G49=""),"",C49-G49))</f>
        <v>0</v>
      </c>
      <c r="L49" s="9">
        <f>IF(AND(D49=""),"",IF(AND(H49=""),"",D49-H49))</f>
        <v>2156</v>
      </c>
      <c r="M49" s="9">
        <f t="shared" ref="M49:M51" si="40">IF(AND(E49=""),"",IF(AND(I49=""),"",E49-I49))</f>
        <v>0</v>
      </c>
      <c r="N49" s="9">
        <f t="shared" ref="N49:N51" si="41">IF(AND(F49=""),"",IF(AND(J49=""),"",F49-J49))</f>
        <v>2156</v>
      </c>
      <c r="O49" s="9">
        <f>IF(AND(C49=""),"",N49-P49)</f>
        <v>2156</v>
      </c>
      <c r="P49" s="9">
        <f>IF(AND($Y$49=""),"",IF(AND(N49=""),"",ROUND(N49*$X$50%,0)))</f>
        <v>0</v>
      </c>
      <c r="Q49" s="9">
        <f>IF(AND($Y$49=""),"",IF(AND(C49=""),"",IF(AND(O49=""),"",SUM(O49,P49))))</f>
        <v>2156</v>
      </c>
      <c r="R49" s="9">
        <f>IF(AND(N49=""),"",IF(AND(Q49=""),"",N49-Q49))</f>
        <v>0</v>
      </c>
      <c r="S49" s="20"/>
      <c r="X49" s="62" t="s">
        <v>62</v>
      </c>
      <c r="Y49" s="65">
        <f>IF(AND(Master!B12="",Master!E12=""),"",5)</f>
        <v>5</v>
      </c>
    </row>
    <row r="50" spans="1:25" ht="21" customHeight="1">
      <c r="A50" s="8">
        <v>2</v>
      </c>
      <c r="B50" s="23">
        <f>IFERROR(DATE(YEAR(B49),MONTH(B49)+1,DAY(B49)),"")</f>
        <v>44774</v>
      </c>
      <c r="C50" s="9">
        <f>IF(AND($Y$49=""),"",C49)</f>
        <v>53900</v>
      </c>
      <c r="D50" s="9">
        <f>IF(AND(C50=""),"",IF(AND($Y$49=""),"",ROUND(C50*Master!C$5%,0)))</f>
        <v>20482</v>
      </c>
      <c r="E50" s="9">
        <f>IF(AND(C50=""),"",IF(AND($Y$49=""),"",ROUND(C50*Master!H$5%,0)))</f>
        <v>4851</v>
      </c>
      <c r="F50" s="9">
        <f t="shared" si="37"/>
        <v>79233</v>
      </c>
      <c r="G50" s="9">
        <f>IF(AND($Y$49=""),"",G49)</f>
        <v>53900</v>
      </c>
      <c r="H50" s="9">
        <f>IF(AND(G50=""),"",IF(AND($Y$49=""),"",ROUND(G50*Master!C$4%,0)))</f>
        <v>18326</v>
      </c>
      <c r="I50" s="9">
        <f>IF(AND(G50=""),"",IF(AND($Y$49=""),"",ROUND(G50*Master!H$4%,0)))</f>
        <v>4851</v>
      </c>
      <c r="J50" s="9">
        <f t="shared" si="38"/>
        <v>77077</v>
      </c>
      <c r="K50" s="9">
        <f>IF(AND(C50=""),"",IF(AND(G50=""),"",C50-G50))</f>
        <v>0</v>
      </c>
      <c r="L50" s="9">
        <f t="shared" ref="L50:L51" si="42">IF(AND(D50=""),"",IF(AND(H50=""),"",D50-H50))</f>
        <v>2156</v>
      </c>
      <c r="M50" s="9">
        <f t="shared" si="40"/>
        <v>0</v>
      </c>
      <c r="N50" s="9">
        <f t="shared" si="41"/>
        <v>2156</v>
      </c>
      <c r="O50" s="9">
        <f t="shared" ref="O50:O51" si="43">IF(AND(C50=""),"",N50-P50)</f>
        <v>2156</v>
      </c>
      <c r="P50" s="9">
        <f t="shared" ref="P50:P51" si="44">IF(AND($Y$49=""),"",IF(AND(N50=""),"",ROUND(N50*$X$50%,0)))</f>
        <v>0</v>
      </c>
      <c r="Q50" s="9">
        <f>IF(AND($Y$49=""),"",IF(AND(C50=""),"",IF(AND(O50=""),"",SUM(O50,P50))))</f>
        <v>2156</v>
      </c>
      <c r="R50" s="9">
        <f t="shared" ref="R50:R51" si="45">IF(AND(N50=""),"",IF(AND(Q50=""),"",N50-Q50))</f>
        <v>0</v>
      </c>
      <c r="S50" s="20"/>
      <c r="X50" s="4">
        <f>IF(ISNA(VLOOKUP($Y$49,Master!A$8:N$127,7,FALSE)),"",VLOOKUP($Y$49,Master!A$8:AH$127,7,FALSE))</f>
        <v>0</v>
      </c>
    </row>
    <row r="51" spans="1:25" ht="21" customHeight="1">
      <c r="A51" s="8">
        <v>3</v>
      </c>
      <c r="B51" s="23">
        <f>IFERROR(DATE(YEAR(B50),MONTH(B50)+1,DAY(B50)),"")</f>
        <v>44805</v>
      </c>
      <c r="C51" s="9">
        <f>IF(AND($Y$49=""),"",C50)</f>
        <v>53900</v>
      </c>
      <c r="D51" s="9">
        <f>IF(AND(C51=""),"",IF(AND($Y$49=""),"",ROUND(C51*Master!C$5%,0)))</f>
        <v>20482</v>
      </c>
      <c r="E51" s="9">
        <f>IF(AND(C51=""),"",IF(AND($Y$49=""),"",ROUND(C51*Master!H$5%,0)))</f>
        <v>4851</v>
      </c>
      <c r="F51" s="9">
        <f t="shared" si="37"/>
        <v>79233</v>
      </c>
      <c r="G51" s="9">
        <f>IF(AND($Y$49=""),"",G50)</f>
        <v>53900</v>
      </c>
      <c r="H51" s="9">
        <f>IF(AND(G51=""),"",IF(AND($Y$49=""),"",ROUND(G51*Master!C$4%,0)))</f>
        <v>18326</v>
      </c>
      <c r="I51" s="9">
        <f>IF(AND(G51=""),"",IF(AND($Y$49=""),"",ROUND(G51*Master!H$4%,0)))</f>
        <v>4851</v>
      </c>
      <c r="J51" s="9">
        <f t="shared" si="38"/>
        <v>77077</v>
      </c>
      <c r="K51" s="9">
        <f t="shared" ref="K51" si="46">IF(AND(C51=""),"",IF(AND(G51=""),"",C51-G51))</f>
        <v>0</v>
      </c>
      <c r="L51" s="9">
        <f t="shared" si="42"/>
        <v>2156</v>
      </c>
      <c r="M51" s="9">
        <f t="shared" si="40"/>
        <v>0</v>
      </c>
      <c r="N51" s="9">
        <f t="shared" si="41"/>
        <v>2156</v>
      </c>
      <c r="O51" s="9">
        <f t="shared" si="43"/>
        <v>2156</v>
      </c>
      <c r="P51" s="9">
        <f t="shared" si="44"/>
        <v>0</v>
      </c>
      <c r="Q51" s="9">
        <f>IF(AND($Y$49=""),"",IF(AND(C51=""),"",IF(AND(O51=""),"",SUM(O51,P51))))</f>
        <v>2156</v>
      </c>
      <c r="R51" s="9">
        <f t="shared" si="45"/>
        <v>0</v>
      </c>
      <c r="S51" s="20"/>
    </row>
    <row r="52" spans="1:25" ht="30.75" customHeight="1">
      <c r="A52" s="108" t="s">
        <v>9</v>
      </c>
      <c r="B52" s="109"/>
      <c r="C52" s="64">
        <f t="shared" ref="C52:R52" si="47">IF(AND($Y$49=""),"",SUM(C49:C51))</f>
        <v>161700</v>
      </c>
      <c r="D52" s="64">
        <f t="shared" si="47"/>
        <v>61446</v>
      </c>
      <c r="E52" s="64">
        <f t="shared" si="47"/>
        <v>14553</v>
      </c>
      <c r="F52" s="64">
        <f t="shared" si="47"/>
        <v>237699</v>
      </c>
      <c r="G52" s="64">
        <f t="shared" si="47"/>
        <v>161700</v>
      </c>
      <c r="H52" s="64">
        <f t="shared" si="47"/>
        <v>54978</v>
      </c>
      <c r="I52" s="64">
        <f t="shared" si="47"/>
        <v>14553</v>
      </c>
      <c r="J52" s="64">
        <f t="shared" si="47"/>
        <v>231231</v>
      </c>
      <c r="K52" s="64">
        <f t="shared" si="47"/>
        <v>0</v>
      </c>
      <c r="L52" s="64">
        <f t="shared" si="47"/>
        <v>6468</v>
      </c>
      <c r="M52" s="64">
        <f t="shared" si="47"/>
        <v>0</v>
      </c>
      <c r="N52" s="64">
        <f t="shared" si="47"/>
        <v>6468</v>
      </c>
      <c r="O52" s="64">
        <f t="shared" si="47"/>
        <v>6468</v>
      </c>
      <c r="P52" s="64">
        <f t="shared" si="47"/>
        <v>0</v>
      </c>
      <c r="Q52" s="64">
        <f t="shared" si="47"/>
        <v>6468</v>
      </c>
      <c r="R52" s="64">
        <f t="shared" si="47"/>
        <v>0</v>
      </c>
      <c r="S52" s="50"/>
    </row>
    <row r="53" spans="1:25" ht="11.25" customHeight="1">
      <c r="A53" s="75"/>
      <c r="B53" s="75"/>
      <c r="C53" s="76"/>
      <c r="D53" s="76"/>
      <c r="E53" s="76"/>
      <c r="F53" s="76"/>
      <c r="G53" s="76"/>
      <c r="H53" s="76"/>
      <c r="I53" s="76"/>
      <c r="J53" s="76"/>
      <c r="K53" s="76"/>
      <c r="L53" s="76"/>
      <c r="M53" s="76"/>
      <c r="N53" s="76"/>
      <c r="O53" s="76"/>
      <c r="P53" s="76"/>
      <c r="Q53" s="76"/>
      <c r="R53" s="76"/>
      <c r="S53" s="77"/>
    </row>
    <row r="54" spans="1:25" ht="23.25" customHeight="1">
      <c r="E54" s="116" t="s">
        <v>10</v>
      </c>
      <c r="F54" s="116"/>
      <c r="G54" s="116"/>
      <c r="H54" s="116"/>
      <c r="I54" s="116"/>
      <c r="J54" s="115" t="str">
        <f>IF(ISNA(VLOOKUP($Y$56,Master!A$8:N$127,2,FALSE)),"",VLOOKUP($Y$56,Master!A$8:AH$127,2,FALSE))</f>
        <v>MAHENDRA PATEL</v>
      </c>
      <c r="K54" s="115"/>
      <c r="L54" s="115"/>
      <c r="M54" s="115"/>
      <c r="N54" s="115"/>
      <c r="O54" s="61" t="s">
        <v>31</v>
      </c>
      <c r="P54" s="115" t="str">
        <f>IF(ISNA(VLOOKUP($Y$56,Master!A$8:N$127,3,FALSE)),"",VLOOKUP($Y$56,Master!A$8:AH$127,3,FALSE))</f>
        <v>Sr. Teacher</v>
      </c>
      <c r="Q54" s="115"/>
      <c r="R54" s="115"/>
      <c r="S54" s="115"/>
    </row>
    <row r="55" spans="1:25" ht="9" customHeight="1">
      <c r="E55" s="19"/>
      <c r="F55" s="53"/>
      <c r="G55" s="22"/>
      <c r="H55" s="22"/>
      <c r="I55" s="22"/>
      <c r="J55" s="5"/>
      <c r="K55" s="5"/>
      <c r="L55" s="5"/>
      <c r="M55" s="5"/>
      <c r="N55" s="5"/>
      <c r="O55" s="6"/>
      <c r="P55" s="6"/>
    </row>
    <row r="56" spans="1:25" ht="21" customHeight="1">
      <c r="A56" s="8">
        <v>1</v>
      </c>
      <c r="B56" s="23">
        <f>IFERROR(IF(ISNA(VLOOKUP(Y56,Master!A$8:N$127,8,FALSE)),"",VLOOKUP($Y56,Master!A$8:AH$127,8,FALSE)),"")</f>
        <v>44743</v>
      </c>
      <c r="C56" s="9">
        <f>IFERROR(IF(ISNA(VLOOKUP($Y$56,Master!A$8:N$127,5,FALSE)),"",VLOOKUP($Y$56,Master!A$8:AH$127,5,FALSE)),"")</f>
        <v>41300</v>
      </c>
      <c r="D56" s="9">
        <f>IF(AND(C56=""),"",IF(AND($Y$56=""),"",ROUND(C56*Master!C$5%,0)))</f>
        <v>15694</v>
      </c>
      <c r="E56" s="9">
        <f>IF(AND(C56=""),"",IF(AND($Y$56=""),"",ROUND(C56*Master!H$5%,0)))</f>
        <v>3717</v>
      </c>
      <c r="F56" s="9">
        <f t="shared" ref="F56:F58" si="48">IF(AND(C56=""),"",SUM(C56:E56))</f>
        <v>60711</v>
      </c>
      <c r="G56" s="9">
        <f>IFERROR(IF(ISNA(VLOOKUP($Y$56,Master!A$8:N$127,5,FALSE)),"",VLOOKUP($Y$56,Master!A$8:AH$127,5,FALSE)),"")</f>
        <v>41300</v>
      </c>
      <c r="H56" s="9">
        <f>IF(AND(G56=""),"",IF(AND($Y$56=""),"",ROUND(G56*Master!C$4%,0)))</f>
        <v>14042</v>
      </c>
      <c r="I56" s="9">
        <f>IF(AND(G56=""),"",IF(AND($Y$56=""),"",ROUND(G56*Master!H$4%,0)))</f>
        <v>3717</v>
      </c>
      <c r="J56" s="9">
        <f t="shared" ref="J56:J58" si="49">IF(AND(C56=""),"",SUM(G56:I56))</f>
        <v>59059</v>
      </c>
      <c r="K56" s="9">
        <f t="shared" ref="K56:K58" si="50">IF(AND(C56=""),"",IF(AND(G56=""),"",C56-G56))</f>
        <v>0</v>
      </c>
      <c r="L56" s="9">
        <f t="shared" ref="L56:L58" si="51">IF(AND(D56=""),"",IF(AND(H56=""),"",D56-H56))</f>
        <v>1652</v>
      </c>
      <c r="M56" s="9">
        <f t="shared" ref="M56:M58" si="52">IF(AND(E56=""),"",IF(AND(I56=""),"",E56-I56))</f>
        <v>0</v>
      </c>
      <c r="N56" s="9">
        <f t="shared" ref="N56:N58" si="53">IF(AND(F56=""),"",IF(AND(J56=""),"",F56-J56))</f>
        <v>1652</v>
      </c>
      <c r="O56" s="9">
        <f>IF(AND(C56=""),"",N56-P56)</f>
        <v>1652</v>
      </c>
      <c r="P56" s="9">
        <f>IF(AND($Y$56=""),"",IF(AND(N56=""),"",ROUND(N56*$X$57%,0)))</f>
        <v>0</v>
      </c>
      <c r="Q56" s="9">
        <f>IF(AND($Y$56=""),"",IF(AND(C56=""),"",IF(AND(O56=""),"",SUM(O56,P56))))</f>
        <v>1652</v>
      </c>
      <c r="R56" s="9">
        <f>IF(AND(N56=""),"",IF(AND(Q56=""),"",N56-Q56))</f>
        <v>0</v>
      </c>
      <c r="S56" s="20"/>
      <c r="X56" s="62" t="s">
        <v>62</v>
      </c>
      <c r="Y56" s="65">
        <f>IF(AND(Master!B13="",Master!E13=""),"",6)</f>
        <v>6</v>
      </c>
    </row>
    <row r="57" spans="1:25" ht="21" customHeight="1">
      <c r="A57" s="8">
        <v>2</v>
      </c>
      <c r="B57" s="23">
        <f>IFERROR(DATE(YEAR(B56),MONTH(B56)+1,DAY(B56)),"")</f>
        <v>44774</v>
      </c>
      <c r="C57" s="9">
        <f>IF(AND($Y$56=""),"",C56)</f>
        <v>41300</v>
      </c>
      <c r="D57" s="9">
        <f>IF(AND(C57=""),"",IF(AND($Y$56=""),"",ROUND(C57*Master!C$5%,0)))</f>
        <v>15694</v>
      </c>
      <c r="E57" s="9">
        <f>IF(AND(C57=""),"",IF(AND($Y$56=""),"",ROUND(C57*Master!H$5%,0)))</f>
        <v>3717</v>
      </c>
      <c r="F57" s="9">
        <f t="shared" si="48"/>
        <v>60711</v>
      </c>
      <c r="G57" s="9">
        <f>IF(AND($Y$56=""),"",G56)</f>
        <v>41300</v>
      </c>
      <c r="H57" s="9">
        <f>IF(AND(G57=""),"",IF(AND($Y$56=""),"",ROUND(G57*Master!C$4%,0)))</f>
        <v>14042</v>
      </c>
      <c r="I57" s="9">
        <f>IF(AND(G57=""),"",IF(AND($Y$56=""),"",ROUND(G57*Master!H$4%,0)))</f>
        <v>3717</v>
      </c>
      <c r="J57" s="9">
        <f t="shared" si="49"/>
        <v>59059</v>
      </c>
      <c r="K57" s="9">
        <f t="shared" si="50"/>
        <v>0</v>
      </c>
      <c r="L57" s="9">
        <f t="shared" si="51"/>
        <v>1652</v>
      </c>
      <c r="M57" s="9">
        <f t="shared" si="52"/>
        <v>0</v>
      </c>
      <c r="N57" s="9">
        <f t="shared" si="53"/>
        <v>1652</v>
      </c>
      <c r="O57" s="9">
        <f t="shared" ref="O57:O58" si="54">IF(AND(C57=""),"",N57-P57)</f>
        <v>1652</v>
      </c>
      <c r="P57" s="9">
        <f t="shared" ref="P57:P58" si="55">IF(AND($Y$56=""),"",IF(AND(N57=""),"",ROUND(N57*$X$57%,0)))</f>
        <v>0</v>
      </c>
      <c r="Q57" s="9">
        <f>IF(AND($Y$56=""),"",IF(AND(C57=""),"",IF(AND(O57=""),"",SUM(O57,P57))))</f>
        <v>1652</v>
      </c>
      <c r="R57" s="9">
        <f t="shared" ref="R57:R58" si="56">IF(AND(N57=""),"",IF(AND(Q57=""),"",N57-Q57))</f>
        <v>0</v>
      </c>
      <c r="S57" s="20"/>
      <c r="X57" s="4">
        <f>IF(ISNA(VLOOKUP($Y$56,Master!A$8:N$127,7,FALSE)),"",VLOOKUP($Y$56,Master!A$8:AH$127,7,FALSE))</f>
        <v>0</v>
      </c>
    </row>
    <row r="58" spans="1:25" ht="21" customHeight="1">
      <c r="A58" s="8">
        <v>3</v>
      </c>
      <c r="B58" s="23">
        <f>IFERROR(DATE(YEAR(B57),MONTH(B57)+1,DAY(B57)),"")</f>
        <v>44805</v>
      </c>
      <c r="C58" s="9">
        <f>IF(AND($Y$56=""),"",C57)</f>
        <v>41300</v>
      </c>
      <c r="D58" s="9">
        <f>IF(AND(C58=""),"",IF(AND($Y$56=""),"",ROUND(C58*Master!C$5%,0)))</f>
        <v>15694</v>
      </c>
      <c r="E58" s="9">
        <f>IF(AND(C58=""),"",IF(AND($Y$56=""),"",ROUND(C58*Master!H$5%,0)))</f>
        <v>3717</v>
      </c>
      <c r="F58" s="9">
        <f t="shared" si="48"/>
        <v>60711</v>
      </c>
      <c r="G58" s="9">
        <f>IF(AND($Y$56=""),"",G57)</f>
        <v>41300</v>
      </c>
      <c r="H58" s="9">
        <f>IF(AND(G58=""),"",IF(AND($Y$56=""),"",ROUND(G58*Master!C$4%,0)))</f>
        <v>14042</v>
      </c>
      <c r="I58" s="9">
        <f>IF(AND(G58=""),"",IF(AND($Y$56=""),"",ROUND(G58*Master!H$4%,0)))</f>
        <v>3717</v>
      </c>
      <c r="J58" s="9">
        <f t="shared" si="49"/>
        <v>59059</v>
      </c>
      <c r="K58" s="9">
        <f t="shared" si="50"/>
        <v>0</v>
      </c>
      <c r="L58" s="9">
        <f t="shared" si="51"/>
        <v>1652</v>
      </c>
      <c r="M58" s="9">
        <f t="shared" si="52"/>
        <v>0</v>
      </c>
      <c r="N58" s="9">
        <f t="shared" si="53"/>
        <v>1652</v>
      </c>
      <c r="O58" s="9">
        <f t="shared" si="54"/>
        <v>1652</v>
      </c>
      <c r="P58" s="9">
        <f t="shared" si="55"/>
        <v>0</v>
      </c>
      <c r="Q58" s="9">
        <f>IF(AND($Y$56=""),"",IF(AND(C58=""),"",IF(AND(O58=""),"",SUM(O58,P58))))</f>
        <v>1652</v>
      </c>
      <c r="R58" s="9">
        <f t="shared" si="56"/>
        <v>0</v>
      </c>
      <c r="S58" s="20"/>
    </row>
    <row r="59" spans="1:25" ht="30.75" customHeight="1">
      <c r="A59" s="108" t="s">
        <v>9</v>
      </c>
      <c r="B59" s="109"/>
      <c r="C59" s="64">
        <f t="shared" ref="C59:R59" si="57">IF(AND($Y$56=""),"",SUM(C56:C58))</f>
        <v>123900</v>
      </c>
      <c r="D59" s="64">
        <f t="shared" si="57"/>
        <v>47082</v>
      </c>
      <c r="E59" s="64">
        <f t="shared" si="57"/>
        <v>11151</v>
      </c>
      <c r="F59" s="64">
        <f t="shared" si="57"/>
        <v>182133</v>
      </c>
      <c r="G59" s="64">
        <f t="shared" si="57"/>
        <v>123900</v>
      </c>
      <c r="H59" s="64">
        <f t="shared" si="57"/>
        <v>42126</v>
      </c>
      <c r="I59" s="64">
        <f t="shared" si="57"/>
        <v>11151</v>
      </c>
      <c r="J59" s="64">
        <f t="shared" si="57"/>
        <v>177177</v>
      </c>
      <c r="K59" s="64">
        <f t="shared" si="57"/>
        <v>0</v>
      </c>
      <c r="L59" s="64">
        <f t="shared" si="57"/>
        <v>4956</v>
      </c>
      <c r="M59" s="64">
        <f t="shared" si="57"/>
        <v>0</v>
      </c>
      <c r="N59" s="64">
        <f t="shared" si="57"/>
        <v>4956</v>
      </c>
      <c r="O59" s="64">
        <f t="shared" si="57"/>
        <v>4956</v>
      </c>
      <c r="P59" s="64">
        <f t="shared" si="57"/>
        <v>0</v>
      </c>
      <c r="Q59" s="64">
        <f t="shared" si="57"/>
        <v>4956</v>
      </c>
      <c r="R59" s="64">
        <f t="shared" si="57"/>
        <v>0</v>
      </c>
      <c r="S59" s="50"/>
    </row>
    <row r="60" spans="1:25" ht="30.75" customHeight="1">
      <c r="A60" s="75"/>
      <c r="B60" s="75"/>
      <c r="C60" s="76"/>
      <c r="D60" s="76"/>
      <c r="E60" s="76"/>
      <c r="F60" s="76"/>
      <c r="G60" s="76"/>
      <c r="H60" s="76"/>
      <c r="I60" s="76"/>
      <c r="J60" s="76"/>
      <c r="K60" s="76"/>
      <c r="L60" s="76"/>
      <c r="M60" s="76"/>
      <c r="N60" s="76"/>
      <c r="O60" s="76"/>
      <c r="P60" s="76"/>
      <c r="Q60" s="76"/>
      <c r="R60" s="76"/>
      <c r="S60" s="77"/>
    </row>
    <row r="61" spans="1:25" ht="18.75">
      <c r="A61" s="21"/>
      <c r="B61" s="59"/>
      <c r="C61" s="59"/>
      <c r="D61" s="59"/>
      <c r="E61" s="59"/>
      <c r="F61" s="59"/>
      <c r="G61" s="59"/>
      <c r="H61" s="60"/>
      <c r="I61" s="60"/>
      <c r="J61" s="60"/>
      <c r="K61" s="68"/>
      <c r="L61" s="68"/>
      <c r="M61" s="68"/>
      <c r="N61" s="68"/>
      <c r="O61" s="107" t="s">
        <v>55</v>
      </c>
      <c r="P61" s="107"/>
      <c r="Q61" s="107"/>
      <c r="R61" s="107"/>
      <c r="S61" s="107"/>
    </row>
    <row r="62" spans="1:25" ht="18.75">
      <c r="A62" s="1"/>
      <c r="B62" s="24" t="s">
        <v>19</v>
      </c>
      <c r="C62" s="118"/>
      <c r="D62" s="118"/>
      <c r="E62" s="118"/>
      <c r="F62" s="118"/>
      <c r="G62" s="118"/>
      <c r="H62" s="25"/>
      <c r="I62" s="121" t="s">
        <v>20</v>
      </c>
      <c r="J62" s="121"/>
      <c r="K62" s="120"/>
      <c r="L62" s="120"/>
      <c r="M62" s="120"/>
      <c r="O62" s="107"/>
      <c r="P62" s="107"/>
      <c r="Q62" s="107"/>
      <c r="R62" s="107"/>
      <c r="S62" s="107"/>
    </row>
    <row r="63" spans="1:25" ht="18.75">
      <c r="A63" s="1"/>
      <c r="B63" s="119" t="s">
        <v>21</v>
      </c>
      <c r="C63" s="119"/>
      <c r="D63" s="119"/>
      <c r="E63" s="119"/>
      <c r="F63" s="119"/>
      <c r="G63" s="119"/>
      <c r="H63" s="119"/>
      <c r="I63" s="27"/>
      <c r="J63" s="26"/>
      <c r="K63" s="26"/>
      <c r="L63" s="26"/>
      <c r="M63" s="26"/>
    </row>
    <row r="64" spans="1:25" ht="18.75">
      <c r="A64" s="22">
        <v>1</v>
      </c>
      <c r="B64" s="117" t="s">
        <v>22</v>
      </c>
      <c r="C64" s="117"/>
      <c r="D64" s="117"/>
      <c r="E64" s="117"/>
      <c r="F64" s="117"/>
      <c r="G64" s="117"/>
      <c r="H64" s="117"/>
      <c r="I64" s="28"/>
      <c r="J64" s="26"/>
      <c r="K64" s="26"/>
      <c r="L64" s="26"/>
      <c r="M64" s="26"/>
    </row>
    <row r="65" spans="1:27" ht="18.75">
      <c r="A65" s="2">
        <v>2</v>
      </c>
      <c r="B65" s="117" t="s">
        <v>23</v>
      </c>
      <c r="C65" s="117"/>
      <c r="D65" s="117"/>
      <c r="E65" s="117"/>
      <c r="F65" s="117"/>
      <c r="G65" s="115"/>
      <c r="H65" s="115"/>
      <c r="I65" s="115"/>
      <c r="J65" s="115"/>
      <c r="K65" s="115"/>
      <c r="L65" s="115"/>
      <c r="M65" s="115"/>
    </row>
    <row r="66" spans="1:27" ht="18.75">
      <c r="A66" s="3">
        <v>3</v>
      </c>
      <c r="B66" s="117" t="s">
        <v>24</v>
      </c>
      <c r="C66" s="117"/>
      <c r="D66" s="117"/>
      <c r="E66" s="29"/>
      <c r="F66" s="28"/>
      <c r="G66" s="28"/>
      <c r="H66" s="30"/>
      <c r="I66" s="31"/>
      <c r="J66" s="26"/>
      <c r="K66" s="26"/>
      <c r="L66" s="26"/>
      <c r="M66" s="26"/>
    </row>
    <row r="67" spans="1:27" ht="15.75">
      <c r="O67" s="107" t="s">
        <v>55</v>
      </c>
      <c r="P67" s="107"/>
      <c r="Q67" s="107"/>
      <c r="R67" s="107"/>
      <c r="S67" s="107"/>
    </row>
    <row r="69" spans="1:27" ht="18" customHeight="1">
      <c r="A69" s="122" t="str">
        <f>A35</f>
        <v xml:space="preserve">DA (38%) Drawn Statement  </v>
      </c>
      <c r="B69" s="122"/>
      <c r="C69" s="122"/>
      <c r="D69" s="122"/>
      <c r="E69" s="122"/>
      <c r="F69" s="122"/>
      <c r="G69" s="122"/>
      <c r="H69" s="122"/>
      <c r="I69" s="122"/>
      <c r="J69" s="122"/>
      <c r="K69" s="122"/>
      <c r="L69" s="122"/>
      <c r="M69" s="122"/>
      <c r="N69" s="122"/>
      <c r="O69" s="122"/>
      <c r="P69" s="122"/>
      <c r="Q69" s="122"/>
      <c r="R69" s="122"/>
      <c r="S69" s="122"/>
      <c r="W69" s="4">
        <f>IF(ISNA(VLOOKUP($Y$3,Master!A$8:N$127,4,FALSE)),"",VLOOKUP($Y$3,Master!A$8:AH$127,4,FALSE))</f>
        <v>3</v>
      </c>
      <c r="X69" s="4" t="str">
        <f>IF(ISNA(VLOOKUP($Y$3,Master!A$8:N$127,6,FALSE)),"",VLOOKUP($Y$3,Master!A$8:AH$127,6,FALSE))</f>
        <v>GPF</v>
      </c>
      <c r="Y69" s="4" t="s">
        <v>58</v>
      </c>
      <c r="Z69" s="4" t="s">
        <v>18</v>
      </c>
      <c r="AA69" s="4">
        <f>IF(ISNA(VLOOKUP($Y$71,Master!A$8:N$127,7,FALSE)),"",VLOOKUP($Y$71,Master!A$8:AH$127,7,FALSE))</f>
        <v>0</v>
      </c>
    </row>
    <row r="70" spans="1:27" ht="18">
      <c r="A70" s="114" t="str">
        <f>IF(AND(Master!C71=""),"",CONCATENATE("Office Of  ",Master!C71))</f>
        <v/>
      </c>
      <c r="B70" s="114"/>
      <c r="C70" s="114"/>
      <c r="D70" s="114"/>
      <c r="E70" s="114"/>
      <c r="F70" s="114"/>
      <c r="G70" s="114"/>
      <c r="H70" s="114"/>
      <c r="I70" s="114"/>
      <c r="J70" s="114"/>
      <c r="K70" s="114"/>
      <c r="L70" s="114"/>
      <c r="M70" s="114"/>
      <c r="N70" s="114"/>
      <c r="O70" s="114"/>
      <c r="P70" s="114"/>
      <c r="Q70" s="114"/>
      <c r="R70" s="114"/>
      <c r="S70" s="114"/>
      <c r="X70" s="4">
        <f>IF(ISNA(VLOOKUP($Y$3,Master!A$8:N$127,8,FALSE)),"",VLOOKUP($Y$3,Master!A$8:AH$127,8,FALSE))</f>
        <v>44743</v>
      </c>
      <c r="Y70" s="4" t="s">
        <v>56</v>
      </c>
    </row>
    <row r="71" spans="1:27" ht="18.75">
      <c r="E71" s="116" t="s">
        <v>10</v>
      </c>
      <c r="F71" s="116"/>
      <c r="G71" s="116"/>
      <c r="H71" s="116"/>
      <c r="I71" s="116"/>
      <c r="J71" s="115" t="str">
        <f>IF(ISNA(VLOOKUP($Y$71,Master!A$8:N$127,2,FALSE)),"",VLOOKUP($Y$71,Master!A$8:AH$127,2,FALSE))</f>
        <v>BHALA RAM MOBARSA</v>
      </c>
      <c r="K71" s="115"/>
      <c r="L71" s="115"/>
      <c r="M71" s="115"/>
      <c r="N71" s="115"/>
      <c r="O71" s="61" t="s">
        <v>31</v>
      </c>
      <c r="P71" s="115" t="str">
        <f>IF(ISNA(VLOOKUP($Y$71,Master!A$8:N$127,3,FALSE)),"",VLOOKUP($Y$71,Master!A$8:AH$127,3,FALSE))</f>
        <v>TEACHER L-1</v>
      </c>
      <c r="Q71" s="115"/>
      <c r="R71" s="115"/>
      <c r="S71" s="115"/>
      <c r="X71" s="62" t="s">
        <v>62</v>
      </c>
      <c r="Y71" s="65">
        <f>IF(AND(Master!B14="",Master!E14=""),"",7)</f>
        <v>7</v>
      </c>
    </row>
    <row r="72" spans="1:27" ht="8.25" customHeight="1">
      <c r="E72" s="19"/>
      <c r="F72" s="53"/>
      <c r="G72" s="22"/>
      <c r="H72" s="22"/>
      <c r="I72" s="22"/>
      <c r="J72" s="5"/>
      <c r="K72" s="5"/>
      <c r="L72" s="5"/>
      <c r="M72" s="5"/>
      <c r="N72" s="5"/>
      <c r="O72" s="6"/>
      <c r="P72" s="6"/>
    </row>
    <row r="73" spans="1:27" ht="24.75" customHeight="1">
      <c r="A73" s="110" t="s">
        <v>0</v>
      </c>
      <c r="B73" s="111" t="s">
        <v>3</v>
      </c>
      <c r="C73" s="112" t="s">
        <v>5</v>
      </c>
      <c r="D73" s="112"/>
      <c r="E73" s="112"/>
      <c r="F73" s="112"/>
      <c r="G73" s="112" t="s">
        <v>6</v>
      </c>
      <c r="H73" s="112"/>
      <c r="I73" s="112"/>
      <c r="J73" s="112"/>
      <c r="K73" s="112" t="s">
        <v>7</v>
      </c>
      <c r="L73" s="112"/>
      <c r="M73" s="112"/>
      <c r="N73" s="112"/>
      <c r="O73" s="97" t="s">
        <v>8</v>
      </c>
      <c r="P73" s="98"/>
      <c r="Q73" s="99"/>
      <c r="R73" s="105" t="s">
        <v>67</v>
      </c>
      <c r="S73" s="105" t="s">
        <v>50</v>
      </c>
    </row>
    <row r="74" spans="1:27" ht="69" customHeight="1">
      <c r="A74" s="110"/>
      <c r="B74" s="111"/>
      <c r="C74" s="55" t="s">
        <v>29</v>
      </c>
      <c r="D74" s="56" t="s">
        <v>1</v>
      </c>
      <c r="E74" s="57" t="s">
        <v>2</v>
      </c>
      <c r="F74" s="55" t="s">
        <v>59</v>
      </c>
      <c r="G74" s="55" t="s">
        <v>29</v>
      </c>
      <c r="H74" s="56" t="s">
        <v>1</v>
      </c>
      <c r="I74" s="57" t="s">
        <v>2</v>
      </c>
      <c r="J74" s="55" t="s">
        <v>60</v>
      </c>
      <c r="K74" s="55" t="s">
        <v>4</v>
      </c>
      <c r="L74" s="56" t="s">
        <v>1</v>
      </c>
      <c r="M74" s="57" t="s">
        <v>2</v>
      </c>
      <c r="N74" s="58" t="s">
        <v>61</v>
      </c>
      <c r="O74" s="54" t="s">
        <v>83</v>
      </c>
      <c r="P74" s="67" t="s">
        <v>51</v>
      </c>
      <c r="Q74" s="58" t="s">
        <v>66</v>
      </c>
      <c r="R74" s="105"/>
      <c r="S74" s="105"/>
    </row>
    <row r="75" spans="1:27" ht="18" customHeight="1">
      <c r="A75" s="7">
        <v>1</v>
      </c>
      <c r="B75" s="7">
        <v>2</v>
      </c>
      <c r="C75" s="7">
        <v>3</v>
      </c>
      <c r="D75" s="7">
        <v>4</v>
      </c>
      <c r="E75" s="7">
        <v>5</v>
      </c>
      <c r="F75" s="7">
        <v>6</v>
      </c>
      <c r="G75" s="7">
        <v>7</v>
      </c>
      <c r="H75" s="7">
        <v>8</v>
      </c>
      <c r="I75" s="7">
        <v>9</v>
      </c>
      <c r="J75" s="7">
        <v>10</v>
      </c>
      <c r="K75" s="7">
        <v>11</v>
      </c>
      <c r="L75" s="7">
        <v>12</v>
      </c>
      <c r="M75" s="7">
        <v>13</v>
      </c>
      <c r="N75" s="7">
        <v>14</v>
      </c>
      <c r="O75" s="7">
        <v>15</v>
      </c>
      <c r="P75" s="7">
        <v>17</v>
      </c>
      <c r="Q75" s="7">
        <v>18</v>
      </c>
      <c r="R75" s="7">
        <v>19</v>
      </c>
      <c r="S75" s="7">
        <v>20</v>
      </c>
    </row>
    <row r="76" spans="1:27" ht="21" customHeight="1">
      <c r="A76" s="8">
        <v>1</v>
      </c>
      <c r="B76" s="23">
        <f>IFERROR(IF(ISNA(VLOOKUP(Y71,Master!A$8:N$127,8,FALSE)),"",VLOOKUP($Y71,Master!A$8:AH$127,8,FALSE)),"")</f>
        <v>44743</v>
      </c>
      <c r="C76" s="9">
        <f>IFERROR(IF(ISNA(VLOOKUP(Y71,Master!A$8:N$127,5,FALSE)),"",VLOOKUP($Y$71,Master!A$8:AH$127,5,FALSE)),"")</f>
        <v>67000</v>
      </c>
      <c r="D76" s="9">
        <f>IF(AND(C76=""),"",IF(AND($Y$71=""),"",ROUND(C76*Master!C$5%,0)))</f>
        <v>25460</v>
      </c>
      <c r="E76" s="9">
        <f>IF(AND(C76=""),"",IF(AND($Y$71=""),"",ROUND(C76*Master!H$5%,0)))</f>
        <v>6030</v>
      </c>
      <c r="F76" s="9">
        <f t="shared" ref="F76" si="58">IF(AND(C76=""),"",SUM(C76:E76))</f>
        <v>98490</v>
      </c>
      <c r="G76" s="9">
        <f>IFERROR(IF(ISNA(VLOOKUP($Y$71,Master!A$8:N$127,5,FALSE)),"",VLOOKUP($Y$71,Master!A$8:AH$127,5,FALSE)),"")</f>
        <v>67000</v>
      </c>
      <c r="H76" s="9">
        <f>IF(AND(G76=""),"",IF(AND($Y$71=""),"",ROUND(G76*Master!C$4%,0)))</f>
        <v>22780</v>
      </c>
      <c r="I76" s="9">
        <f>IF(AND(G76=""),"",IF(AND($Y$71=""),"",ROUND(G76*Master!H$4%,0)))</f>
        <v>6030</v>
      </c>
      <c r="J76" s="9">
        <f t="shared" ref="J76:J77" si="59">IF(AND(C76=""),"",SUM(G76:I76))</f>
        <v>95810</v>
      </c>
      <c r="K76" s="9">
        <f t="shared" ref="K76:K78" si="60">IF(AND(C76=""),"",IF(AND(G76=""),"",C76-G76))</f>
        <v>0</v>
      </c>
      <c r="L76" s="9">
        <f t="shared" ref="L76:L78" si="61">IF(AND(D76=""),"",IF(AND(H76=""),"",D76-H76))</f>
        <v>2680</v>
      </c>
      <c r="M76" s="9">
        <f t="shared" ref="M76:M77" si="62">IF(AND(E76=""),"",IF(AND(I76=""),"",E76-I76))</f>
        <v>0</v>
      </c>
      <c r="N76" s="9">
        <f t="shared" ref="N76:N77" si="63">IF(AND(F76=""),"",IF(AND(J76=""),"",F76-J76))</f>
        <v>2680</v>
      </c>
      <c r="O76" s="9">
        <f>IF(AND(C76=""),"",N76-P76)</f>
        <v>2680</v>
      </c>
      <c r="P76" s="9">
        <f>IF(AND($Y$71=""),"",IF(AND(N76=""),"",ROUND(N76*AA$69%,0)))</f>
        <v>0</v>
      </c>
      <c r="Q76" s="9">
        <f>IF(AND($Y$71=""),"",IF(AND(C76=""),"",IF(AND(O76=""),"",SUM(O76,P76))))</f>
        <v>2680</v>
      </c>
      <c r="R76" s="9">
        <f>IF(AND(N76=""),"",IF(AND(Q76=""),"",N76-Q76))</f>
        <v>0</v>
      </c>
      <c r="S76" s="20"/>
    </row>
    <row r="77" spans="1:27" ht="21" customHeight="1">
      <c r="A77" s="8">
        <v>2</v>
      </c>
      <c r="B77" s="23">
        <f>IFERROR(DATE(YEAR(B76),MONTH(B76)+1,DAY(B76)),"")</f>
        <v>44774</v>
      </c>
      <c r="C77" s="9">
        <f>IF(AND($Y$71=""),"",C76)</f>
        <v>67000</v>
      </c>
      <c r="D77" s="9">
        <f>IF(AND(C77=""),"",IF(AND($Y$71=""),"",ROUND(C77*Master!C$5%,0)))</f>
        <v>25460</v>
      </c>
      <c r="E77" s="9">
        <f>IF(AND(C77=""),"",IF(AND($Y$71=""),"",ROUND(C77*Master!H$5%,0)))</f>
        <v>6030</v>
      </c>
      <c r="F77" s="9">
        <f>IF(AND(C77=""),"",SUM(C77:E77))</f>
        <v>98490</v>
      </c>
      <c r="G77" s="9">
        <f>IF(AND($Y$71=""),"",G76)</f>
        <v>67000</v>
      </c>
      <c r="H77" s="9">
        <f>IF(AND(G77=""),"",IF(AND($Y$71=""),"",ROUND(G77*Master!C$4%,0)))</f>
        <v>22780</v>
      </c>
      <c r="I77" s="9">
        <f>IF(AND(G77=""),"",IF(AND($Y$71=""),"",ROUND(G77*Master!H$4%,0)))</f>
        <v>6030</v>
      </c>
      <c r="J77" s="9">
        <f t="shared" si="59"/>
        <v>95810</v>
      </c>
      <c r="K77" s="9">
        <f t="shared" si="60"/>
        <v>0</v>
      </c>
      <c r="L77" s="9">
        <f t="shared" si="61"/>
        <v>2680</v>
      </c>
      <c r="M77" s="9">
        <f t="shared" si="62"/>
        <v>0</v>
      </c>
      <c r="N77" s="9">
        <f t="shared" si="63"/>
        <v>2680</v>
      </c>
      <c r="O77" s="9">
        <f t="shared" ref="O77:O78" si="64">IF(AND(C77=""),"",N77-P77)</f>
        <v>2680</v>
      </c>
      <c r="P77" s="9">
        <f t="shared" ref="P77:P78" si="65">IF(AND($Y$71=""),"",IF(AND(N77=""),"",ROUND(N77*AA$69%,0)))</f>
        <v>0</v>
      </c>
      <c r="Q77" s="9">
        <f>IF(AND($Y$71=""),"",IF(AND(C77=""),"",IF(AND(O77=""),"",SUM(O77,P77))))</f>
        <v>2680</v>
      </c>
      <c r="R77" s="9">
        <f t="shared" ref="R77:R78" si="66">IF(AND(N77=""),"",IF(AND(Q77=""),"",N77-Q77))</f>
        <v>0</v>
      </c>
      <c r="S77" s="20"/>
    </row>
    <row r="78" spans="1:27" ht="21" customHeight="1">
      <c r="A78" s="8">
        <v>3</v>
      </c>
      <c r="B78" s="23">
        <f>IFERROR(DATE(YEAR(B77),MONTH(B77)+1,DAY(B77)),"")</f>
        <v>44805</v>
      </c>
      <c r="C78" s="9">
        <f>IF(AND($Y$71=""),"",C77)</f>
        <v>67000</v>
      </c>
      <c r="D78" s="9">
        <f>IF(AND(C78=""),"",IF(AND($Y$71=""),"",ROUND(C78*Master!C$5%,0)))</f>
        <v>25460</v>
      </c>
      <c r="E78" s="9">
        <f>IF(AND(C78=""),"",IF(AND($Y$71=""),"",ROUND(C78*Master!H$5%,0)))</f>
        <v>6030</v>
      </c>
      <c r="F78" s="9">
        <f t="shared" ref="F78" si="67">IF(AND(C78=""),"",SUM(C78:E78))</f>
        <v>98490</v>
      </c>
      <c r="G78" s="9">
        <f>IF(AND($Y$71=""),"",G77)</f>
        <v>67000</v>
      </c>
      <c r="H78" s="9">
        <f>IF(AND(G78=""),"",IF(AND($Y$71=""),"",ROUND(G78*Master!C$4%,0)))</f>
        <v>22780</v>
      </c>
      <c r="I78" s="9">
        <f>IF(AND(G78=""),"",IF(AND($Y$71=""),"",ROUND(G78*Master!H$4%,0)))</f>
        <v>6030</v>
      </c>
      <c r="J78" s="9">
        <f>IF(AND(C78=""),"",SUM(G78:I78))</f>
        <v>95810</v>
      </c>
      <c r="K78" s="9">
        <f t="shared" si="60"/>
        <v>0</v>
      </c>
      <c r="L78" s="9">
        <f t="shared" si="61"/>
        <v>2680</v>
      </c>
      <c r="M78" s="9">
        <f>IF(AND(E78=""),"",IF(AND(I78=""),"",E78-I78))</f>
        <v>0</v>
      </c>
      <c r="N78" s="9">
        <f>IF(AND(F78=""),"",IF(AND(J78=""),"",F78-J78))</f>
        <v>2680</v>
      </c>
      <c r="O78" s="9">
        <f t="shared" si="64"/>
        <v>2680</v>
      </c>
      <c r="P78" s="9">
        <f t="shared" si="65"/>
        <v>0</v>
      </c>
      <c r="Q78" s="9">
        <f>IF(AND($Y$71=""),"",IF(AND(C78=""),"",IF(AND(O78=""),"",SUM(O78,P78))))</f>
        <v>2680</v>
      </c>
      <c r="R78" s="9">
        <f t="shared" si="66"/>
        <v>0</v>
      </c>
      <c r="S78" s="20"/>
    </row>
    <row r="79" spans="1:27" ht="23.25" customHeight="1">
      <c r="A79" s="108" t="s">
        <v>9</v>
      </c>
      <c r="B79" s="109"/>
      <c r="C79" s="64">
        <f t="shared" ref="C79:R79" si="68">IF(AND($Y$71=""),"",SUM(C76:C78))</f>
        <v>201000</v>
      </c>
      <c r="D79" s="64">
        <f t="shared" si="68"/>
        <v>76380</v>
      </c>
      <c r="E79" s="64">
        <f t="shared" si="68"/>
        <v>18090</v>
      </c>
      <c r="F79" s="64">
        <f t="shared" si="68"/>
        <v>295470</v>
      </c>
      <c r="G79" s="64">
        <f t="shared" si="68"/>
        <v>201000</v>
      </c>
      <c r="H79" s="64">
        <f t="shared" si="68"/>
        <v>68340</v>
      </c>
      <c r="I79" s="64">
        <f t="shared" si="68"/>
        <v>18090</v>
      </c>
      <c r="J79" s="64">
        <f t="shared" si="68"/>
        <v>287430</v>
      </c>
      <c r="K79" s="64">
        <f t="shared" si="68"/>
        <v>0</v>
      </c>
      <c r="L79" s="64">
        <f t="shared" si="68"/>
        <v>8040</v>
      </c>
      <c r="M79" s="64">
        <f t="shared" si="68"/>
        <v>0</v>
      </c>
      <c r="N79" s="64">
        <f t="shared" si="68"/>
        <v>8040</v>
      </c>
      <c r="O79" s="64">
        <f t="shared" si="68"/>
        <v>8040</v>
      </c>
      <c r="P79" s="64">
        <f t="shared" si="68"/>
        <v>0</v>
      </c>
      <c r="Q79" s="64">
        <f t="shared" si="68"/>
        <v>8040</v>
      </c>
      <c r="R79" s="64">
        <f t="shared" si="68"/>
        <v>0</v>
      </c>
      <c r="S79" s="50"/>
    </row>
    <row r="80" spans="1:27" ht="10.5" customHeight="1">
      <c r="A80" s="75"/>
      <c r="B80" s="75"/>
      <c r="C80" s="76"/>
      <c r="D80" s="76"/>
      <c r="E80" s="76"/>
      <c r="F80" s="76"/>
      <c r="G80" s="76"/>
      <c r="H80" s="76"/>
      <c r="I80" s="76"/>
      <c r="J80" s="76"/>
      <c r="K80" s="76"/>
      <c r="L80" s="76"/>
      <c r="M80" s="76"/>
      <c r="N80" s="76"/>
      <c r="O80" s="76"/>
      <c r="P80" s="76"/>
      <c r="Q80" s="76"/>
      <c r="R80" s="76"/>
      <c r="S80" s="77"/>
    </row>
    <row r="81" spans="1:25" ht="23.25" customHeight="1">
      <c r="E81" s="116" t="s">
        <v>10</v>
      </c>
      <c r="F81" s="116"/>
      <c r="G81" s="116"/>
      <c r="H81" s="116"/>
      <c r="I81" s="116"/>
      <c r="J81" s="115" t="str">
        <f>IF(ISNA(VLOOKUP($Y$83,Master!A$8:N$127,2,FALSE)),"",VLOOKUP($Y$83,Master!A$8:AH$127,2,FALSE))</f>
        <v>ARJUN SINGH</v>
      </c>
      <c r="K81" s="115"/>
      <c r="L81" s="115"/>
      <c r="M81" s="115"/>
      <c r="N81" s="115"/>
      <c r="O81" s="61" t="s">
        <v>31</v>
      </c>
      <c r="P81" s="115" t="str">
        <f>IF(ISNA(VLOOKUP($Y$83,Master!A$8:N$127,3,FALSE)),"",VLOOKUP($Y$83,Master!A$8:AH$127,3,FALSE))</f>
        <v>TEACHER L-1</v>
      </c>
      <c r="Q81" s="115"/>
      <c r="R81" s="115"/>
      <c r="S81" s="115"/>
    </row>
    <row r="82" spans="1:25" ht="9" customHeight="1">
      <c r="E82" s="19"/>
      <c r="F82" s="53"/>
      <c r="G82" s="22"/>
      <c r="H82" s="22"/>
      <c r="I82" s="22"/>
      <c r="J82" s="5"/>
      <c r="K82" s="5"/>
      <c r="L82" s="5"/>
      <c r="M82" s="5"/>
      <c r="N82" s="5"/>
      <c r="O82" s="6"/>
      <c r="P82" s="6"/>
    </row>
    <row r="83" spans="1:25" ht="21" customHeight="1">
      <c r="A83" s="8">
        <v>1</v>
      </c>
      <c r="B83" s="23">
        <f>IFERROR(IF(ISNA(VLOOKUP(Y83,Master!A$8:N$127,8,FALSE)),"",VLOOKUP($Y83,Master!A$8:AH$127,8,FALSE)),"")</f>
        <v>44743</v>
      </c>
      <c r="C83" s="9">
        <f>IFERROR(IF(ISNA(VLOOKUP($Y$83,Master!A$8:N$127,5,FALSE)),"",VLOOKUP($Y$83,Master!A$8:AH$127,5,FALSE)),"")</f>
        <v>46500</v>
      </c>
      <c r="D83" s="9">
        <f>IF(AND(C83=""),"",IF(AND($Y$83=""),"",ROUND(C83*Master!C$5%,0)))</f>
        <v>17670</v>
      </c>
      <c r="E83" s="9">
        <f>IF(AND(C83=""),"",IF(AND($Y$83=""),"",ROUND(C83*Master!H$5%,0)))</f>
        <v>4185</v>
      </c>
      <c r="F83" s="9">
        <f t="shared" ref="F83:F85" si="69">IF(AND(C83=""),"",SUM(C83:E83))</f>
        <v>68355</v>
      </c>
      <c r="G83" s="9">
        <f>IFERROR(IF(ISNA(VLOOKUP($Y$83,Master!A$8:N$127,5,FALSE)),"",VLOOKUP($Y$83,Master!A$8:AH$127,5,FALSE)),"")</f>
        <v>46500</v>
      </c>
      <c r="H83" s="9">
        <f>IF(AND(G83=""),"",IF(AND($Y$83=""),"",ROUND(G83*Master!C$4%,0)))</f>
        <v>15810</v>
      </c>
      <c r="I83" s="9">
        <f>IF(AND(G83=""),"",IF(AND($Y$83=""),"",ROUND(G83*Master!H$4%,0)))</f>
        <v>4185</v>
      </c>
      <c r="J83" s="9">
        <f t="shared" ref="J83:J85" si="70">IF(AND(C83=""),"",SUM(G83:I83))</f>
        <v>66495</v>
      </c>
      <c r="K83" s="9">
        <f t="shared" ref="K83" si="71">IF(AND(C83=""),"",IF(AND(G83=""),"",C83-G83))</f>
        <v>0</v>
      </c>
      <c r="L83" s="9">
        <f>IF(AND(D83=""),"",IF(AND(H83=""),"",D83-H83))</f>
        <v>1860</v>
      </c>
      <c r="M83" s="9">
        <f t="shared" ref="M83:M85" si="72">IF(AND(E83=""),"",IF(AND(I83=""),"",E83-I83))</f>
        <v>0</v>
      </c>
      <c r="N83" s="9">
        <f t="shared" ref="N83:N85" si="73">IF(AND(F83=""),"",IF(AND(J83=""),"",F83-J83))</f>
        <v>1860</v>
      </c>
      <c r="O83" s="9">
        <f>IF(AND(C83=""),"",N83-P83)</f>
        <v>1860</v>
      </c>
      <c r="P83" s="9">
        <f>IF(AND($Y$83=""),"",IF(AND(N83=""),"",ROUND(N83*$X$84%,0)))</f>
        <v>0</v>
      </c>
      <c r="Q83" s="9">
        <f>IF(AND($Y$83=""),"",IF(AND(C83=""),"",IF(AND(O83=""),"",SUM(O83,P83))))</f>
        <v>1860</v>
      </c>
      <c r="R83" s="9">
        <f>IF(AND(N83=""),"",IF(AND(Q83=""),"",N83-Q83))</f>
        <v>0</v>
      </c>
      <c r="S83" s="20"/>
      <c r="X83" s="62" t="s">
        <v>62</v>
      </c>
      <c r="Y83" s="65">
        <f>IF(AND(Master!B15="",Master!E15=""),"",8)</f>
        <v>8</v>
      </c>
    </row>
    <row r="84" spans="1:25" ht="21" customHeight="1">
      <c r="A84" s="8">
        <v>2</v>
      </c>
      <c r="B84" s="23">
        <f>IFERROR(DATE(YEAR(B83),MONTH(B83)+1,DAY(B83)),"")</f>
        <v>44774</v>
      </c>
      <c r="C84" s="9">
        <f>IF(AND($Y$83=""),"",C83)</f>
        <v>46500</v>
      </c>
      <c r="D84" s="9">
        <f>IF(AND(C84=""),"",IF(AND($Y$83=""),"",ROUND(C84*Master!C$5%,0)))</f>
        <v>17670</v>
      </c>
      <c r="E84" s="9">
        <f>IF(AND(C84=""),"",IF(AND($Y$83=""),"",ROUND(C84*Master!H$5%,0)))</f>
        <v>4185</v>
      </c>
      <c r="F84" s="9">
        <f t="shared" si="69"/>
        <v>68355</v>
      </c>
      <c r="G84" s="9">
        <f>IF(AND($Y$83=""),"",G83)</f>
        <v>46500</v>
      </c>
      <c r="H84" s="9">
        <f>IF(AND(G84=""),"",IF(AND($Y$83=""),"",ROUND(G84*Master!C$4%,0)))</f>
        <v>15810</v>
      </c>
      <c r="I84" s="9">
        <f>IF(AND(G84=""),"",IF(AND($Y$83=""),"",ROUND(G84*Master!H$4%,0)))</f>
        <v>4185</v>
      </c>
      <c r="J84" s="9">
        <f>IF(AND(C84=""),"",SUM(G84:I84))</f>
        <v>66495</v>
      </c>
      <c r="K84" s="9">
        <f>IF(AND(C84=""),"",IF(AND(G84=""),"",C84-G84))</f>
        <v>0</v>
      </c>
      <c r="L84" s="9">
        <f>IF(AND(D84=""),"",IF(AND(H84=""),"",D84-H84))</f>
        <v>1860</v>
      </c>
      <c r="M84" s="9">
        <f t="shared" si="72"/>
        <v>0</v>
      </c>
      <c r="N84" s="9">
        <f t="shared" si="73"/>
        <v>1860</v>
      </c>
      <c r="O84" s="9">
        <f>IF(AND(C84=""),"",N84-P84)</f>
        <v>1860</v>
      </c>
      <c r="P84" s="9">
        <f t="shared" ref="P84:P85" si="74">IF(AND($Y$83=""),"",IF(AND(N84=""),"",ROUND(N84*$X$84%,0)))</f>
        <v>0</v>
      </c>
      <c r="Q84" s="9">
        <f>IF(AND($Y$83=""),"",IF(AND(C84=""),"",IF(AND(O84=""),"",SUM(O84,P84))))</f>
        <v>1860</v>
      </c>
      <c r="R84" s="9">
        <f t="shared" ref="R84:R85" si="75">IF(AND(N84=""),"",IF(AND(Q84=""),"",N84-Q84))</f>
        <v>0</v>
      </c>
      <c r="S84" s="20"/>
      <c r="X84" s="4">
        <f>IF(ISNA(VLOOKUP($Y$83,Master!A$8:N$127,7,FALSE)),"",VLOOKUP($Y$83,Master!A$8:AH$127,7,FALSE))</f>
        <v>0</v>
      </c>
    </row>
    <row r="85" spans="1:25" ht="21" customHeight="1">
      <c r="A85" s="8">
        <v>3</v>
      </c>
      <c r="B85" s="23">
        <f>IFERROR(DATE(YEAR(B84),MONTH(B84)+1,DAY(B84)),"")</f>
        <v>44805</v>
      </c>
      <c r="C85" s="9">
        <f>IF(AND($Y$83=""),"",C84)</f>
        <v>46500</v>
      </c>
      <c r="D85" s="9">
        <f>IF(AND(C85=""),"",IF(AND($Y$83=""),"",ROUND(C85*Master!C$5%,0)))</f>
        <v>17670</v>
      </c>
      <c r="E85" s="9">
        <f>IF(AND(C85=""),"",IF(AND($Y$83=""),"",ROUND(C85*Master!H$5%,0)))</f>
        <v>4185</v>
      </c>
      <c r="F85" s="9">
        <f t="shared" si="69"/>
        <v>68355</v>
      </c>
      <c r="G85" s="9">
        <f>IF(AND($Y$83=""),"",G84)</f>
        <v>46500</v>
      </c>
      <c r="H85" s="9">
        <f>IF(AND(G85=""),"",IF(AND($Y$83=""),"",ROUND(G85*Master!C$4%,0)))</f>
        <v>15810</v>
      </c>
      <c r="I85" s="9">
        <f>IF(AND(G85=""),"",IF(AND($Y$83=""),"",ROUND(G85*Master!H$4%,0)))</f>
        <v>4185</v>
      </c>
      <c r="J85" s="9">
        <f t="shared" si="70"/>
        <v>66495</v>
      </c>
      <c r="K85" s="9">
        <f t="shared" ref="K85" si="76">IF(AND(C85=""),"",IF(AND(G85=""),"",C85-G85))</f>
        <v>0</v>
      </c>
      <c r="L85" s="9">
        <f t="shared" ref="L85" si="77">IF(AND(D85=""),"",IF(AND(H85=""),"",D85-H85))</f>
        <v>1860</v>
      </c>
      <c r="M85" s="9">
        <f t="shared" si="72"/>
        <v>0</v>
      </c>
      <c r="N85" s="9">
        <f t="shared" si="73"/>
        <v>1860</v>
      </c>
      <c r="O85" s="9">
        <f t="shared" ref="O85" si="78">IF(AND(C85=""),"",N85-P85)</f>
        <v>1860</v>
      </c>
      <c r="P85" s="9">
        <f t="shared" si="74"/>
        <v>0</v>
      </c>
      <c r="Q85" s="9">
        <f>IF(AND($Y$83=""),"",IF(AND(C85=""),"",IF(AND(O85=""),"",SUM(O85,P85))))</f>
        <v>1860</v>
      </c>
      <c r="R85" s="9">
        <f t="shared" si="75"/>
        <v>0</v>
      </c>
      <c r="S85" s="20"/>
    </row>
    <row r="86" spans="1:25" ht="30.75" customHeight="1">
      <c r="A86" s="108" t="s">
        <v>9</v>
      </c>
      <c r="B86" s="109"/>
      <c r="C86" s="64">
        <f t="shared" ref="C86:R86" si="79">IF(AND($Y$83=""),"",SUM(C83:C85))</f>
        <v>139500</v>
      </c>
      <c r="D86" s="64">
        <f t="shared" si="79"/>
        <v>53010</v>
      </c>
      <c r="E86" s="64">
        <f t="shared" si="79"/>
        <v>12555</v>
      </c>
      <c r="F86" s="64">
        <f t="shared" si="79"/>
        <v>205065</v>
      </c>
      <c r="G86" s="64">
        <f t="shared" si="79"/>
        <v>139500</v>
      </c>
      <c r="H86" s="64">
        <f t="shared" si="79"/>
        <v>47430</v>
      </c>
      <c r="I86" s="64">
        <f t="shared" si="79"/>
        <v>12555</v>
      </c>
      <c r="J86" s="64">
        <f t="shared" si="79"/>
        <v>199485</v>
      </c>
      <c r="K86" s="64">
        <f t="shared" si="79"/>
        <v>0</v>
      </c>
      <c r="L86" s="64">
        <f t="shared" si="79"/>
        <v>5580</v>
      </c>
      <c r="M86" s="64">
        <f t="shared" si="79"/>
        <v>0</v>
      </c>
      <c r="N86" s="64">
        <f t="shared" si="79"/>
        <v>5580</v>
      </c>
      <c r="O86" s="64">
        <f t="shared" si="79"/>
        <v>5580</v>
      </c>
      <c r="P86" s="64">
        <f t="shared" si="79"/>
        <v>0</v>
      </c>
      <c r="Q86" s="64">
        <f t="shared" si="79"/>
        <v>5580</v>
      </c>
      <c r="R86" s="64">
        <f t="shared" si="79"/>
        <v>0</v>
      </c>
      <c r="S86" s="50"/>
    </row>
    <row r="87" spans="1:25" ht="11.25" customHeight="1">
      <c r="A87" s="75"/>
      <c r="B87" s="75"/>
      <c r="C87" s="76"/>
      <c r="D87" s="76"/>
      <c r="E87" s="76"/>
      <c r="F87" s="76"/>
      <c r="G87" s="76"/>
      <c r="H87" s="76"/>
      <c r="I87" s="76"/>
      <c r="J87" s="76"/>
      <c r="K87" s="76"/>
      <c r="L87" s="76"/>
      <c r="M87" s="76"/>
      <c r="N87" s="76"/>
      <c r="O87" s="76"/>
      <c r="P87" s="76"/>
      <c r="Q87" s="76"/>
      <c r="R87" s="76"/>
      <c r="S87" s="77"/>
    </row>
    <row r="88" spans="1:25" ht="23.25" customHeight="1">
      <c r="E88" s="116" t="s">
        <v>10</v>
      </c>
      <c r="F88" s="116"/>
      <c r="G88" s="116"/>
      <c r="H88" s="116"/>
      <c r="I88" s="116"/>
      <c r="J88" s="115" t="str">
        <f>IF(ISNA(VLOOKUP($Y$90,Master!A$8:N$127,2,FALSE)),"",VLOOKUP($Y$90,Master!A$8:AH$127,2,FALSE))</f>
        <v>SURESH KUMAR ADARA</v>
      </c>
      <c r="K88" s="115"/>
      <c r="L88" s="115"/>
      <c r="M88" s="115"/>
      <c r="N88" s="115"/>
      <c r="O88" s="61" t="s">
        <v>31</v>
      </c>
      <c r="P88" s="115" t="str">
        <f>IF(ISNA(VLOOKUP($Y$90,Master!A$8:N$127,3,FALSE)),"",VLOOKUP($Y$90,Master!A$8:AH$127,3,FALSE))</f>
        <v>TEACHER L-2</v>
      </c>
      <c r="Q88" s="115"/>
      <c r="R88" s="115"/>
      <c r="S88" s="115"/>
    </row>
    <row r="89" spans="1:25" ht="9" customHeight="1">
      <c r="E89" s="19"/>
      <c r="F89" s="53"/>
      <c r="G89" s="22"/>
      <c r="H89" s="22"/>
      <c r="I89" s="22"/>
      <c r="J89" s="5"/>
      <c r="K89" s="5"/>
      <c r="L89" s="5"/>
      <c r="M89" s="5"/>
      <c r="N89" s="5"/>
      <c r="O89" s="6"/>
      <c r="P89" s="6"/>
    </row>
    <row r="90" spans="1:25" ht="21" customHeight="1">
      <c r="A90" s="8">
        <v>1</v>
      </c>
      <c r="B90" s="23">
        <f>IFERROR(IF(ISNA(VLOOKUP(Y90,Master!A$8:N$127,8,FALSE)),"",VLOOKUP($Y90,Master!A$8:AH$127,8,FALSE)),"")</f>
        <v>44743</v>
      </c>
      <c r="C90" s="9">
        <f>IFERROR(IF(ISNA(VLOOKUP($Y$90,Master!A$8:N$127,5,FALSE)),"",VLOOKUP($Y$90,Master!A$8:AH$127,5,FALSE)),"")</f>
        <v>50800</v>
      </c>
      <c r="D90" s="9">
        <f>IF(AND(C90=""),"",IF(AND($Y$90=""),"",ROUND(C90*Master!C$5%,0)))</f>
        <v>19304</v>
      </c>
      <c r="E90" s="9">
        <f>IF(AND(C90=""),"",IF(AND($Y$90=""),"",ROUND(C90*Master!H$5%,0)))</f>
        <v>4572</v>
      </c>
      <c r="F90" s="9">
        <f t="shared" ref="F90:F92" si="80">IF(AND(C90=""),"",SUM(C90:E90))</f>
        <v>74676</v>
      </c>
      <c r="G90" s="9">
        <f>IFERROR(IF(ISNA(VLOOKUP($Y$90,Master!A$8:N$127,5,FALSE)),"",VLOOKUP($Y$90,Master!A$8:AH$127,5,FALSE)),"")</f>
        <v>50800</v>
      </c>
      <c r="H90" s="9">
        <f>IF(AND(G90=""),"",IF(AND($Y$90=""),"",ROUND(G90*Master!C$4%,0)))</f>
        <v>17272</v>
      </c>
      <c r="I90" s="9">
        <f>IF(AND(G90=""),"",IF(AND($Y$90=""),"",ROUND(G90*Master!H$4%,0)))</f>
        <v>4572</v>
      </c>
      <c r="J90" s="9">
        <f t="shared" ref="J90:J92" si="81">IF(AND(C90=""),"",SUM(G90:I90))</f>
        <v>72644</v>
      </c>
      <c r="K90" s="9">
        <f t="shared" ref="K90:K92" si="82">IF(AND(C90=""),"",IF(AND(G90=""),"",C90-G90))</f>
        <v>0</v>
      </c>
      <c r="L90" s="9">
        <f t="shared" ref="L90:L92" si="83">IF(AND(D90=""),"",IF(AND(H90=""),"",D90-H90))</f>
        <v>2032</v>
      </c>
      <c r="M90" s="9">
        <f t="shared" ref="M90:M92" si="84">IF(AND(E90=""),"",IF(AND(I90=""),"",E90-I90))</f>
        <v>0</v>
      </c>
      <c r="N90" s="9">
        <f t="shared" ref="N90:N92" si="85">IF(AND(F90=""),"",IF(AND(J90=""),"",F90-J90))</f>
        <v>2032</v>
      </c>
      <c r="O90" s="9">
        <f>IF(AND(C90=""),"",N90-P90)</f>
        <v>2032</v>
      </c>
      <c r="P90" s="9">
        <f>IF(AND($Y$90=""),"",IF(AND(N90=""),"",ROUND(N90*$X$91%,0)))</f>
        <v>0</v>
      </c>
      <c r="Q90" s="9">
        <f>IF(AND($Y$90=""),"",IF(AND(C90=""),"",IF(AND(O90=""),"",SUM(O90,P90))))</f>
        <v>2032</v>
      </c>
      <c r="R90" s="9">
        <f>IF(AND(N90=""),"",IF(AND(Q90=""),"",N90-Q90))</f>
        <v>0</v>
      </c>
      <c r="S90" s="20"/>
      <c r="X90" s="62" t="s">
        <v>62</v>
      </c>
      <c r="Y90" s="65">
        <f>IF(AND(Master!B16="",Master!E16=""),"",9)</f>
        <v>9</v>
      </c>
    </row>
    <row r="91" spans="1:25" ht="21" customHeight="1">
      <c r="A91" s="8">
        <v>2</v>
      </c>
      <c r="B91" s="23">
        <f>IFERROR(DATE(YEAR(B90),MONTH(B90)+1,DAY(B90)),"")</f>
        <v>44774</v>
      </c>
      <c r="C91" s="9">
        <f>IF(AND($Y$90=""),"",C90)</f>
        <v>50800</v>
      </c>
      <c r="D91" s="9">
        <f>IF(AND(C91=""),"",IF(AND($Y$90=""),"",ROUND(C91*Master!C$5%,0)))</f>
        <v>19304</v>
      </c>
      <c r="E91" s="9">
        <f>IF(AND(C91=""),"",IF(AND($Y$90=""),"",ROUND(C91*Master!H$5%,0)))</f>
        <v>4572</v>
      </c>
      <c r="F91" s="9">
        <f t="shared" si="80"/>
        <v>74676</v>
      </c>
      <c r="G91" s="9">
        <f>IF(AND($Y$90=""),"",G90)</f>
        <v>50800</v>
      </c>
      <c r="H91" s="9">
        <f>IF(AND(G91=""),"",IF(AND($Y$90=""),"",ROUND(G91*Master!C$4%,0)))</f>
        <v>17272</v>
      </c>
      <c r="I91" s="9">
        <f>IF(AND(G91=""),"",IF(AND($Y$90=""),"",ROUND(G91*Master!H$4%,0)))</f>
        <v>4572</v>
      </c>
      <c r="J91" s="9">
        <f t="shared" si="81"/>
        <v>72644</v>
      </c>
      <c r="K91" s="9">
        <f t="shared" si="82"/>
        <v>0</v>
      </c>
      <c r="L91" s="9">
        <f t="shared" si="83"/>
        <v>2032</v>
      </c>
      <c r="M91" s="9">
        <f t="shared" si="84"/>
        <v>0</v>
      </c>
      <c r="N91" s="9">
        <f t="shared" si="85"/>
        <v>2032</v>
      </c>
      <c r="O91" s="9">
        <f t="shared" ref="O91:O92" si="86">IF(AND(C91=""),"",N91-P91)</f>
        <v>2032</v>
      </c>
      <c r="P91" s="9">
        <f t="shared" ref="P91:P92" si="87">IF(AND($Y$90=""),"",IF(AND(N91=""),"",ROUND(N91*$X$91%,0)))</f>
        <v>0</v>
      </c>
      <c r="Q91" s="9">
        <f>IF(AND($Y$90=""),"",IF(AND(C91=""),"",IF(AND(O91=""),"",SUM(O91,P91))))</f>
        <v>2032</v>
      </c>
      <c r="R91" s="9">
        <f t="shared" ref="R91:R92" si="88">IF(AND(N91=""),"",IF(AND(Q91=""),"",N91-Q91))</f>
        <v>0</v>
      </c>
      <c r="S91" s="20"/>
      <c r="X91" s="4">
        <f>IF(ISNA(VLOOKUP($Y$90,Master!A$8:N$127,7,FALSE)),"",VLOOKUP($Y$90,Master!A$8:AH$127,7,FALSE))</f>
        <v>0</v>
      </c>
    </row>
    <row r="92" spans="1:25" ht="21" customHeight="1">
      <c r="A92" s="8">
        <v>3</v>
      </c>
      <c r="B92" s="23">
        <f>IFERROR(DATE(YEAR(B91),MONTH(B91)+1,DAY(B91)),"")</f>
        <v>44805</v>
      </c>
      <c r="C92" s="9">
        <f>IF(AND($Y$90=""),"",C91)</f>
        <v>50800</v>
      </c>
      <c r="D92" s="9">
        <f>IF(AND(C92=""),"",IF(AND($Y$90=""),"",ROUND(C92*Master!C$5%,0)))</f>
        <v>19304</v>
      </c>
      <c r="E92" s="9">
        <f>IF(AND(C92=""),"",IF(AND($Y$90=""),"",ROUND(C92*Master!H$5%,0)))</f>
        <v>4572</v>
      </c>
      <c r="F92" s="9">
        <f t="shared" si="80"/>
        <v>74676</v>
      </c>
      <c r="G92" s="9">
        <f>IF(AND($Y$90=""),"",G91)</f>
        <v>50800</v>
      </c>
      <c r="H92" s="9">
        <f>IF(AND(G92=""),"",IF(AND($Y$90=""),"",ROUND(G92*Master!C$4%,0)))</f>
        <v>17272</v>
      </c>
      <c r="I92" s="9">
        <f>IF(AND(G92=""),"",IF(AND($Y$90=""),"",ROUND(G92*Master!H$4%,0)))</f>
        <v>4572</v>
      </c>
      <c r="J92" s="9">
        <f t="shared" si="81"/>
        <v>72644</v>
      </c>
      <c r="K92" s="9">
        <f t="shared" si="82"/>
        <v>0</v>
      </c>
      <c r="L92" s="9">
        <f t="shared" si="83"/>
        <v>2032</v>
      </c>
      <c r="M92" s="9">
        <f t="shared" si="84"/>
        <v>0</v>
      </c>
      <c r="N92" s="9">
        <f t="shared" si="85"/>
        <v>2032</v>
      </c>
      <c r="O92" s="9">
        <f t="shared" si="86"/>
        <v>2032</v>
      </c>
      <c r="P92" s="9">
        <f t="shared" si="87"/>
        <v>0</v>
      </c>
      <c r="Q92" s="9">
        <f>IF(AND($Y$90=""),"",IF(AND(C92=""),"",IF(AND(O92=""),"",SUM(O92,P92))))</f>
        <v>2032</v>
      </c>
      <c r="R92" s="9">
        <f t="shared" si="88"/>
        <v>0</v>
      </c>
      <c r="S92" s="20"/>
    </row>
    <row r="93" spans="1:25" ht="30.75" customHeight="1">
      <c r="A93" s="108" t="s">
        <v>9</v>
      </c>
      <c r="B93" s="109"/>
      <c r="C93" s="64">
        <f t="shared" ref="C93:R93" si="89">IF(AND($Y$90=""),"",SUM(C90:C92))</f>
        <v>152400</v>
      </c>
      <c r="D93" s="64">
        <f t="shared" si="89"/>
        <v>57912</v>
      </c>
      <c r="E93" s="64">
        <f t="shared" si="89"/>
        <v>13716</v>
      </c>
      <c r="F93" s="64">
        <f t="shared" si="89"/>
        <v>224028</v>
      </c>
      <c r="G93" s="64">
        <f t="shared" si="89"/>
        <v>152400</v>
      </c>
      <c r="H93" s="64">
        <f t="shared" si="89"/>
        <v>51816</v>
      </c>
      <c r="I93" s="64">
        <f t="shared" si="89"/>
        <v>13716</v>
      </c>
      <c r="J93" s="64">
        <f t="shared" si="89"/>
        <v>217932</v>
      </c>
      <c r="K93" s="64">
        <f t="shared" si="89"/>
        <v>0</v>
      </c>
      <c r="L93" s="64">
        <f t="shared" si="89"/>
        <v>6096</v>
      </c>
      <c r="M93" s="64">
        <f t="shared" si="89"/>
        <v>0</v>
      </c>
      <c r="N93" s="64">
        <f t="shared" si="89"/>
        <v>6096</v>
      </c>
      <c r="O93" s="64">
        <f t="shared" si="89"/>
        <v>6096</v>
      </c>
      <c r="P93" s="64">
        <f t="shared" si="89"/>
        <v>0</v>
      </c>
      <c r="Q93" s="64">
        <f t="shared" si="89"/>
        <v>6096</v>
      </c>
      <c r="R93" s="64">
        <f t="shared" si="89"/>
        <v>0</v>
      </c>
      <c r="S93" s="50"/>
    </row>
    <row r="94" spans="1:25" ht="30.75" customHeight="1">
      <c r="A94" s="75"/>
      <c r="B94" s="75"/>
      <c r="C94" s="76"/>
      <c r="D94" s="76"/>
      <c r="E94" s="76"/>
      <c r="F94" s="76"/>
      <c r="G94" s="76"/>
      <c r="H94" s="76"/>
      <c r="I94" s="76"/>
      <c r="J94" s="76"/>
      <c r="K94" s="76"/>
      <c r="L94" s="76"/>
      <c r="M94" s="76"/>
      <c r="N94" s="76"/>
      <c r="O94" s="76"/>
      <c r="P94" s="76"/>
      <c r="Q94" s="76"/>
      <c r="R94" s="76"/>
      <c r="S94" s="77"/>
    </row>
    <row r="95" spans="1:25" ht="18.75">
      <c r="A95" s="21"/>
      <c r="B95" s="59"/>
      <c r="C95" s="59"/>
      <c r="D95" s="59"/>
      <c r="E95" s="59"/>
      <c r="F95" s="59"/>
      <c r="G95" s="59"/>
      <c r="H95" s="60"/>
      <c r="I95" s="60"/>
      <c r="J95" s="60"/>
      <c r="K95" s="68"/>
      <c r="L95" s="68"/>
      <c r="M95" s="68"/>
      <c r="N95" s="68"/>
      <c r="O95" s="107" t="s">
        <v>55</v>
      </c>
      <c r="P95" s="107"/>
      <c r="Q95" s="107"/>
      <c r="R95" s="107"/>
      <c r="S95" s="107"/>
    </row>
    <row r="96" spans="1:25" ht="18.75">
      <c r="A96" s="1"/>
      <c r="B96" s="24" t="s">
        <v>19</v>
      </c>
      <c r="C96" s="118"/>
      <c r="D96" s="118"/>
      <c r="E96" s="118"/>
      <c r="F96" s="118"/>
      <c r="G96" s="118"/>
      <c r="H96" s="25"/>
      <c r="I96" s="121" t="s">
        <v>20</v>
      </c>
      <c r="J96" s="121"/>
      <c r="K96" s="120"/>
      <c r="L96" s="120"/>
      <c r="M96" s="120"/>
      <c r="O96" s="107"/>
      <c r="P96" s="107"/>
      <c r="Q96" s="107"/>
      <c r="R96" s="107"/>
      <c r="S96" s="107"/>
    </row>
    <row r="97" spans="1:27" ht="18.75">
      <c r="A97" s="1"/>
      <c r="B97" s="119" t="s">
        <v>21</v>
      </c>
      <c r="C97" s="119"/>
      <c r="D97" s="119"/>
      <c r="E97" s="119"/>
      <c r="F97" s="119"/>
      <c r="G97" s="119"/>
      <c r="H97" s="119"/>
      <c r="I97" s="27"/>
      <c r="J97" s="26"/>
      <c r="K97" s="26"/>
      <c r="L97" s="26"/>
      <c r="M97" s="26"/>
    </row>
    <row r="98" spans="1:27" ht="18.75">
      <c r="A98" s="22">
        <v>1</v>
      </c>
      <c r="B98" s="117" t="s">
        <v>22</v>
      </c>
      <c r="C98" s="117"/>
      <c r="D98" s="117"/>
      <c r="E98" s="117"/>
      <c r="F98" s="117"/>
      <c r="G98" s="117"/>
      <c r="H98" s="117"/>
      <c r="I98" s="28"/>
      <c r="J98" s="26"/>
      <c r="K98" s="26"/>
      <c r="L98" s="26"/>
      <c r="M98" s="26"/>
    </row>
    <row r="99" spans="1:27" ht="18.75">
      <c r="A99" s="2">
        <v>2</v>
      </c>
      <c r="B99" s="117" t="s">
        <v>23</v>
      </c>
      <c r="C99" s="117"/>
      <c r="D99" s="117"/>
      <c r="E99" s="117"/>
      <c r="F99" s="117"/>
      <c r="G99" s="115"/>
      <c r="H99" s="115"/>
      <c r="I99" s="115"/>
      <c r="J99" s="115"/>
      <c r="K99" s="115"/>
      <c r="L99" s="115"/>
      <c r="M99" s="115"/>
    </row>
    <row r="100" spans="1:27" ht="18.75">
      <c r="A100" s="3">
        <v>3</v>
      </c>
      <c r="B100" s="117" t="s">
        <v>24</v>
      </c>
      <c r="C100" s="117"/>
      <c r="D100" s="117"/>
      <c r="E100" s="29"/>
      <c r="F100" s="28"/>
      <c r="G100" s="28"/>
      <c r="H100" s="30"/>
      <c r="I100" s="31"/>
      <c r="J100" s="26"/>
      <c r="K100" s="26"/>
      <c r="L100" s="26"/>
      <c r="M100" s="26"/>
    </row>
    <row r="101" spans="1:27" ht="15.75">
      <c r="O101" s="107" t="s">
        <v>55</v>
      </c>
      <c r="P101" s="107"/>
      <c r="Q101" s="107"/>
      <c r="R101" s="107"/>
      <c r="S101" s="107"/>
    </row>
    <row r="103" spans="1:27" ht="18" customHeight="1">
      <c r="A103" s="122" t="str">
        <f>A69</f>
        <v xml:space="preserve">DA (38%) Drawn Statement  </v>
      </c>
      <c r="B103" s="122"/>
      <c r="C103" s="122"/>
      <c r="D103" s="122"/>
      <c r="E103" s="122"/>
      <c r="F103" s="122"/>
      <c r="G103" s="122"/>
      <c r="H103" s="122"/>
      <c r="I103" s="122"/>
      <c r="J103" s="122"/>
      <c r="K103" s="122"/>
      <c r="L103" s="122"/>
      <c r="M103" s="122"/>
      <c r="N103" s="122"/>
      <c r="O103" s="122"/>
      <c r="P103" s="122"/>
      <c r="Q103" s="122"/>
      <c r="R103" s="122"/>
      <c r="S103" s="122"/>
      <c r="W103" s="4">
        <f>IF(ISNA(VLOOKUP($Y$3,Master!A$8:N$127,4,FALSE)),"",VLOOKUP($Y$3,Master!A$8:AH$127,4,FALSE))</f>
        <v>3</v>
      </c>
      <c r="X103" s="4" t="str">
        <f>IF(ISNA(VLOOKUP($Y$3,Master!A$8:N$127,6,FALSE)),"",VLOOKUP($Y$3,Master!A$8:AH$127,6,FALSE))</f>
        <v>GPF</v>
      </c>
      <c r="Y103" s="4" t="s">
        <v>58</v>
      </c>
      <c r="Z103" s="4" t="s">
        <v>18</v>
      </c>
      <c r="AA103" s="4">
        <f>IF(ISNA(VLOOKUP($Y$105,Master!A$8:N$127,7,FALSE)),"",VLOOKUP($Y$105,Master!A$8:AH$127,7,FALSE))</f>
        <v>0</v>
      </c>
    </row>
    <row r="104" spans="1:27" ht="18">
      <c r="A104" s="114" t="str">
        <f>IF(AND(Master!C105=""),"",CONCATENATE("Office Of  ",Master!C105))</f>
        <v/>
      </c>
      <c r="B104" s="114"/>
      <c r="C104" s="114"/>
      <c r="D104" s="114"/>
      <c r="E104" s="114"/>
      <c r="F104" s="114"/>
      <c r="G104" s="114"/>
      <c r="H104" s="114"/>
      <c r="I104" s="114"/>
      <c r="J104" s="114"/>
      <c r="K104" s="114"/>
      <c r="L104" s="114"/>
      <c r="M104" s="114"/>
      <c r="N104" s="114"/>
      <c r="O104" s="114"/>
      <c r="P104" s="114"/>
      <c r="Q104" s="114"/>
      <c r="R104" s="114"/>
      <c r="S104" s="114"/>
      <c r="X104" s="4">
        <f>IF(ISNA(VLOOKUP($Y$3,Master!A$8:N$127,8,FALSE)),"",VLOOKUP($Y$3,Master!A$8:AH$127,8,FALSE))</f>
        <v>44743</v>
      </c>
      <c r="Y104" s="4" t="s">
        <v>56</v>
      </c>
    </row>
    <row r="105" spans="1:27" ht="18.75">
      <c r="E105" s="116" t="s">
        <v>10</v>
      </c>
      <c r="F105" s="116"/>
      <c r="G105" s="116"/>
      <c r="H105" s="116"/>
      <c r="I105" s="116"/>
      <c r="J105" s="115" t="str">
        <f>IF(ISNA(VLOOKUP($Y$105,Master!A$8:N$127,2,FALSE)),"",VLOOKUP($Y$105,Master!A$8:AH$127,2,FALSE))</f>
        <v>LALIT KUMAR</v>
      </c>
      <c r="K105" s="115"/>
      <c r="L105" s="115"/>
      <c r="M105" s="115"/>
      <c r="N105" s="115"/>
      <c r="O105" s="61" t="s">
        <v>31</v>
      </c>
      <c r="P105" s="115" t="str">
        <f>IF(ISNA(VLOOKUP($Y$105,Master!A$8:N$127,3,FALSE)),"",VLOOKUP($Y$105,Master!A$8:AH$127,3,FALSE))</f>
        <v>TEACHER L-1</v>
      </c>
      <c r="Q105" s="115"/>
      <c r="R105" s="115"/>
      <c r="S105" s="115"/>
      <c r="X105" s="62" t="s">
        <v>62</v>
      </c>
      <c r="Y105" s="65">
        <f>IF(AND(Master!B17="",Master!E17=""),"",10)</f>
        <v>10</v>
      </c>
    </row>
    <row r="106" spans="1:27" ht="8.25" customHeight="1">
      <c r="E106" s="19"/>
      <c r="F106" s="53"/>
      <c r="G106" s="22"/>
      <c r="H106" s="22"/>
      <c r="I106" s="22"/>
      <c r="J106" s="5"/>
      <c r="K106" s="5"/>
      <c r="L106" s="5"/>
      <c r="M106" s="5"/>
      <c r="N106" s="5"/>
      <c r="O106" s="6"/>
      <c r="P106" s="6"/>
    </row>
    <row r="107" spans="1:27" ht="24.75" customHeight="1">
      <c r="A107" s="110" t="s">
        <v>0</v>
      </c>
      <c r="B107" s="111" t="s">
        <v>3</v>
      </c>
      <c r="C107" s="112" t="s">
        <v>5</v>
      </c>
      <c r="D107" s="112"/>
      <c r="E107" s="112"/>
      <c r="F107" s="112"/>
      <c r="G107" s="112" t="s">
        <v>6</v>
      </c>
      <c r="H107" s="112"/>
      <c r="I107" s="112"/>
      <c r="J107" s="112"/>
      <c r="K107" s="112" t="s">
        <v>7</v>
      </c>
      <c r="L107" s="112"/>
      <c r="M107" s="112"/>
      <c r="N107" s="112"/>
      <c r="O107" s="97" t="s">
        <v>8</v>
      </c>
      <c r="P107" s="98"/>
      <c r="Q107" s="99"/>
      <c r="R107" s="105" t="s">
        <v>67</v>
      </c>
      <c r="S107" s="105" t="s">
        <v>50</v>
      </c>
    </row>
    <row r="108" spans="1:27" ht="69" customHeight="1">
      <c r="A108" s="110"/>
      <c r="B108" s="111"/>
      <c r="C108" s="55" t="s">
        <v>29</v>
      </c>
      <c r="D108" s="56" t="s">
        <v>1</v>
      </c>
      <c r="E108" s="57" t="s">
        <v>2</v>
      </c>
      <c r="F108" s="55" t="s">
        <v>59</v>
      </c>
      <c r="G108" s="55" t="s">
        <v>29</v>
      </c>
      <c r="H108" s="56" t="s">
        <v>1</v>
      </c>
      <c r="I108" s="57" t="s">
        <v>2</v>
      </c>
      <c r="J108" s="55" t="s">
        <v>60</v>
      </c>
      <c r="K108" s="55" t="s">
        <v>4</v>
      </c>
      <c r="L108" s="56" t="s">
        <v>1</v>
      </c>
      <c r="M108" s="57" t="s">
        <v>2</v>
      </c>
      <c r="N108" s="58" t="s">
        <v>61</v>
      </c>
      <c r="O108" s="54" t="s">
        <v>83</v>
      </c>
      <c r="P108" s="67" t="s">
        <v>51</v>
      </c>
      <c r="Q108" s="58" t="s">
        <v>66</v>
      </c>
      <c r="R108" s="105"/>
      <c r="S108" s="105"/>
    </row>
    <row r="109" spans="1:27" ht="18" customHeight="1">
      <c r="A109" s="7">
        <v>1</v>
      </c>
      <c r="B109" s="7">
        <v>2</v>
      </c>
      <c r="C109" s="7">
        <v>3</v>
      </c>
      <c r="D109" s="7">
        <v>4</v>
      </c>
      <c r="E109" s="7">
        <v>5</v>
      </c>
      <c r="F109" s="7">
        <v>6</v>
      </c>
      <c r="G109" s="7">
        <v>7</v>
      </c>
      <c r="H109" s="7">
        <v>8</v>
      </c>
      <c r="I109" s="7">
        <v>9</v>
      </c>
      <c r="J109" s="7">
        <v>10</v>
      </c>
      <c r="K109" s="7">
        <v>11</v>
      </c>
      <c r="L109" s="7">
        <v>12</v>
      </c>
      <c r="M109" s="7">
        <v>13</v>
      </c>
      <c r="N109" s="7">
        <v>14</v>
      </c>
      <c r="O109" s="7">
        <v>15</v>
      </c>
      <c r="P109" s="7">
        <v>17</v>
      </c>
      <c r="Q109" s="7">
        <v>18</v>
      </c>
      <c r="R109" s="7">
        <v>19</v>
      </c>
      <c r="S109" s="7">
        <v>20</v>
      </c>
    </row>
    <row r="110" spans="1:27" ht="21" customHeight="1">
      <c r="A110" s="8">
        <v>1</v>
      </c>
      <c r="B110" s="23">
        <f>IFERROR(IF(ISNA(VLOOKUP(Y105,Master!A$8:N$127,8,FALSE)),"",VLOOKUP($Y105,Master!A$8:AH$127,8,FALSE)),"")</f>
        <v>44743</v>
      </c>
      <c r="C110" s="9">
        <f>IFERROR(IF(ISNA(VLOOKUP(Y105,Master!A$8:N$127,5,FALSE)),"",VLOOKUP($Y$105,Master!A$8:AH$127,5,FALSE)),"")</f>
        <v>50800</v>
      </c>
      <c r="D110" s="9">
        <f>IF(AND(C110=""),"",IF(AND($Y$105=""),"",ROUND(C110*Master!C$5%,0)))</f>
        <v>19304</v>
      </c>
      <c r="E110" s="9">
        <f>IF(AND(C110=""),"",IF(AND($Y$105=""),"",ROUND(C110*Master!H$5%,0)))</f>
        <v>4572</v>
      </c>
      <c r="F110" s="9">
        <f t="shared" ref="F110" si="90">IF(AND(C110=""),"",SUM(C110:E110))</f>
        <v>74676</v>
      </c>
      <c r="G110" s="9">
        <f>IFERROR(IF(ISNA(VLOOKUP($Y$105,Master!A$8:N$127,5,FALSE)),"",VLOOKUP($Y$105,Master!A$8:AH$127,5,FALSE)),"")</f>
        <v>50800</v>
      </c>
      <c r="H110" s="9">
        <f>IF(AND(G110=""),"",IF(AND($Y$105=""),"",ROUND(G110*Master!C$4%,0)))</f>
        <v>17272</v>
      </c>
      <c r="I110" s="9">
        <f>IF(AND(G110=""),"",IF(AND($Y$105=""),"",ROUND(G110*Master!H$4%,0)))</f>
        <v>4572</v>
      </c>
      <c r="J110" s="9">
        <f t="shared" ref="J110:J111" si="91">IF(AND(C110=""),"",SUM(G110:I110))</f>
        <v>72644</v>
      </c>
      <c r="K110" s="9">
        <f t="shared" ref="K110:K112" si="92">IF(AND(C110=""),"",IF(AND(G110=""),"",C110-G110))</f>
        <v>0</v>
      </c>
      <c r="L110" s="9">
        <f t="shared" ref="L110:L112" si="93">IF(AND(D110=""),"",IF(AND(H110=""),"",D110-H110))</f>
        <v>2032</v>
      </c>
      <c r="M110" s="9">
        <f t="shared" ref="M110:M111" si="94">IF(AND(E110=""),"",IF(AND(I110=""),"",E110-I110))</f>
        <v>0</v>
      </c>
      <c r="N110" s="9">
        <f t="shared" ref="N110:N111" si="95">IF(AND(F110=""),"",IF(AND(J110=""),"",F110-J110))</f>
        <v>2032</v>
      </c>
      <c r="O110" s="9">
        <f>IF(AND(C110=""),"",N110-P110)</f>
        <v>2032</v>
      </c>
      <c r="P110" s="9">
        <f>IF(AND($Y$105=""),"",IF(AND(N110=""),"",ROUND(N110*$AA$103%,0)))</f>
        <v>0</v>
      </c>
      <c r="Q110" s="9">
        <f>IF(AND($Y$105=""),"",IF(AND(C110=""),"",IF(AND(O110=""),"",SUM(O110,P110))))</f>
        <v>2032</v>
      </c>
      <c r="R110" s="9">
        <f>IF(AND(N110=""),"",IF(AND(Q110=""),"",N110-Q110))</f>
        <v>0</v>
      </c>
      <c r="S110" s="20"/>
    </row>
    <row r="111" spans="1:27" ht="21" customHeight="1">
      <c r="A111" s="8">
        <v>2</v>
      </c>
      <c r="B111" s="23">
        <f>IFERROR(DATE(YEAR(B110),MONTH(B110)+1,DAY(B110)),"")</f>
        <v>44774</v>
      </c>
      <c r="C111" s="9">
        <f>IF(AND($Y$105=""),"",C110)</f>
        <v>50800</v>
      </c>
      <c r="D111" s="9">
        <f>IF(AND(C111=""),"",IF(AND($Y$105=""),"",ROUND(C111*Master!C$5%,0)))</f>
        <v>19304</v>
      </c>
      <c r="E111" s="9">
        <f>IF(AND(C111=""),"",IF(AND($Y$105=""),"",ROUND(C111*Master!H$5%,0)))</f>
        <v>4572</v>
      </c>
      <c r="F111" s="9">
        <f>IF(AND(C111=""),"",SUM(C111:E111))</f>
        <v>74676</v>
      </c>
      <c r="G111" s="9">
        <f>IF(AND($Y$105=""),"",G110)</f>
        <v>50800</v>
      </c>
      <c r="H111" s="9">
        <f>IF(AND(G111=""),"",IF(AND($Y$105=""),"",ROUND(G111*Master!C$4%,0)))</f>
        <v>17272</v>
      </c>
      <c r="I111" s="9">
        <f>IF(AND(G111=""),"",IF(AND($Y$105=""),"",ROUND(G111*Master!H$4%,0)))</f>
        <v>4572</v>
      </c>
      <c r="J111" s="9">
        <f t="shared" si="91"/>
        <v>72644</v>
      </c>
      <c r="K111" s="9">
        <f t="shared" si="92"/>
        <v>0</v>
      </c>
      <c r="L111" s="9">
        <f t="shared" si="93"/>
        <v>2032</v>
      </c>
      <c r="M111" s="9">
        <f t="shared" si="94"/>
        <v>0</v>
      </c>
      <c r="N111" s="9">
        <f t="shared" si="95"/>
        <v>2032</v>
      </c>
      <c r="O111" s="9">
        <f t="shared" ref="O111:O112" si="96">IF(AND(C111=""),"",N111-P111)</f>
        <v>2032</v>
      </c>
      <c r="P111" s="9">
        <f t="shared" ref="P111:P112" si="97">IF(AND($Y$105=""),"",IF(AND(N111=""),"",ROUND(N111*$AA$103%,0)))</f>
        <v>0</v>
      </c>
      <c r="Q111" s="9">
        <f>IF(AND($Y$105=""),"",IF(AND(C111=""),"",IF(AND(O111=""),"",SUM(O111,P111))))</f>
        <v>2032</v>
      </c>
      <c r="R111" s="9">
        <f t="shared" ref="R111:R112" si="98">IF(AND(N111=""),"",IF(AND(Q111=""),"",N111-Q111))</f>
        <v>0</v>
      </c>
      <c r="S111" s="20"/>
    </row>
    <row r="112" spans="1:27" ht="21" customHeight="1">
      <c r="A112" s="8">
        <v>3</v>
      </c>
      <c r="B112" s="23">
        <f>IFERROR(DATE(YEAR(B111),MONTH(B111)+1,DAY(B111)),"")</f>
        <v>44805</v>
      </c>
      <c r="C112" s="9">
        <f>IF(AND($Y$105=""),"",C111)</f>
        <v>50800</v>
      </c>
      <c r="D112" s="9">
        <f>IF(AND(C112=""),"",IF(AND($Y$105=""),"",ROUND(C112*Master!C$5%,0)))</f>
        <v>19304</v>
      </c>
      <c r="E112" s="9">
        <f>IF(AND(C112=""),"",IF(AND($Y$105=""),"",ROUND(C112*Master!H$5%,0)))</f>
        <v>4572</v>
      </c>
      <c r="F112" s="9">
        <f t="shared" ref="F112" si="99">IF(AND(C112=""),"",SUM(C112:E112))</f>
        <v>74676</v>
      </c>
      <c r="G112" s="9">
        <f>IF(AND($Y$105=""),"",G111)</f>
        <v>50800</v>
      </c>
      <c r="H112" s="9">
        <f>IF(AND(G112=""),"",IF(AND($Y$105=""),"",ROUND(G112*Master!C$4%,0)))</f>
        <v>17272</v>
      </c>
      <c r="I112" s="9">
        <f>IF(AND(G112=""),"",IF(AND($Y$105=""),"",ROUND(G112*Master!H$4%,0)))</f>
        <v>4572</v>
      </c>
      <c r="J112" s="9">
        <f>IF(AND(C112=""),"",SUM(G112:I112))</f>
        <v>72644</v>
      </c>
      <c r="K112" s="9">
        <f t="shared" si="92"/>
        <v>0</v>
      </c>
      <c r="L112" s="9">
        <f t="shared" si="93"/>
        <v>2032</v>
      </c>
      <c r="M112" s="9">
        <f>IF(AND(E112=""),"",IF(AND(I112=""),"",E112-I112))</f>
        <v>0</v>
      </c>
      <c r="N112" s="9">
        <f>IF(AND(F112=""),"",IF(AND(J112=""),"",F112-J112))</f>
        <v>2032</v>
      </c>
      <c r="O112" s="9">
        <f t="shared" si="96"/>
        <v>2032</v>
      </c>
      <c r="P112" s="9">
        <f t="shared" si="97"/>
        <v>0</v>
      </c>
      <c r="Q112" s="9">
        <f>IF(AND($Y$105=""),"",IF(AND(C112=""),"",IF(AND(O112=""),"",SUM(O112,P112))))</f>
        <v>2032</v>
      </c>
      <c r="R112" s="9">
        <f t="shared" si="98"/>
        <v>0</v>
      </c>
      <c r="S112" s="20"/>
    </row>
    <row r="113" spans="1:25" ht="23.25" customHeight="1">
      <c r="A113" s="108" t="s">
        <v>9</v>
      </c>
      <c r="B113" s="109"/>
      <c r="C113" s="64">
        <f t="shared" ref="C113:R113" si="100">IF(AND($Y$105=""),"",SUM(C110:C112))</f>
        <v>152400</v>
      </c>
      <c r="D113" s="64">
        <f t="shared" si="100"/>
        <v>57912</v>
      </c>
      <c r="E113" s="64">
        <f t="shared" si="100"/>
        <v>13716</v>
      </c>
      <c r="F113" s="64">
        <f t="shared" si="100"/>
        <v>224028</v>
      </c>
      <c r="G113" s="64">
        <f t="shared" si="100"/>
        <v>152400</v>
      </c>
      <c r="H113" s="64">
        <f t="shared" si="100"/>
        <v>51816</v>
      </c>
      <c r="I113" s="64">
        <f t="shared" si="100"/>
        <v>13716</v>
      </c>
      <c r="J113" s="64">
        <f t="shared" si="100"/>
        <v>217932</v>
      </c>
      <c r="K113" s="64">
        <f t="shared" si="100"/>
        <v>0</v>
      </c>
      <c r="L113" s="64">
        <f t="shared" si="100"/>
        <v>6096</v>
      </c>
      <c r="M113" s="64">
        <f t="shared" si="100"/>
        <v>0</v>
      </c>
      <c r="N113" s="64">
        <f t="shared" si="100"/>
        <v>6096</v>
      </c>
      <c r="O113" s="64">
        <f t="shared" si="100"/>
        <v>6096</v>
      </c>
      <c r="P113" s="64">
        <f t="shared" si="100"/>
        <v>0</v>
      </c>
      <c r="Q113" s="64">
        <f t="shared" si="100"/>
        <v>6096</v>
      </c>
      <c r="R113" s="64">
        <f t="shared" si="100"/>
        <v>0</v>
      </c>
      <c r="S113" s="50"/>
    </row>
    <row r="114" spans="1:25" ht="10.5" customHeight="1">
      <c r="A114" s="75"/>
      <c r="B114" s="75"/>
      <c r="C114" s="76"/>
      <c r="D114" s="76"/>
      <c r="E114" s="76"/>
      <c r="F114" s="76"/>
      <c r="G114" s="76"/>
      <c r="H114" s="76"/>
      <c r="I114" s="76"/>
      <c r="J114" s="76"/>
      <c r="K114" s="76"/>
      <c r="L114" s="76"/>
      <c r="M114" s="76"/>
      <c r="N114" s="76"/>
      <c r="O114" s="76"/>
      <c r="P114" s="76"/>
      <c r="Q114" s="76"/>
      <c r="R114" s="76"/>
      <c r="S114" s="77"/>
    </row>
    <row r="115" spans="1:25" ht="23.25" customHeight="1">
      <c r="E115" s="116" t="s">
        <v>10</v>
      </c>
      <c r="F115" s="116"/>
      <c r="G115" s="116"/>
      <c r="H115" s="116"/>
      <c r="I115" s="116"/>
      <c r="J115" s="115" t="str">
        <f>IF(ISNA(VLOOKUP($Y$117,Master!A$8:N$127,2,FALSE)),"",VLOOKUP($Y$117,Master!A$8:AH$127,2,FALSE))</f>
        <v>MANDIP SINGH BHULLAR</v>
      </c>
      <c r="K115" s="115"/>
      <c r="L115" s="115"/>
      <c r="M115" s="115"/>
      <c r="N115" s="115"/>
      <c r="O115" s="61" t="s">
        <v>31</v>
      </c>
      <c r="P115" s="115" t="str">
        <f>IF(ISNA(VLOOKUP($Y$117,Master!A$8:N$127,3,FALSE)),"",VLOOKUP($Y$117,Master!A$8:AH$127,3,FALSE))</f>
        <v>P.T.I. IIIrd</v>
      </c>
      <c r="Q115" s="115"/>
      <c r="R115" s="115"/>
      <c r="S115" s="115"/>
    </row>
    <row r="116" spans="1:25" ht="9" customHeight="1">
      <c r="E116" s="19"/>
      <c r="F116" s="53"/>
      <c r="G116" s="22"/>
      <c r="H116" s="22"/>
      <c r="I116" s="22"/>
      <c r="J116" s="5"/>
      <c r="K116" s="5"/>
      <c r="L116" s="5"/>
      <c r="M116" s="5"/>
      <c r="N116" s="5"/>
      <c r="O116" s="6"/>
      <c r="P116" s="6"/>
    </row>
    <row r="117" spans="1:25" ht="21" customHeight="1">
      <c r="A117" s="8">
        <v>1</v>
      </c>
      <c r="B117" s="23">
        <f>IFERROR(IF(ISNA(VLOOKUP(Y117,Master!A$8:N$127,8,FALSE)),"",VLOOKUP($Y117,Master!A$8:AH$127,8,FALSE)),"")</f>
        <v>44743</v>
      </c>
      <c r="C117" s="9">
        <f>IFERROR(IF(ISNA(VLOOKUP($Y$117,Master!A$8:N$127,5,FALSE)),"",VLOOKUP($Y$117,Master!A$8:AH$127,5,FALSE)),"")</f>
        <v>35800</v>
      </c>
      <c r="D117" s="9">
        <f>IF(AND(C117=""),"",IF(AND($Y$117=""),"",ROUND(C117*Master!C$5%,0)))</f>
        <v>13604</v>
      </c>
      <c r="E117" s="9">
        <f>IF(AND(C117=""),"",IF(AND($Y$117=""),"",ROUND(C117*Master!H$5%,0)))</f>
        <v>3222</v>
      </c>
      <c r="F117" s="9">
        <f t="shared" ref="F117:F119" si="101">IF(AND(C117=""),"",SUM(C117:E117))</f>
        <v>52626</v>
      </c>
      <c r="G117" s="9">
        <f>IFERROR(IF(ISNA(VLOOKUP($Y$117,Master!A$8:N$127,5,FALSE)),"",VLOOKUP($Y$117,Master!A$8:AH$127,5,FALSE)),"")</f>
        <v>35800</v>
      </c>
      <c r="H117" s="9">
        <f>IF(AND(G117=""),"",IF(AND($Y$117=""),"",ROUND(G117*Master!C$4%,0)))</f>
        <v>12172</v>
      </c>
      <c r="I117" s="9">
        <f>IF(AND(G117=""),"",IF(AND($Y$117=""),"",ROUND(G117*Master!H$4%,0)))</f>
        <v>3222</v>
      </c>
      <c r="J117" s="9">
        <f t="shared" ref="J117:J119" si="102">IF(AND(C117=""),"",SUM(G117:I117))</f>
        <v>51194</v>
      </c>
      <c r="K117" s="9">
        <f t="shared" ref="K117" si="103">IF(AND(C117=""),"",IF(AND(G117=""),"",C117-G117))</f>
        <v>0</v>
      </c>
      <c r="L117" s="9">
        <f>IF(AND(D117=""),"",IF(AND(H117=""),"",D117-H117))</f>
        <v>1432</v>
      </c>
      <c r="M117" s="9">
        <f t="shared" ref="M117:M119" si="104">IF(AND(E117=""),"",IF(AND(I117=""),"",E117-I117))</f>
        <v>0</v>
      </c>
      <c r="N117" s="9">
        <f t="shared" ref="N117:N119" si="105">IF(AND(F117=""),"",IF(AND(J117=""),"",F117-J117))</f>
        <v>1432</v>
      </c>
      <c r="O117" s="9">
        <f>IF(AND(C117=""),"",N117-P117)</f>
        <v>1432</v>
      </c>
      <c r="P117" s="9">
        <f>IF(AND($Y$117=""),"",IF(AND(N117=""),"",ROUND(N117*$X$118%,0)))</f>
        <v>0</v>
      </c>
      <c r="Q117" s="9">
        <f>IF(AND($Y$117=""),"",IF(AND(C117=""),"",IF(AND(O117=""),"",SUM(O117,P117))))</f>
        <v>1432</v>
      </c>
      <c r="R117" s="9">
        <f>IF(AND(N117=""),"",IF(AND(Q117=""),"",N117-Q117))</f>
        <v>0</v>
      </c>
      <c r="S117" s="20"/>
      <c r="X117" s="62" t="s">
        <v>62</v>
      </c>
      <c r="Y117" s="65">
        <f>IF(AND(Master!B18="",Master!E18=""),"",11)</f>
        <v>11</v>
      </c>
    </row>
    <row r="118" spans="1:25" ht="21" customHeight="1">
      <c r="A118" s="8">
        <v>2</v>
      </c>
      <c r="B118" s="23">
        <f>IFERROR(DATE(YEAR(B117),MONTH(B117)+1,DAY(B117)),"")</f>
        <v>44774</v>
      </c>
      <c r="C118" s="9">
        <f>IF(AND($Y$117=""),"",C117)</f>
        <v>35800</v>
      </c>
      <c r="D118" s="9">
        <f>IF(AND(C118=""),"",IF(AND($Y$117=""),"",ROUND(C118*Master!C$5%,0)))</f>
        <v>13604</v>
      </c>
      <c r="E118" s="9">
        <f>IF(AND(C118=""),"",IF(AND($Y$117=""),"",ROUND(C118*Master!H$5%,0)))</f>
        <v>3222</v>
      </c>
      <c r="F118" s="9">
        <f t="shared" si="101"/>
        <v>52626</v>
      </c>
      <c r="G118" s="9">
        <f>IF(AND($Y$117=""),"",G117)</f>
        <v>35800</v>
      </c>
      <c r="H118" s="9">
        <f>IF(AND(G118=""),"",IF(AND($Y$117=""),"",ROUND(G118*Master!C$4%,0)))</f>
        <v>12172</v>
      </c>
      <c r="I118" s="9">
        <f>IF(AND(G118=""),"",IF(AND($Y$117=""),"",ROUND(G118*Master!H$4%,0)))</f>
        <v>3222</v>
      </c>
      <c r="J118" s="9">
        <f t="shared" si="102"/>
        <v>51194</v>
      </c>
      <c r="K118" s="9">
        <f>IF(AND(C118=""),"",IF(AND(G118=""),"",C118-G118))</f>
        <v>0</v>
      </c>
      <c r="L118" s="9">
        <f t="shared" ref="L118:L119" si="106">IF(AND(D118=""),"",IF(AND(H118=""),"",D118-H118))</f>
        <v>1432</v>
      </c>
      <c r="M118" s="9">
        <f t="shared" si="104"/>
        <v>0</v>
      </c>
      <c r="N118" s="9">
        <f t="shared" si="105"/>
        <v>1432</v>
      </c>
      <c r="O118" s="9">
        <f t="shared" ref="O118:O119" si="107">IF(AND(C118=""),"",N118-P118)</f>
        <v>1432</v>
      </c>
      <c r="P118" s="9">
        <f t="shared" ref="P118:P119" si="108">IF(AND($Y$117=""),"",IF(AND(N118=""),"",ROUND(N118*$X$118%,0)))</f>
        <v>0</v>
      </c>
      <c r="Q118" s="9">
        <f>IF(AND($Y$117=""),"",IF(AND(C118=""),"",IF(AND(O118=""),"",SUM(O118,P118))))</f>
        <v>1432</v>
      </c>
      <c r="R118" s="9">
        <f t="shared" ref="R118:R119" si="109">IF(AND(N118=""),"",IF(AND(Q118=""),"",N118-Q118))</f>
        <v>0</v>
      </c>
      <c r="S118" s="20"/>
      <c r="X118" s="4">
        <f>IF(ISNA(VLOOKUP($Y$117,Master!A$8:N$127,7,FALSE)),"",VLOOKUP($Y$117,Master!A$8:AH$127,7,FALSE))</f>
        <v>0</v>
      </c>
    </row>
    <row r="119" spans="1:25" ht="21" customHeight="1">
      <c r="A119" s="8">
        <v>3</v>
      </c>
      <c r="B119" s="23">
        <f>IFERROR(DATE(YEAR(B118),MONTH(B118)+1,DAY(B118)),"")</f>
        <v>44805</v>
      </c>
      <c r="C119" s="9">
        <f>IF(AND($Y$117=""),"",C118)</f>
        <v>35800</v>
      </c>
      <c r="D119" s="9">
        <f>IF(AND(C119=""),"",IF(AND($Y$117=""),"",ROUND(C119*Master!C$5%,0)))</f>
        <v>13604</v>
      </c>
      <c r="E119" s="9">
        <f>IF(AND(C119=""),"",IF(AND($Y$117=""),"",ROUND(C119*Master!H$5%,0)))</f>
        <v>3222</v>
      </c>
      <c r="F119" s="9">
        <f t="shared" si="101"/>
        <v>52626</v>
      </c>
      <c r="G119" s="9">
        <f>IF(AND($Y$117=""),"",G118)</f>
        <v>35800</v>
      </c>
      <c r="H119" s="9">
        <f>IF(AND(G119=""),"",IF(AND($Y$117=""),"",ROUND(G119*Master!C$4%,0)))</f>
        <v>12172</v>
      </c>
      <c r="I119" s="9">
        <f>IF(AND(G119=""),"",IF(AND($Y$117=""),"",ROUND(G119*Master!H$4%,0)))</f>
        <v>3222</v>
      </c>
      <c r="J119" s="9">
        <f t="shared" si="102"/>
        <v>51194</v>
      </c>
      <c r="K119" s="9">
        <f t="shared" ref="K119" si="110">IF(AND(C119=""),"",IF(AND(G119=""),"",C119-G119))</f>
        <v>0</v>
      </c>
      <c r="L119" s="9">
        <f t="shared" si="106"/>
        <v>1432</v>
      </c>
      <c r="M119" s="9">
        <f t="shared" si="104"/>
        <v>0</v>
      </c>
      <c r="N119" s="9">
        <f t="shared" si="105"/>
        <v>1432</v>
      </c>
      <c r="O119" s="9">
        <f t="shared" si="107"/>
        <v>1432</v>
      </c>
      <c r="P119" s="9">
        <f t="shared" si="108"/>
        <v>0</v>
      </c>
      <c r="Q119" s="9">
        <f>IF(AND($Y$117=""),"",IF(AND(C119=""),"",IF(AND(O119=""),"",SUM(O119,P119))))</f>
        <v>1432</v>
      </c>
      <c r="R119" s="9">
        <f t="shared" si="109"/>
        <v>0</v>
      </c>
      <c r="S119" s="20"/>
    </row>
    <row r="120" spans="1:25" ht="30.75" customHeight="1">
      <c r="A120" s="108" t="s">
        <v>9</v>
      </c>
      <c r="B120" s="109"/>
      <c r="C120" s="64">
        <f t="shared" ref="C120:R120" si="111">IF(AND($Y$117=""),"",SUM(C117:C119))</f>
        <v>107400</v>
      </c>
      <c r="D120" s="64">
        <f t="shared" si="111"/>
        <v>40812</v>
      </c>
      <c r="E120" s="64">
        <f t="shared" si="111"/>
        <v>9666</v>
      </c>
      <c r="F120" s="64">
        <f t="shared" si="111"/>
        <v>157878</v>
      </c>
      <c r="G120" s="64">
        <f t="shared" si="111"/>
        <v>107400</v>
      </c>
      <c r="H120" s="64">
        <f t="shared" si="111"/>
        <v>36516</v>
      </c>
      <c r="I120" s="64">
        <f t="shared" si="111"/>
        <v>9666</v>
      </c>
      <c r="J120" s="64">
        <f t="shared" si="111"/>
        <v>153582</v>
      </c>
      <c r="K120" s="64">
        <f t="shared" si="111"/>
        <v>0</v>
      </c>
      <c r="L120" s="64">
        <f t="shared" si="111"/>
        <v>4296</v>
      </c>
      <c r="M120" s="64">
        <f t="shared" si="111"/>
        <v>0</v>
      </c>
      <c r="N120" s="64">
        <f t="shared" si="111"/>
        <v>4296</v>
      </c>
      <c r="O120" s="64">
        <f t="shared" si="111"/>
        <v>4296</v>
      </c>
      <c r="P120" s="64">
        <f t="shared" si="111"/>
        <v>0</v>
      </c>
      <c r="Q120" s="64">
        <f t="shared" si="111"/>
        <v>4296</v>
      </c>
      <c r="R120" s="64">
        <f t="shared" si="111"/>
        <v>0</v>
      </c>
      <c r="S120" s="50"/>
    </row>
    <row r="121" spans="1:25" ht="11.25" customHeight="1">
      <c r="A121" s="75"/>
      <c r="B121" s="75"/>
      <c r="C121" s="76"/>
      <c r="D121" s="76"/>
      <c r="E121" s="76"/>
      <c r="F121" s="76"/>
      <c r="G121" s="76"/>
      <c r="H121" s="76"/>
      <c r="I121" s="76"/>
      <c r="J121" s="76"/>
      <c r="K121" s="76"/>
      <c r="L121" s="76"/>
      <c r="M121" s="76"/>
      <c r="N121" s="76"/>
      <c r="O121" s="76"/>
      <c r="P121" s="76"/>
      <c r="Q121" s="76"/>
      <c r="R121" s="76"/>
      <c r="S121" s="77"/>
    </row>
    <row r="122" spans="1:25" ht="23.25" customHeight="1">
      <c r="E122" s="116" t="s">
        <v>10</v>
      </c>
      <c r="F122" s="116"/>
      <c r="G122" s="116"/>
      <c r="H122" s="116"/>
      <c r="I122" s="116"/>
      <c r="J122" s="115" t="str">
        <f>IF(ISNA(VLOOKUP($Y$124,Master!A$8:N$127,2,FALSE)),"",VLOOKUP($Y$124,Master!A$8:AH$127,2,FALSE))</f>
        <v>AJAY KUMAR</v>
      </c>
      <c r="K122" s="115"/>
      <c r="L122" s="115"/>
      <c r="M122" s="115"/>
      <c r="N122" s="115"/>
      <c r="O122" s="61" t="s">
        <v>31</v>
      </c>
      <c r="P122" s="115" t="str">
        <f>IF(ISNA(VLOOKUP($Y$124,Master!A$8:N$127,3,FALSE)),"",VLOOKUP($Y$124,Master!A$8:AH$127,3,FALSE))</f>
        <v xml:space="preserve">PEON </v>
      </c>
      <c r="Q122" s="115"/>
      <c r="R122" s="115"/>
      <c r="S122" s="115"/>
    </row>
    <row r="123" spans="1:25" ht="9" customHeight="1">
      <c r="E123" s="19"/>
      <c r="F123" s="53"/>
      <c r="G123" s="22"/>
      <c r="H123" s="22"/>
      <c r="I123" s="22"/>
      <c r="J123" s="5"/>
      <c r="K123" s="5"/>
      <c r="L123" s="5"/>
      <c r="M123" s="5"/>
      <c r="N123" s="5"/>
      <c r="O123" s="6"/>
      <c r="P123" s="6"/>
    </row>
    <row r="124" spans="1:25" ht="21" customHeight="1">
      <c r="A124" s="8">
        <v>1</v>
      </c>
      <c r="B124" s="23">
        <f>IFERROR(IF(ISNA(VLOOKUP(Y124,Master!A$8:N$127,8,FALSE)),"",VLOOKUP($Y124,Master!A$8:AH$127,8,FALSE)),"")</f>
        <v>44743</v>
      </c>
      <c r="C124" s="9">
        <f>IFERROR(IF(ISNA(VLOOKUP($Y$124,Master!A$8:N$127,5,FALSE)),"",VLOOKUP($Y$124,Master!A$8:AH$127,5,FALSE)),"")</f>
        <v>30500</v>
      </c>
      <c r="D124" s="9">
        <f>IF(AND(C124=""),"",IF(AND($Y$124=""),"",ROUND(C124*Master!C$5%,0)))</f>
        <v>11590</v>
      </c>
      <c r="E124" s="9">
        <f>IF(AND(C124=""),"",IF(AND($Y$124=""),"",ROUND(C124*Master!H$5%,0)))</f>
        <v>2745</v>
      </c>
      <c r="F124" s="9">
        <f t="shared" ref="F124:F126" si="112">IF(AND(C124=""),"",SUM(C124:E124))</f>
        <v>44835</v>
      </c>
      <c r="G124" s="9">
        <f>IFERROR(IF(ISNA(VLOOKUP($Y$124,Master!A$8:N$127,5,FALSE)),"",VLOOKUP($Y$124,Master!A$8:AH$127,5,FALSE)),"")</f>
        <v>30500</v>
      </c>
      <c r="H124" s="9">
        <f>IF(AND(G124=""),"",IF(AND($Y$124=""),"",ROUND(G124*Master!C$4%,0)))</f>
        <v>10370</v>
      </c>
      <c r="I124" s="9">
        <f>IF(AND(G124=""),"",IF(AND($Y$124=""),"",ROUND(G124*Master!H$4%,0)))</f>
        <v>2745</v>
      </c>
      <c r="J124" s="9">
        <f t="shared" ref="J124:J126" si="113">IF(AND(C124=""),"",SUM(G124:I124))</f>
        <v>43615</v>
      </c>
      <c r="K124" s="9">
        <f t="shared" ref="K124:K126" si="114">IF(AND(C124=""),"",IF(AND(G124=""),"",C124-G124))</f>
        <v>0</v>
      </c>
      <c r="L124" s="9">
        <f t="shared" ref="L124:L126" si="115">IF(AND(D124=""),"",IF(AND(H124=""),"",D124-H124))</f>
        <v>1220</v>
      </c>
      <c r="M124" s="9">
        <f t="shared" ref="M124:M126" si="116">IF(AND(E124=""),"",IF(AND(I124=""),"",E124-I124))</f>
        <v>0</v>
      </c>
      <c r="N124" s="9">
        <f t="shared" ref="N124:N126" si="117">IF(AND(F124=""),"",IF(AND(J124=""),"",F124-J124))</f>
        <v>1220</v>
      </c>
      <c r="O124" s="9">
        <f>IF(AND(C124=""),"",N124-P124)</f>
        <v>1220</v>
      </c>
      <c r="P124" s="9">
        <f>IF(AND($Y$124=""),"",IF(AND(N124=""),"",ROUND(N124*$X$125%,0)))</f>
        <v>0</v>
      </c>
      <c r="Q124" s="9">
        <f>IF(AND($Y$124=""),"",IF(AND(C124=""),"",IF(AND(O124=""),"",SUM(O124,P124))))</f>
        <v>1220</v>
      </c>
      <c r="R124" s="9">
        <f>IF(AND(N124=""),"",IF(AND(Q124=""),"",N124-Q124))</f>
        <v>0</v>
      </c>
      <c r="S124" s="20"/>
      <c r="X124" s="62" t="s">
        <v>62</v>
      </c>
      <c r="Y124" s="65">
        <f>IF(AND(Master!B19="",Master!E19=""),"",12)</f>
        <v>12</v>
      </c>
    </row>
    <row r="125" spans="1:25" ht="21" customHeight="1">
      <c r="A125" s="8">
        <v>2</v>
      </c>
      <c r="B125" s="23">
        <f>IFERROR(DATE(YEAR(B124),MONTH(B124)+1,DAY(B124)),"")</f>
        <v>44774</v>
      </c>
      <c r="C125" s="9">
        <f>IF(AND($Y$124=""),"",C124)</f>
        <v>30500</v>
      </c>
      <c r="D125" s="9">
        <f>IF(AND(C125=""),"",IF(AND($Y$124=""),"",ROUND(C125*Master!C$5%,0)))</f>
        <v>11590</v>
      </c>
      <c r="E125" s="9">
        <f>IF(AND(C125=""),"",IF(AND($Y$124=""),"",ROUND(C125*Master!H$5%,0)))</f>
        <v>2745</v>
      </c>
      <c r="F125" s="9">
        <f t="shared" si="112"/>
        <v>44835</v>
      </c>
      <c r="G125" s="9">
        <f>IF(AND($Y$124=""),"",G124)</f>
        <v>30500</v>
      </c>
      <c r="H125" s="9">
        <f>IF(AND(G125=""),"",IF(AND($Y$124=""),"",ROUND(G125*Master!C$4%,0)))</f>
        <v>10370</v>
      </c>
      <c r="I125" s="9">
        <f>IF(AND(G125=""),"",IF(AND($Y$124=""),"",ROUND(G125*Master!H$4%,0)))</f>
        <v>2745</v>
      </c>
      <c r="J125" s="9">
        <f t="shared" si="113"/>
        <v>43615</v>
      </c>
      <c r="K125" s="9">
        <f t="shared" si="114"/>
        <v>0</v>
      </c>
      <c r="L125" s="9">
        <f t="shared" si="115"/>
        <v>1220</v>
      </c>
      <c r="M125" s="9">
        <f t="shared" si="116"/>
        <v>0</v>
      </c>
      <c r="N125" s="9">
        <f t="shared" si="117"/>
        <v>1220</v>
      </c>
      <c r="O125" s="9">
        <f t="shared" ref="O125:O126" si="118">IF(AND(C125=""),"",N125-P125)</f>
        <v>1220</v>
      </c>
      <c r="P125" s="9">
        <f t="shared" ref="P125:P126" si="119">IF(AND($Y$124=""),"",IF(AND(N125=""),"",ROUND(N125*$X$125%,0)))</f>
        <v>0</v>
      </c>
      <c r="Q125" s="9">
        <f>IF(AND($Y$124=""),"",IF(AND(C125=""),"",IF(AND(O125=""),"",SUM(O125,P125))))</f>
        <v>1220</v>
      </c>
      <c r="R125" s="9">
        <f t="shared" ref="R125:R126" si="120">IF(AND(N125=""),"",IF(AND(Q125=""),"",N125-Q125))</f>
        <v>0</v>
      </c>
      <c r="S125" s="20"/>
      <c r="X125" s="4">
        <f>IF(ISNA(VLOOKUP($Y$124,Master!A$8:N$127,7,FALSE)),"",VLOOKUP($Y$124,Master!A$8:AH$127,7,FALSE))</f>
        <v>0</v>
      </c>
    </row>
    <row r="126" spans="1:25" ht="21" customHeight="1">
      <c r="A126" s="8">
        <v>3</v>
      </c>
      <c r="B126" s="23">
        <f>IFERROR(DATE(YEAR(B125),MONTH(B125)+1,DAY(B125)),"")</f>
        <v>44805</v>
      </c>
      <c r="C126" s="9">
        <f>IF(AND($Y$124=""),"",C125)</f>
        <v>30500</v>
      </c>
      <c r="D126" s="9">
        <f>IF(AND(C126=""),"",IF(AND($Y$124=""),"",ROUND(C126*Master!C$5%,0)))</f>
        <v>11590</v>
      </c>
      <c r="E126" s="9">
        <f>IF(AND(C126=""),"",IF(AND($Y$124=""),"",ROUND(C126*Master!H$5%,0)))</f>
        <v>2745</v>
      </c>
      <c r="F126" s="9">
        <f t="shared" si="112"/>
        <v>44835</v>
      </c>
      <c r="G126" s="9">
        <f>IF(AND($Y$124=""),"",G125)</f>
        <v>30500</v>
      </c>
      <c r="H126" s="9">
        <f>IF(AND(G126=""),"",IF(AND($Y$124=""),"",ROUND(G126*Master!C$4%,0)))</f>
        <v>10370</v>
      </c>
      <c r="I126" s="9">
        <f>IF(AND(G126=""),"",IF(AND($Y$124=""),"",ROUND(G126*Master!H$4%,0)))</f>
        <v>2745</v>
      </c>
      <c r="J126" s="9">
        <f t="shared" si="113"/>
        <v>43615</v>
      </c>
      <c r="K126" s="9">
        <f t="shared" si="114"/>
        <v>0</v>
      </c>
      <c r="L126" s="9">
        <f t="shared" si="115"/>
        <v>1220</v>
      </c>
      <c r="M126" s="9">
        <f t="shared" si="116"/>
        <v>0</v>
      </c>
      <c r="N126" s="9">
        <f t="shared" si="117"/>
        <v>1220</v>
      </c>
      <c r="O126" s="9">
        <f t="shared" si="118"/>
        <v>1220</v>
      </c>
      <c r="P126" s="9">
        <f t="shared" si="119"/>
        <v>0</v>
      </c>
      <c r="Q126" s="9">
        <f>IF(AND($Y$124=""),"",IF(AND(C126=""),"",IF(AND(O126=""),"",SUM(O126,P126))))</f>
        <v>1220</v>
      </c>
      <c r="R126" s="9">
        <f t="shared" si="120"/>
        <v>0</v>
      </c>
      <c r="S126" s="20"/>
    </row>
    <row r="127" spans="1:25" ht="30.75" customHeight="1">
      <c r="A127" s="108" t="s">
        <v>9</v>
      </c>
      <c r="B127" s="109"/>
      <c r="C127" s="64">
        <f t="shared" ref="C127:R127" si="121">IF(AND($Y$124=""),"",SUM(C124:C126))</f>
        <v>91500</v>
      </c>
      <c r="D127" s="64">
        <f t="shared" si="121"/>
        <v>34770</v>
      </c>
      <c r="E127" s="64">
        <f t="shared" si="121"/>
        <v>8235</v>
      </c>
      <c r="F127" s="64">
        <f t="shared" si="121"/>
        <v>134505</v>
      </c>
      <c r="G127" s="64">
        <f t="shared" si="121"/>
        <v>91500</v>
      </c>
      <c r="H127" s="64">
        <f t="shared" si="121"/>
        <v>31110</v>
      </c>
      <c r="I127" s="64">
        <f t="shared" si="121"/>
        <v>8235</v>
      </c>
      <c r="J127" s="64">
        <f t="shared" si="121"/>
        <v>130845</v>
      </c>
      <c r="K127" s="64">
        <f t="shared" si="121"/>
        <v>0</v>
      </c>
      <c r="L127" s="64">
        <f t="shared" si="121"/>
        <v>3660</v>
      </c>
      <c r="M127" s="64">
        <f t="shared" si="121"/>
        <v>0</v>
      </c>
      <c r="N127" s="64">
        <f t="shared" si="121"/>
        <v>3660</v>
      </c>
      <c r="O127" s="64">
        <f t="shared" si="121"/>
        <v>3660</v>
      </c>
      <c r="P127" s="64">
        <f t="shared" si="121"/>
        <v>0</v>
      </c>
      <c r="Q127" s="64">
        <f t="shared" si="121"/>
        <v>3660</v>
      </c>
      <c r="R127" s="64">
        <f t="shared" si="121"/>
        <v>0</v>
      </c>
      <c r="S127" s="50"/>
    </row>
    <row r="128" spans="1:25" ht="30.75" customHeight="1">
      <c r="A128" s="75"/>
      <c r="B128" s="75"/>
      <c r="C128" s="76"/>
      <c r="D128" s="76"/>
      <c r="E128" s="76"/>
      <c r="F128" s="76"/>
      <c r="G128" s="76"/>
      <c r="H128" s="76"/>
      <c r="I128" s="76"/>
      <c r="J128" s="76"/>
      <c r="K128" s="76"/>
      <c r="L128" s="76"/>
      <c r="M128" s="76"/>
      <c r="N128" s="76"/>
      <c r="O128" s="76"/>
      <c r="P128" s="76"/>
      <c r="Q128" s="76"/>
      <c r="R128" s="76"/>
      <c r="S128" s="77"/>
    </row>
    <row r="129" spans="1:27" ht="18.75">
      <c r="A129" s="21"/>
      <c r="B129" s="59"/>
      <c r="C129" s="59"/>
      <c r="D129" s="59"/>
      <c r="E129" s="59"/>
      <c r="F129" s="59"/>
      <c r="G129" s="59"/>
      <c r="H129" s="60"/>
      <c r="I129" s="60"/>
      <c r="J129" s="60"/>
      <c r="K129" s="68"/>
      <c r="L129" s="68"/>
      <c r="M129" s="68"/>
      <c r="N129" s="68"/>
      <c r="O129" s="107" t="s">
        <v>55</v>
      </c>
      <c r="P129" s="107"/>
      <c r="Q129" s="107"/>
      <c r="R129" s="107"/>
      <c r="S129" s="107"/>
    </row>
    <row r="130" spans="1:27" ht="18.75">
      <c r="A130" s="1"/>
      <c r="B130" s="24" t="s">
        <v>19</v>
      </c>
      <c r="C130" s="118"/>
      <c r="D130" s="118"/>
      <c r="E130" s="118"/>
      <c r="F130" s="118"/>
      <c r="G130" s="118"/>
      <c r="H130" s="25"/>
      <c r="I130" s="121" t="s">
        <v>20</v>
      </c>
      <c r="J130" s="121"/>
      <c r="K130" s="120"/>
      <c r="L130" s="120"/>
      <c r="M130" s="120"/>
      <c r="O130" s="107"/>
      <c r="P130" s="107"/>
      <c r="Q130" s="107"/>
      <c r="R130" s="107"/>
      <c r="S130" s="107"/>
    </row>
    <row r="131" spans="1:27" ht="18.75">
      <c r="A131" s="1"/>
      <c r="B131" s="119" t="s">
        <v>21</v>
      </c>
      <c r="C131" s="119"/>
      <c r="D131" s="119"/>
      <c r="E131" s="119"/>
      <c r="F131" s="119"/>
      <c r="G131" s="119"/>
      <c r="H131" s="119"/>
      <c r="I131" s="27"/>
      <c r="J131" s="26"/>
      <c r="K131" s="26"/>
      <c r="L131" s="26"/>
      <c r="M131" s="26"/>
    </row>
    <row r="132" spans="1:27" ht="18.75">
      <c r="A132" s="22">
        <v>1</v>
      </c>
      <c r="B132" s="117" t="s">
        <v>22</v>
      </c>
      <c r="C132" s="117"/>
      <c r="D132" s="117"/>
      <c r="E132" s="117"/>
      <c r="F132" s="117"/>
      <c r="G132" s="117"/>
      <c r="H132" s="117"/>
      <c r="I132" s="28"/>
      <c r="J132" s="26"/>
      <c r="K132" s="26"/>
      <c r="L132" s="26"/>
      <c r="M132" s="26"/>
    </row>
    <row r="133" spans="1:27" ht="18.75">
      <c r="A133" s="2">
        <v>2</v>
      </c>
      <c r="B133" s="117" t="s">
        <v>23</v>
      </c>
      <c r="C133" s="117"/>
      <c r="D133" s="117"/>
      <c r="E133" s="117"/>
      <c r="F133" s="117"/>
      <c r="G133" s="115"/>
      <c r="H133" s="115"/>
      <c r="I133" s="115"/>
      <c r="J133" s="115"/>
      <c r="K133" s="115"/>
      <c r="L133" s="115"/>
      <c r="M133" s="115"/>
    </row>
    <row r="134" spans="1:27" ht="18.75">
      <c r="A134" s="3">
        <v>3</v>
      </c>
      <c r="B134" s="117" t="s">
        <v>24</v>
      </c>
      <c r="C134" s="117"/>
      <c r="D134" s="117"/>
      <c r="E134" s="29"/>
      <c r="F134" s="28"/>
      <c r="G134" s="28"/>
      <c r="H134" s="30"/>
      <c r="I134" s="31"/>
      <c r="J134" s="26"/>
      <c r="K134" s="26"/>
      <c r="L134" s="26"/>
      <c r="M134" s="26"/>
    </row>
    <row r="135" spans="1:27" ht="15.75">
      <c r="O135" s="107" t="s">
        <v>55</v>
      </c>
      <c r="P135" s="107"/>
      <c r="Q135" s="107"/>
      <c r="R135" s="107"/>
      <c r="S135" s="107"/>
    </row>
    <row r="137" spans="1:27" ht="18" customHeight="1">
      <c r="A137" s="122" t="str">
        <f>A103</f>
        <v xml:space="preserve">DA (38%) Drawn Statement  </v>
      </c>
      <c r="B137" s="122"/>
      <c r="C137" s="122"/>
      <c r="D137" s="122"/>
      <c r="E137" s="122"/>
      <c r="F137" s="122"/>
      <c r="G137" s="122"/>
      <c r="H137" s="122"/>
      <c r="I137" s="122"/>
      <c r="J137" s="122"/>
      <c r="K137" s="122"/>
      <c r="L137" s="122"/>
      <c r="M137" s="122"/>
      <c r="N137" s="122"/>
      <c r="O137" s="122"/>
      <c r="P137" s="122"/>
      <c r="Q137" s="122"/>
      <c r="R137" s="122"/>
      <c r="S137" s="122"/>
      <c r="W137" s="4">
        <f>IF(ISNA(VLOOKUP($Y$3,Master!A$8:N$127,4,FALSE)),"",VLOOKUP($Y$3,Master!A$8:AH$127,4,FALSE))</f>
        <v>3</v>
      </c>
      <c r="X137" s="4" t="str">
        <f>IF(ISNA(VLOOKUP($Y$3,Master!A$8:N$127,6,FALSE)),"",VLOOKUP($Y$3,Master!A$8:AH$127,6,FALSE))</f>
        <v>GPF</v>
      </c>
      <c r="Y137" s="4" t="s">
        <v>58</v>
      </c>
      <c r="Z137" s="4" t="s">
        <v>18</v>
      </c>
      <c r="AA137" s="4">
        <f>IF(ISNA(VLOOKUP($Y$139,Master!A$8:N$127,7,FALSE)),"",VLOOKUP($Y$139,Master!A$8:AH$127,7,FALSE))</f>
        <v>0</v>
      </c>
    </row>
    <row r="138" spans="1:27" ht="18">
      <c r="A138" s="114" t="str">
        <f>IF(AND(Master!C139=""),"",CONCATENATE("Office Of  ",Master!C139))</f>
        <v/>
      </c>
      <c r="B138" s="114"/>
      <c r="C138" s="114"/>
      <c r="D138" s="114"/>
      <c r="E138" s="114"/>
      <c r="F138" s="114"/>
      <c r="G138" s="114"/>
      <c r="H138" s="114"/>
      <c r="I138" s="114"/>
      <c r="J138" s="114"/>
      <c r="K138" s="114"/>
      <c r="L138" s="114"/>
      <c r="M138" s="114"/>
      <c r="N138" s="114"/>
      <c r="O138" s="114"/>
      <c r="P138" s="114"/>
      <c r="Q138" s="114"/>
      <c r="R138" s="114"/>
      <c r="S138" s="114"/>
      <c r="X138" s="4">
        <f>IF(ISNA(VLOOKUP($Y$3,Master!A$8:N$127,8,FALSE)),"",VLOOKUP($Y$3,Master!A$8:AH$127,8,FALSE))</f>
        <v>44743</v>
      </c>
      <c r="Y138" s="4" t="s">
        <v>56</v>
      </c>
    </row>
    <row r="139" spans="1:27" ht="18.75">
      <c r="E139" s="116" t="s">
        <v>10</v>
      </c>
      <c r="F139" s="116"/>
      <c r="G139" s="116"/>
      <c r="H139" s="116"/>
      <c r="I139" s="116"/>
      <c r="J139" s="115" t="str">
        <f>IF(ISNA(VLOOKUP($Y$139,Master!A$8:N$127,2,FALSE)),"",VLOOKUP($Y$139,Master!A$8:AH$127,2,FALSE))</f>
        <v>PEERARAM</v>
      </c>
      <c r="K139" s="115"/>
      <c r="L139" s="115"/>
      <c r="M139" s="115"/>
      <c r="N139" s="115"/>
      <c r="O139" s="61" t="s">
        <v>31</v>
      </c>
      <c r="P139" s="115" t="str">
        <f>IF(ISNA(VLOOKUP($Y$139,Master!A$8:N$127,3,FALSE)),"",VLOOKUP($Y$139,Master!A$8:AH$127,3,FALSE))</f>
        <v>Sr. Teacher</v>
      </c>
      <c r="Q139" s="115"/>
      <c r="R139" s="115"/>
      <c r="S139" s="115"/>
      <c r="X139" s="62" t="s">
        <v>62</v>
      </c>
      <c r="Y139" s="65">
        <f>IF(AND(Master!B20="",Master!E20=""),"",13)</f>
        <v>13</v>
      </c>
    </row>
    <row r="140" spans="1:27" ht="8.25" customHeight="1">
      <c r="E140" s="19"/>
      <c r="F140" s="53"/>
      <c r="G140" s="22"/>
      <c r="H140" s="22"/>
      <c r="I140" s="22"/>
      <c r="J140" s="5"/>
      <c r="K140" s="5"/>
      <c r="L140" s="5"/>
      <c r="M140" s="5"/>
      <c r="N140" s="5"/>
      <c r="O140" s="6"/>
      <c r="P140" s="6"/>
    </row>
    <row r="141" spans="1:27" ht="24.75" customHeight="1">
      <c r="A141" s="110" t="s">
        <v>0</v>
      </c>
      <c r="B141" s="111" t="s">
        <v>3</v>
      </c>
      <c r="C141" s="112" t="s">
        <v>5</v>
      </c>
      <c r="D141" s="112"/>
      <c r="E141" s="112"/>
      <c r="F141" s="112"/>
      <c r="G141" s="112" t="s">
        <v>6</v>
      </c>
      <c r="H141" s="112"/>
      <c r="I141" s="112"/>
      <c r="J141" s="112"/>
      <c r="K141" s="112" t="s">
        <v>7</v>
      </c>
      <c r="L141" s="112"/>
      <c r="M141" s="112"/>
      <c r="N141" s="112"/>
      <c r="O141" s="97" t="s">
        <v>8</v>
      </c>
      <c r="P141" s="98"/>
      <c r="Q141" s="99"/>
      <c r="R141" s="105" t="s">
        <v>67</v>
      </c>
      <c r="S141" s="105" t="s">
        <v>50</v>
      </c>
    </row>
    <row r="142" spans="1:27" ht="69" customHeight="1">
      <c r="A142" s="110"/>
      <c r="B142" s="111"/>
      <c r="C142" s="55" t="s">
        <v>29</v>
      </c>
      <c r="D142" s="56" t="s">
        <v>1</v>
      </c>
      <c r="E142" s="57" t="s">
        <v>2</v>
      </c>
      <c r="F142" s="55" t="s">
        <v>59</v>
      </c>
      <c r="G142" s="55" t="s">
        <v>29</v>
      </c>
      <c r="H142" s="56" t="s">
        <v>1</v>
      </c>
      <c r="I142" s="57" t="s">
        <v>2</v>
      </c>
      <c r="J142" s="55" t="s">
        <v>60</v>
      </c>
      <c r="K142" s="55" t="s">
        <v>4</v>
      </c>
      <c r="L142" s="56" t="s">
        <v>1</v>
      </c>
      <c r="M142" s="57" t="s">
        <v>2</v>
      </c>
      <c r="N142" s="58" t="s">
        <v>61</v>
      </c>
      <c r="O142" s="54" t="s">
        <v>83</v>
      </c>
      <c r="P142" s="67" t="s">
        <v>51</v>
      </c>
      <c r="Q142" s="58" t="s">
        <v>66</v>
      </c>
      <c r="R142" s="105"/>
      <c r="S142" s="105"/>
    </row>
    <row r="143" spans="1:27" ht="18" customHeight="1">
      <c r="A143" s="7">
        <v>1</v>
      </c>
      <c r="B143" s="7">
        <v>2</v>
      </c>
      <c r="C143" s="7">
        <v>3</v>
      </c>
      <c r="D143" s="7">
        <v>4</v>
      </c>
      <c r="E143" s="7">
        <v>5</v>
      </c>
      <c r="F143" s="7">
        <v>6</v>
      </c>
      <c r="G143" s="7">
        <v>7</v>
      </c>
      <c r="H143" s="7">
        <v>8</v>
      </c>
      <c r="I143" s="7">
        <v>9</v>
      </c>
      <c r="J143" s="7">
        <v>10</v>
      </c>
      <c r="K143" s="7">
        <v>11</v>
      </c>
      <c r="L143" s="7">
        <v>12</v>
      </c>
      <c r="M143" s="7">
        <v>13</v>
      </c>
      <c r="N143" s="7">
        <v>14</v>
      </c>
      <c r="O143" s="7">
        <v>15</v>
      </c>
      <c r="P143" s="7">
        <v>17</v>
      </c>
      <c r="Q143" s="7">
        <v>18</v>
      </c>
      <c r="R143" s="7">
        <v>19</v>
      </c>
      <c r="S143" s="7">
        <v>20</v>
      </c>
    </row>
    <row r="144" spans="1:27" ht="21" customHeight="1">
      <c r="A144" s="8">
        <v>1</v>
      </c>
      <c r="B144" s="23">
        <f>IFERROR(IF(ISNA(VLOOKUP(Y139,Master!A$8:N$127,8,FALSE)),"",VLOOKUP($Y139,Master!A$8:AH$127,8,FALSE)),"")</f>
        <v>44743</v>
      </c>
      <c r="C144" s="9">
        <f>IFERROR(IF(ISNA(VLOOKUP(Y139,Master!A$8:N$127,5,FALSE)),"",VLOOKUP($Y$139,Master!A$8:AH$127,5,FALSE)),"")</f>
        <v>67200</v>
      </c>
      <c r="D144" s="9">
        <f>IF(AND(C144=""),"",IF(AND($Y$139=""),"",ROUND(C144*Master!C$5%,0)))</f>
        <v>25536</v>
      </c>
      <c r="E144" s="9">
        <f>IF(AND(C144=""),"",IF(AND($Y$139=""),"",ROUND(C144*Master!H$5%,0)))</f>
        <v>6048</v>
      </c>
      <c r="F144" s="9">
        <f t="shared" ref="F144" si="122">IF(AND(C144=""),"",SUM(C144:E144))</f>
        <v>98784</v>
      </c>
      <c r="G144" s="9">
        <f>IFERROR(IF(ISNA(VLOOKUP($Y$139,Master!A$8:N$127,5,FALSE)),"",VLOOKUP($Y$139,Master!A$8:AH$127,5,FALSE)),"")</f>
        <v>67200</v>
      </c>
      <c r="H144" s="9">
        <f>IF(AND(G144=""),"",IF(AND($Y$139=""),"",ROUND(G144*Master!C$4%,0)))</f>
        <v>22848</v>
      </c>
      <c r="I144" s="9">
        <f>IF(AND(G144=""),"",IF(AND($Y$139=""),"",ROUND(G144*Master!H$4%,0)))</f>
        <v>6048</v>
      </c>
      <c r="J144" s="9">
        <f t="shared" ref="J144:J145" si="123">IF(AND(C144=""),"",SUM(G144:I144))</f>
        <v>96096</v>
      </c>
      <c r="K144" s="9">
        <f t="shared" ref="K144:K146" si="124">IF(AND(C144=""),"",IF(AND(G144=""),"",C144-G144))</f>
        <v>0</v>
      </c>
      <c r="L144" s="9">
        <f t="shared" ref="L144:L146" si="125">IF(AND(D144=""),"",IF(AND(H144=""),"",D144-H144))</f>
        <v>2688</v>
      </c>
      <c r="M144" s="9">
        <f t="shared" ref="M144:M145" si="126">IF(AND(E144=""),"",IF(AND(I144=""),"",E144-I144))</f>
        <v>0</v>
      </c>
      <c r="N144" s="9">
        <f t="shared" ref="N144:N145" si="127">IF(AND(F144=""),"",IF(AND(J144=""),"",F144-J144))</f>
        <v>2688</v>
      </c>
      <c r="O144" s="9">
        <f>IF(AND(C144=""),"",N144-P144)</f>
        <v>2688</v>
      </c>
      <c r="P144" s="9">
        <f>IF(AND($Y$139=""),"",IF(AND(N144=""),"",ROUND(N144*AA$137%,0)))</f>
        <v>0</v>
      </c>
      <c r="Q144" s="9">
        <f>IF(AND($Y$139=""),"",IF(AND(C144=""),"",IF(AND(O144=""),"",SUM(O144,P144))))</f>
        <v>2688</v>
      </c>
      <c r="R144" s="9">
        <f>IF(AND(N144=""),"",IF(AND(Q144=""),"",N144-Q144))</f>
        <v>0</v>
      </c>
      <c r="S144" s="20"/>
    </row>
    <row r="145" spans="1:25" ht="21" customHeight="1">
      <c r="A145" s="8">
        <v>2</v>
      </c>
      <c r="B145" s="23">
        <f>IFERROR(DATE(YEAR(B144),MONTH(B144)+1,DAY(B144)),"")</f>
        <v>44774</v>
      </c>
      <c r="C145" s="9">
        <f>IF(AND($Y$139=""),"",C144)</f>
        <v>67200</v>
      </c>
      <c r="D145" s="9">
        <f>IF(AND(C145=""),"",IF(AND($Y$139=""),"",ROUND(C145*Master!C$5%,0)))</f>
        <v>25536</v>
      </c>
      <c r="E145" s="9">
        <f>IF(AND(C145=""),"",IF(AND($Y$139=""),"",ROUND(C145*Master!H$5%,0)))</f>
        <v>6048</v>
      </c>
      <c r="F145" s="9">
        <f>IF(AND(C145=""),"",SUM(C145:E145))</f>
        <v>98784</v>
      </c>
      <c r="G145" s="9">
        <f>IF(AND($Y$139=""),"",G144)</f>
        <v>67200</v>
      </c>
      <c r="H145" s="9">
        <f>IF(AND(G145=""),"",IF(AND($Y$139=""),"",ROUND(G145*Master!C$4%,0)))</f>
        <v>22848</v>
      </c>
      <c r="I145" s="9">
        <f>IF(AND(G145=""),"",IF(AND($Y$139=""),"",ROUND(G145*Master!H$4%,0)))</f>
        <v>6048</v>
      </c>
      <c r="J145" s="9">
        <f t="shared" si="123"/>
        <v>96096</v>
      </c>
      <c r="K145" s="9">
        <f t="shared" si="124"/>
        <v>0</v>
      </c>
      <c r="L145" s="9">
        <f t="shared" si="125"/>
        <v>2688</v>
      </c>
      <c r="M145" s="9">
        <f t="shared" si="126"/>
        <v>0</v>
      </c>
      <c r="N145" s="9">
        <f t="shared" si="127"/>
        <v>2688</v>
      </c>
      <c r="O145" s="9">
        <f t="shared" ref="O145:O146" si="128">IF(AND(C145=""),"",N145-P145)</f>
        <v>2688</v>
      </c>
      <c r="P145" s="9">
        <f t="shared" ref="P145:P146" si="129">IF(AND($Y$139=""),"",IF(AND(N145=""),"",ROUND(N145*AA$137%,0)))</f>
        <v>0</v>
      </c>
      <c r="Q145" s="9">
        <f>IF(AND($Y$139=""),"",IF(AND(C145=""),"",IF(AND(O145=""),"",SUM(O145,P145))))</f>
        <v>2688</v>
      </c>
      <c r="R145" s="9">
        <f t="shared" ref="R145:R146" si="130">IF(AND(N145=""),"",IF(AND(Q145=""),"",N145-Q145))</f>
        <v>0</v>
      </c>
      <c r="S145" s="20"/>
    </row>
    <row r="146" spans="1:25" ht="21" customHeight="1">
      <c r="A146" s="8">
        <v>3</v>
      </c>
      <c r="B146" s="23">
        <f>IFERROR(DATE(YEAR(B145),MONTH(B145)+1,DAY(B145)),"")</f>
        <v>44805</v>
      </c>
      <c r="C146" s="9">
        <f>IF(AND($Y$139=""),"",C145)</f>
        <v>67200</v>
      </c>
      <c r="D146" s="9">
        <f>IF(AND(C146=""),"",IF(AND($Y$139=""),"",ROUND(C146*Master!C$5%,0)))</f>
        <v>25536</v>
      </c>
      <c r="E146" s="9">
        <f>IF(AND(C146=""),"",IF(AND($Y$139=""),"",ROUND(C146*Master!H$5%,0)))</f>
        <v>6048</v>
      </c>
      <c r="F146" s="9">
        <f t="shared" ref="F146" si="131">IF(AND(C146=""),"",SUM(C146:E146))</f>
        <v>98784</v>
      </c>
      <c r="G146" s="9">
        <f>IF(AND($Y$139=""),"",G145)</f>
        <v>67200</v>
      </c>
      <c r="H146" s="9">
        <f>IF(AND(G146=""),"",IF(AND($Y$139=""),"",ROUND(G146*Master!C$4%,0)))</f>
        <v>22848</v>
      </c>
      <c r="I146" s="9">
        <f>IF(AND(G146=""),"",IF(AND($Y$139=""),"",ROUND(G146*Master!H$4%,0)))</f>
        <v>6048</v>
      </c>
      <c r="J146" s="9">
        <f>IF(AND(C146=""),"",SUM(G146:I146))</f>
        <v>96096</v>
      </c>
      <c r="K146" s="9">
        <f t="shared" si="124"/>
        <v>0</v>
      </c>
      <c r="L146" s="9">
        <f t="shared" si="125"/>
        <v>2688</v>
      </c>
      <c r="M146" s="9">
        <f>IF(AND(E146=""),"",IF(AND(I146=""),"",E146-I146))</f>
        <v>0</v>
      </c>
      <c r="N146" s="9">
        <f>IF(AND(F146=""),"",IF(AND(J146=""),"",F146-J146))</f>
        <v>2688</v>
      </c>
      <c r="O146" s="9">
        <f t="shared" si="128"/>
        <v>2688</v>
      </c>
      <c r="P146" s="9">
        <f t="shared" si="129"/>
        <v>0</v>
      </c>
      <c r="Q146" s="9">
        <f>IF(AND($Y$139=""),"",IF(AND(C146=""),"",IF(AND(O146=""),"",SUM(O146,P146))))</f>
        <v>2688</v>
      </c>
      <c r="R146" s="9">
        <f t="shared" si="130"/>
        <v>0</v>
      </c>
      <c r="S146" s="20"/>
    </row>
    <row r="147" spans="1:25" ht="23.25" customHeight="1">
      <c r="A147" s="108" t="s">
        <v>9</v>
      </c>
      <c r="B147" s="109"/>
      <c r="C147" s="64">
        <f t="shared" ref="C147:R147" si="132">IF(AND($Y$139=""),"",SUM(C144:C146))</f>
        <v>201600</v>
      </c>
      <c r="D147" s="64">
        <f t="shared" si="132"/>
        <v>76608</v>
      </c>
      <c r="E147" s="64">
        <f t="shared" si="132"/>
        <v>18144</v>
      </c>
      <c r="F147" s="64">
        <f t="shared" si="132"/>
        <v>296352</v>
      </c>
      <c r="G147" s="64">
        <f t="shared" si="132"/>
        <v>201600</v>
      </c>
      <c r="H147" s="64">
        <f t="shared" si="132"/>
        <v>68544</v>
      </c>
      <c r="I147" s="64">
        <f t="shared" si="132"/>
        <v>18144</v>
      </c>
      <c r="J147" s="64">
        <f t="shared" si="132"/>
        <v>288288</v>
      </c>
      <c r="K147" s="64">
        <f t="shared" si="132"/>
        <v>0</v>
      </c>
      <c r="L147" s="64">
        <f t="shared" si="132"/>
        <v>8064</v>
      </c>
      <c r="M147" s="64">
        <f t="shared" si="132"/>
        <v>0</v>
      </c>
      <c r="N147" s="64">
        <f t="shared" si="132"/>
        <v>8064</v>
      </c>
      <c r="O147" s="64">
        <f t="shared" si="132"/>
        <v>8064</v>
      </c>
      <c r="P147" s="64">
        <f t="shared" si="132"/>
        <v>0</v>
      </c>
      <c r="Q147" s="64">
        <f t="shared" si="132"/>
        <v>8064</v>
      </c>
      <c r="R147" s="64">
        <f t="shared" si="132"/>
        <v>0</v>
      </c>
      <c r="S147" s="50"/>
    </row>
    <row r="148" spans="1:25" ht="10.5" customHeight="1">
      <c r="A148" s="75"/>
      <c r="B148" s="75"/>
      <c r="C148" s="76"/>
      <c r="D148" s="76"/>
      <c r="E148" s="76"/>
      <c r="F148" s="76"/>
      <c r="G148" s="76"/>
      <c r="H148" s="76"/>
      <c r="I148" s="76"/>
      <c r="J148" s="76"/>
      <c r="K148" s="76"/>
      <c r="L148" s="76"/>
      <c r="M148" s="76"/>
      <c r="N148" s="76"/>
      <c r="O148" s="76"/>
      <c r="P148" s="76"/>
      <c r="Q148" s="76"/>
      <c r="R148" s="76"/>
      <c r="S148" s="77"/>
    </row>
    <row r="149" spans="1:25" ht="23.25" customHeight="1">
      <c r="E149" s="116" t="s">
        <v>10</v>
      </c>
      <c r="F149" s="116"/>
      <c r="G149" s="116"/>
      <c r="H149" s="116"/>
      <c r="I149" s="116"/>
      <c r="J149" s="115" t="str">
        <f>IF(ISNA(VLOOKUP($Y$151,Master!A$8:N$127,2,FALSE)),"",VLOOKUP($Y$151,Master!A$8:AH$127,2,FALSE))</f>
        <v>SOHAN LAL</v>
      </c>
      <c r="K149" s="115"/>
      <c r="L149" s="115"/>
      <c r="M149" s="115"/>
      <c r="N149" s="115"/>
      <c r="O149" s="61" t="s">
        <v>31</v>
      </c>
      <c r="P149" s="115" t="str">
        <f>IF(ISNA(VLOOKUP($Y$151,Master!A$8:N$127,3,FALSE)),"",VLOOKUP($Y$151,Master!A$8:AH$127,3,FALSE))</f>
        <v>TEACHER L-2</v>
      </c>
      <c r="Q149" s="115"/>
      <c r="R149" s="115"/>
      <c r="S149" s="115"/>
    </row>
    <row r="150" spans="1:25" ht="9" customHeight="1">
      <c r="E150" s="19"/>
      <c r="F150" s="53"/>
      <c r="G150" s="22"/>
      <c r="H150" s="22"/>
      <c r="I150" s="22"/>
      <c r="J150" s="5"/>
      <c r="K150" s="5"/>
      <c r="L150" s="5"/>
      <c r="M150" s="5"/>
      <c r="N150" s="5"/>
      <c r="O150" s="6"/>
      <c r="P150" s="6"/>
    </row>
    <row r="151" spans="1:25" ht="21" customHeight="1">
      <c r="A151" s="8">
        <v>1</v>
      </c>
      <c r="B151" s="23">
        <f>IFERROR(IF(ISNA(VLOOKUP(Y151,Master!A$8:N$127,8,FALSE)),"",VLOOKUP($Y151,Master!A$8:AH$127,8,FALSE)),"")</f>
        <v>44743</v>
      </c>
      <c r="C151" s="9">
        <f>IFERROR(IF(ISNA(VLOOKUP($Y$151,Master!A$8:N$127,5,FALSE)),"",VLOOKUP($Y$151,Master!A$8:AH$127,5,FALSE)),"")</f>
        <v>38000</v>
      </c>
      <c r="D151" s="9">
        <f>IF(AND(C151=""),"",IF(AND($Y$151=""),"",ROUND(C151*Master!C$5%,0)))</f>
        <v>14440</v>
      </c>
      <c r="E151" s="9">
        <f>IF(AND(C151=""),"",IF(AND($Y$151=""),"",ROUND(C151*Master!H$5%,0)))</f>
        <v>3420</v>
      </c>
      <c r="F151" s="9">
        <f t="shared" ref="F151:F153" si="133">IF(AND(C151=""),"",SUM(C151:E151))</f>
        <v>55860</v>
      </c>
      <c r="G151" s="9">
        <f>IFERROR(IF(ISNA(VLOOKUP($Y$151,Master!A$8:N$127,5,FALSE)),"",VLOOKUP($Y$151,Master!A$8:AH$127,5,FALSE)),"")</f>
        <v>38000</v>
      </c>
      <c r="H151" s="9">
        <f>IF(AND(G151=""),"",IF(AND($Y$151=""),"",ROUND(G151*Master!C$4%,0)))</f>
        <v>12920</v>
      </c>
      <c r="I151" s="9">
        <f>IF(AND(G151=""),"",IF(AND($Y$151=""),"",ROUND(G151*Master!H$4%,0)))</f>
        <v>3420</v>
      </c>
      <c r="J151" s="9">
        <f t="shared" ref="J151:J153" si="134">IF(AND(C151=""),"",SUM(G151:I151))</f>
        <v>54340</v>
      </c>
      <c r="K151" s="9">
        <f t="shared" ref="K151" si="135">IF(AND(C151=""),"",IF(AND(G151=""),"",C151-G151))</f>
        <v>0</v>
      </c>
      <c r="L151" s="9">
        <f>IF(AND(D151=""),"",IF(AND(H151=""),"",D151-H151))</f>
        <v>1520</v>
      </c>
      <c r="M151" s="9">
        <f t="shared" ref="M151:M153" si="136">IF(AND(E151=""),"",IF(AND(I151=""),"",E151-I151))</f>
        <v>0</v>
      </c>
      <c r="N151" s="9">
        <f t="shared" ref="N151:N153" si="137">IF(AND(F151=""),"",IF(AND(J151=""),"",F151-J151))</f>
        <v>1520</v>
      </c>
      <c r="O151" s="9">
        <f>IF(AND(C151=""),"",N151-P151)</f>
        <v>1520</v>
      </c>
      <c r="P151" s="9">
        <f>IF(AND($Y$151=""),"",IF(AND(N151=""),"",ROUND(N151*$X$152%,0)))</f>
        <v>0</v>
      </c>
      <c r="Q151" s="9">
        <f>IF(AND($Y$151=""),"",IF(AND(C151=""),"",IF(AND(O151=""),"",SUM(O151,P151))))</f>
        <v>1520</v>
      </c>
      <c r="R151" s="9">
        <f>IF(AND(N151=""),"",IF(AND(Q151=""),"",N151-Q151))</f>
        <v>0</v>
      </c>
      <c r="S151" s="20"/>
      <c r="X151" s="62" t="s">
        <v>62</v>
      </c>
      <c r="Y151" s="65">
        <f>IF(AND(Master!B21="",Master!E21=""),"",14)</f>
        <v>14</v>
      </c>
    </row>
    <row r="152" spans="1:25" ht="21" customHeight="1">
      <c r="A152" s="8">
        <v>2</v>
      </c>
      <c r="B152" s="23">
        <f>IFERROR(DATE(YEAR(B151),MONTH(B151)+1,DAY(B151)),"")</f>
        <v>44774</v>
      </c>
      <c r="C152" s="9">
        <f>IF(AND($Y$151=""),"",C151)</f>
        <v>38000</v>
      </c>
      <c r="D152" s="9">
        <f>IF(AND(C152=""),"",IF(AND($Y$151=""),"",ROUND(C152*Master!C$5%,0)))</f>
        <v>14440</v>
      </c>
      <c r="E152" s="9">
        <f>IF(AND(C152=""),"",IF(AND($Y$151=""),"",ROUND(C152*Master!H$5%,0)))</f>
        <v>3420</v>
      </c>
      <c r="F152" s="9">
        <f t="shared" si="133"/>
        <v>55860</v>
      </c>
      <c r="G152" s="9">
        <f>IF(AND($Y$151=""),"",G151)</f>
        <v>38000</v>
      </c>
      <c r="H152" s="9">
        <f>IF(AND(G152=""),"",IF(AND($Y$151=""),"",ROUND(G152*Master!C$4%,0)))</f>
        <v>12920</v>
      </c>
      <c r="I152" s="9">
        <f>IF(AND(G152=""),"",IF(AND($Y$151=""),"",ROUND(G152*Master!H$4%,0)))</f>
        <v>3420</v>
      </c>
      <c r="J152" s="9">
        <f t="shared" si="134"/>
        <v>54340</v>
      </c>
      <c r="K152" s="9">
        <f>IF(AND(C152=""),"",IF(AND(G152=""),"",C152-G152))</f>
        <v>0</v>
      </c>
      <c r="L152" s="9">
        <f t="shared" ref="L152:L153" si="138">IF(AND(D152=""),"",IF(AND(H152=""),"",D152-H152))</f>
        <v>1520</v>
      </c>
      <c r="M152" s="9">
        <f t="shared" si="136"/>
        <v>0</v>
      </c>
      <c r="N152" s="9">
        <f t="shared" si="137"/>
        <v>1520</v>
      </c>
      <c r="O152" s="9">
        <f t="shared" ref="O152:O153" si="139">IF(AND(C152=""),"",N152-P152)</f>
        <v>1520</v>
      </c>
      <c r="P152" s="9">
        <f t="shared" ref="P152:P153" si="140">IF(AND($Y$151=""),"",IF(AND(N152=""),"",ROUND(N152*$X$152%,0)))</f>
        <v>0</v>
      </c>
      <c r="Q152" s="9">
        <f>IF(AND($Y$151=""),"",IF(AND(C152=""),"",IF(AND(O152=""),"",SUM(O152,P152))))</f>
        <v>1520</v>
      </c>
      <c r="R152" s="9">
        <f t="shared" ref="R152:R153" si="141">IF(AND(N152=""),"",IF(AND(Q152=""),"",N152-Q152))</f>
        <v>0</v>
      </c>
      <c r="S152" s="20"/>
      <c r="X152" s="4">
        <f>IF(ISNA(VLOOKUP($Y$151,Master!A$8:N$127,7,FALSE)),"",VLOOKUP($Y$151,Master!A$8:AH$127,7,FALSE))</f>
        <v>0</v>
      </c>
    </row>
    <row r="153" spans="1:25" ht="21" customHeight="1">
      <c r="A153" s="8">
        <v>3</v>
      </c>
      <c r="B153" s="23">
        <f>IFERROR(DATE(YEAR(B152),MONTH(B152)+1,DAY(B152)),"")</f>
        <v>44805</v>
      </c>
      <c r="C153" s="9">
        <f>IF(AND($Y$151=""),"",C152)</f>
        <v>38000</v>
      </c>
      <c r="D153" s="9">
        <f>IF(AND(C153=""),"",IF(AND($Y$151=""),"",ROUND(C153*Master!C$5%,0)))</f>
        <v>14440</v>
      </c>
      <c r="E153" s="9">
        <f>IF(AND(C153=""),"",IF(AND($Y$151=""),"",ROUND(C153*Master!H$5%,0)))</f>
        <v>3420</v>
      </c>
      <c r="F153" s="9">
        <f t="shared" si="133"/>
        <v>55860</v>
      </c>
      <c r="G153" s="9">
        <f>IF(AND($Y$151=""),"",G152)</f>
        <v>38000</v>
      </c>
      <c r="H153" s="9">
        <f>IF(AND(G153=""),"",IF(AND($Y$151=""),"",ROUND(G153*Master!C$4%,0)))</f>
        <v>12920</v>
      </c>
      <c r="I153" s="9">
        <f>IF(AND(G153=""),"",IF(AND($Y$151=""),"",ROUND(G153*Master!H$4%,0)))</f>
        <v>3420</v>
      </c>
      <c r="J153" s="9">
        <f t="shared" si="134"/>
        <v>54340</v>
      </c>
      <c r="K153" s="9">
        <f t="shared" ref="K153" si="142">IF(AND(C153=""),"",IF(AND(G153=""),"",C153-G153))</f>
        <v>0</v>
      </c>
      <c r="L153" s="9">
        <f t="shared" si="138"/>
        <v>1520</v>
      </c>
      <c r="M153" s="9">
        <f t="shared" si="136"/>
        <v>0</v>
      </c>
      <c r="N153" s="9">
        <f t="shared" si="137"/>
        <v>1520</v>
      </c>
      <c r="O153" s="9">
        <f t="shared" si="139"/>
        <v>1520</v>
      </c>
      <c r="P153" s="9">
        <f t="shared" si="140"/>
        <v>0</v>
      </c>
      <c r="Q153" s="9">
        <f>IF(AND($Y$151=""),"",IF(AND(C153=""),"",IF(AND(O153=""),"",SUM(O153,P153))))</f>
        <v>1520</v>
      </c>
      <c r="R153" s="9">
        <f t="shared" si="141"/>
        <v>0</v>
      </c>
      <c r="S153" s="20"/>
    </row>
    <row r="154" spans="1:25" ht="30.75" customHeight="1">
      <c r="A154" s="108" t="s">
        <v>9</v>
      </c>
      <c r="B154" s="109"/>
      <c r="C154" s="64">
        <f t="shared" ref="C154:R154" si="143">IF(AND($Y$151=""),"",SUM(C151:C153))</f>
        <v>114000</v>
      </c>
      <c r="D154" s="64">
        <f t="shared" si="143"/>
        <v>43320</v>
      </c>
      <c r="E154" s="64">
        <f t="shared" si="143"/>
        <v>10260</v>
      </c>
      <c r="F154" s="64">
        <f t="shared" si="143"/>
        <v>167580</v>
      </c>
      <c r="G154" s="64">
        <f t="shared" si="143"/>
        <v>114000</v>
      </c>
      <c r="H154" s="64">
        <f t="shared" si="143"/>
        <v>38760</v>
      </c>
      <c r="I154" s="64">
        <f t="shared" si="143"/>
        <v>10260</v>
      </c>
      <c r="J154" s="64">
        <f t="shared" si="143"/>
        <v>163020</v>
      </c>
      <c r="K154" s="64">
        <f t="shared" si="143"/>
        <v>0</v>
      </c>
      <c r="L154" s="64">
        <f t="shared" si="143"/>
        <v>4560</v>
      </c>
      <c r="M154" s="64">
        <f t="shared" si="143"/>
        <v>0</v>
      </c>
      <c r="N154" s="64">
        <f t="shared" si="143"/>
        <v>4560</v>
      </c>
      <c r="O154" s="64">
        <f t="shared" si="143"/>
        <v>4560</v>
      </c>
      <c r="P154" s="64">
        <f t="shared" si="143"/>
        <v>0</v>
      </c>
      <c r="Q154" s="64">
        <f t="shared" si="143"/>
        <v>4560</v>
      </c>
      <c r="R154" s="64">
        <f t="shared" si="143"/>
        <v>0</v>
      </c>
      <c r="S154" s="50"/>
    </row>
    <row r="155" spans="1:25" ht="11.25" customHeight="1">
      <c r="A155" s="75"/>
      <c r="B155" s="75"/>
      <c r="C155" s="76"/>
      <c r="D155" s="76"/>
      <c r="E155" s="76"/>
      <c r="F155" s="76"/>
      <c r="G155" s="76"/>
      <c r="H155" s="76"/>
      <c r="I155" s="76"/>
      <c r="J155" s="76"/>
      <c r="K155" s="76"/>
      <c r="L155" s="76"/>
      <c r="M155" s="76"/>
      <c r="N155" s="76"/>
      <c r="O155" s="76"/>
      <c r="P155" s="76"/>
      <c r="Q155" s="76"/>
      <c r="R155" s="76"/>
      <c r="S155" s="77"/>
    </row>
    <row r="156" spans="1:25" ht="23.25" customHeight="1">
      <c r="E156" s="116" t="s">
        <v>10</v>
      </c>
      <c r="F156" s="116"/>
      <c r="G156" s="116"/>
      <c r="H156" s="116"/>
      <c r="I156" s="116"/>
      <c r="J156" s="115" t="str">
        <f>IF(ISNA(VLOOKUP($Y$158,Master!A$8:N$127,2,FALSE)),"",VLOOKUP($Y$158,Master!A$8:AH$127,2,FALSE))</f>
        <v>SITARAM</v>
      </c>
      <c r="K156" s="115"/>
      <c r="L156" s="115"/>
      <c r="M156" s="115"/>
      <c r="N156" s="115"/>
      <c r="O156" s="61" t="s">
        <v>31</v>
      </c>
      <c r="P156" s="115" t="str">
        <f>IF(ISNA(VLOOKUP($Y$158,Master!A$8:N$127,3,FALSE)),"",VLOOKUP($Y$158,Master!A$8:AH$127,3,FALSE))</f>
        <v>TEACHER L-1</v>
      </c>
      <c r="Q156" s="115"/>
      <c r="R156" s="115"/>
      <c r="S156" s="115"/>
    </row>
    <row r="157" spans="1:25" ht="9" customHeight="1">
      <c r="E157" s="19"/>
      <c r="F157" s="53"/>
      <c r="G157" s="22"/>
      <c r="H157" s="22"/>
      <c r="I157" s="22"/>
      <c r="J157" s="5"/>
      <c r="K157" s="5"/>
      <c r="L157" s="5"/>
      <c r="M157" s="5"/>
      <c r="N157" s="5"/>
      <c r="O157" s="6"/>
      <c r="P157" s="6"/>
    </row>
    <row r="158" spans="1:25" ht="21" customHeight="1">
      <c r="A158" s="8">
        <v>1</v>
      </c>
      <c r="B158" s="23">
        <f>IFERROR(IF(ISNA(VLOOKUP(Y158,Master!A$8:N$127,8,FALSE)),"",VLOOKUP($Y158,Master!A$8:AH$127,8,FALSE)),"")</f>
        <v>44743</v>
      </c>
      <c r="C158" s="9">
        <f>IFERROR(IF(ISNA(VLOOKUP($Y$158,Master!A$8:N$127,5,FALSE)),"",VLOOKUP($Y$158,Master!A$8:AH$127,5,FALSE)),"")</f>
        <v>36900</v>
      </c>
      <c r="D158" s="9">
        <f>IF(AND(C158=""),"",IF(AND($Y$158=""),"",ROUND(C158*Master!C$5%,0)))</f>
        <v>14022</v>
      </c>
      <c r="E158" s="9">
        <f>IF(AND(C158=""),"",IF(AND($Y$158=""),"",ROUND(C158*Master!H$5%,0)))</f>
        <v>3321</v>
      </c>
      <c r="F158" s="9">
        <f t="shared" ref="F158:F160" si="144">IF(AND(C158=""),"",SUM(C158:E158))</f>
        <v>54243</v>
      </c>
      <c r="G158" s="9">
        <f>IFERROR(IF(ISNA(VLOOKUP($Y$158,Master!A$8:N$127,5,FALSE)),"",VLOOKUP($Y$158,Master!A$8:AH$127,5,FALSE)),"")</f>
        <v>36900</v>
      </c>
      <c r="H158" s="9">
        <f>IF(AND(G158=""),"",IF(AND($Y$158=""),"",ROUND(G158*Master!C$4%,0)))</f>
        <v>12546</v>
      </c>
      <c r="I158" s="9">
        <f>IF(AND(G158=""),"",IF(AND($Y$158=""),"",ROUND(G158*Master!H$4%,0)))</f>
        <v>3321</v>
      </c>
      <c r="J158" s="9">
        <f t="shared" ref="J158:J160" si="145">IF(AND(C158=""),"",SUM(G158:I158))</f>
        <v>52767</v>
      </c>
      <c r="K158" s="9">
        <f t="shared" ref="K158:K160" si="146">IF(AND(C158=""),"",IF(AND(G158=""),"",C158-G158))</f>
        <v>0</v>
      </c>
      <c r="L158" s="9">
        <f t="shared" ref="L158:L160" si="147">IF(AND(D158=""),"",IF(AND(H158=""),"",D158-H158))</f>
        <v>1476</v>
      </c>
      <c r="M158" s="9">
        <f t="shared" ref="M158:M160" si="148">IF(AND(E158=""),"",IF(AND(I158=""),"",E158-I158))</f>
        <v>0</v>
      </c>
      <c r="N158" s="9">
        <f t="shared" ref="N158:N160" si="149">IF(AND(F158=""),"",IF(AND(J158=""),"",F158-J158))</f>
        <v>1476</v>
      </c>
      <c r="O158" s="9">
        <f>IF(AND(C158=""),"",N158-P158)</f>
        <v>1476</v>
      </c>
      <c r="P158" s="9">
        <f>IF(AND($Y$158=""),"",IF(AND(N158=""),"",ROUND(N158*$X$159%,0)))</f>
        <v>0</v>
      </c>
      <c r="Q158" s="9">
        <f>IF(AND($Y$158=""),"",IF(AND(C158=""),"",IF(AND(O158=""),"",SUM(O158,P158))))</f>
        <v>1476</v>
      </c>
      <c r="R158" s="9">
        <f>IF(AND(N158=""),"",IF(AND(Q158=""),"",N158-Q158))</f>
        <v>0</v>
      </c>
      <c r="S158" s="20"/>
      <c r="X158" s="62" t="s">
        <v>62</v>
      </c>
      <c r="Y158" s="65">
        <f>IF(AND(Master!B22="",Master!E22=""),"",15)</f>
        <v>15</v>
      </c>
    </row>
    <row r="159" spans="1:25" ht="21" customHeight="1">
      <c r="A159" s="8">
        <v>2</v>
      </c>
      <c r="B159" s="23">
        <f>IFERROR(DATE(YEAR(B158),MONTH(B158)+1,DAY(B158)),"")</f>
        <v>44774</v>
      </c>
      <c r="C159" s="9">
        <f>IF(AND($Y$158=""),"",C158)</f>
        <v>36900</v>
      </c>
      <c r="D159" s="9">
        <f>IF(AND(C159=""),"",IF(AND($Y$158=""),"",ROUND(C159*Master!C$5%,0)))</f>
        <v>14022</v>
      </c>
      <c r="E159" s="9">
        <f>IF(AND(C159=""),"",IF(AND($Y$158=""),"",ROUND(C159*Master!H$5%,0)))</f>
        <v>3321</v>
      </c>
      <c r="F159" s="9">
        <f t="shared" si="144"/>
        <v>54243</v>
      </c>
      <c r="G159" s="9">
        <f>IF(AND($Y$158=""),"",G158)</f>
        <v>36900</v>
      </c>
      <c r="H159" s="9">
        <f>IF(AND(G159=""),"",IF(AND($Y$158=""),"",ROUND(G159*Master!C$4%,0)))</f>
        <v>12546</v>
      </c>
      <c r="I159" s="9">
        <f>IF(AND(G159=""),"",IF(AND($Y$158=""),"",ROUND(G159*Master!H$4%,0)))</f>
        <v>3321</v>
      </c>
      <c r="J159" s="9">
        <f t="shared" si="145"/>
        <v>52767</v>
      </c>
      <c r="K159" s="9">
        <f t="shared" si="146"/>
        <v>0</v>
      </c>
      <c r="L159" s="9">
        <f t="shared" si="147"/>
        <v>1476</v>
      </c>
      <c r="M159" s="9">
        <f t="shared" si="148"/>
        <v>0</v>
      </c>
      <c r="N159" s="9">
        <f t="shared" si="149"/>
        <v>1476</v>
      </c>
      <c r="O159" s="9">
        <f t="shared" ref="O159:O160" si="150">IF(AND(C159=""),"",N159-P159)</f>
        <v>1476</v>
      </c>
      <c r="P159" s="9">
        <f t="shared" ref="P159:P160" si="151">IF(AND($Y$158=""),"",IF(AND(N159=""),"",ROUND(N159*$X$159%,0)))</f>
        <v>0</v>
      </c>
      <c r="Q159" s="9">
        <f>IF(AND($Y$158=""),"",IF(AND(C159=""),"",IF(AND(O159=""),"",SUM(O159,P159))))</f>
        <v>1476</v>
      </c>
      <c r="R159" s="9">
        <f t="shared" ref="R159:R160" si="152">IF(AND(N159=""),"",IF(AND(Q159=""),"",N159-Q159))</f>
        <v>0</v>
      </c>
      <c r="S159" s="20"/>
      <c r="X159" s="4">
        <f>IF(ISNA(VLOOKUP($Y$158,Master!A$8:N$127,7,FALSE)),"",VLOOKUP($Y$158,Master!A$8:AH$127,7,FALSE))</f>
        <v>0</v>
      </c>
    </row>
    <row r="160" spans="1:25" ht="21" customHeight="1">
      <c r="A160" s="8">
        <v>3</v>
      </c>
      <c r="B160" s="23">
        <f>IFERROR(DATE(YEAR(B159),MONTH(B159)+1,DAY(B159)),"")</f>
        <v>44805</v>
      </c>
      <c r="C160" s="9">
        <f>IF(AND($Y$158=""),"",C159)</f>
        <v>36900</v>
      </c>
      <c r="D160" s="9">
        <f>IF(AND(C160=""),"",IF(AND($Y$158=""),"",ROUND(C160*Master!C$5%,0)))</f>
        <v>14022</v>
      </c>
      <c r="E160" s="9">
        <f>IF(AND(C160=""),"",IF(AND($Y$158=""),"",ROUND(C160*Master!H$5%,0)))</f>
        <v>3321</v>
      </c>
      <c r="F160" s="9">
        <f t="shared" si="144"/>
        <v>54243</v>
      </c>
      <c r="G160" s="9">
        <f>IF(AND($Y$158=""),"",G159)</f>
        <v>36900</v>
      </c>
      <c r="H160" s="9">
        <f>IF(AND(G160=""),"",IF(AND($Y$158=""),"",ROUND(G160*Master!C$4%,0)))</f>
        <v>12546</v>
      </c>
      <c r="I160" s="9">
        <f>IF(AND(G160=""),"",IF(AND($Y$158=""),"",ROUND(G160*Master!H$4%,0)))</f>
        <v>3321</v>
      </c>
      <c r="J160" s="9">
        <f t="shared" si="145"/>
        <v>52767</v>
      </c>
      <c r="K160" s="9">
        <f t="shared" si="146"/>
        <v>0</v>
      </c>
      <c r="L160" s="9">
        <f t="shared" si="147"/>
        <v>1476</v>
      </c>
      <c r="M160" s="9">
        <f t="shared" si="148"/>
        <v>0</v>
      </c>
      <c r="N160" s="9">
        <f t="shared" si="149"/>
        <v>1476</v>
      </c>
      <c r="O160" s="9">
        <f t="shared" si="150"/>
        <v>1476</v>
      </c>
      <c r="P160" s="9">
        <f t="shared" si="151"/>
        <v>0</v>
      </c>
      <c r="Q160" s="9">
        <f>IF(AND($Y$158=""),"",IF(AND(C160=""),"",IF(AND(O160=""),"",SUM(O160,P160))))</f>
        <v>1476</v>
      </c>
      <c r="R160" s="9">
        <f t="shared" si="152"/>
        <v>0</v>
      </c>
      <c r="S160" s="20"/>
    </row>
    <row r="161" spans="1:27" ht="30.75" customHeight="1">
      <c r="A161" s="108" t="s">
        <v>9</v>
      </c>
      <c r="B161" s="109"/>
      <c r="C161" s="64">
        <f t="shared" ref="C161:R161" si="153">IF(AND($Y$158=""),"",SUM(C158:C160))</f>
        <v>110700</v>
      </c>
      <c r="D161" s="64">
        <f t="shared" si="153"/>
        <v>42066</v>
      </c>
      <c r="E161" s="64">
        <f t="shared" si="153"/>
        <v>9963</v>
      </c>
      <c r="F161" s="64">
        <f t="shared" si="153"/>
        <v>162729</v>
      </c>
      <c r="G161" s="64">
        <f t="shared" si="153"/>
        <v>110700</v>
      </c>
      <c r="H161" s="64">
        <f t="shared" si="153"/>
        <v>37638</v>
      </c>
      <c r="I161" s="64">
        <f t="shared" si="153"/>
        <v>9963</v>
      </c>
      <c r="J161" s="64">
        <f t="shared" si="153"/>
        <v>158301</v>
      </c>
      <c r="K161" s="64">
        <f t="shared" si="153"/>
        <v>0</v>
      </c>
      <c r="L161" s="64">
        <f t="shared" si="153"/>
        <v>4428</v>
      </c>
      <c r="M161" s="64">
        <f t="shared" si="153"/>
        <v>0</v>
      </c>
      <c r="N161" s="64">
        <f t="shared" si="153"/>
        <v>4428</v>
      </c>
      <c r="O161" s="64">
        <f t="shared" si="153"/>
        <v>4428</v>
      </c>
      <c r="P161" s="64">
        <f t="shared" si="153"/>
        <v>0</v>
      </c>
      <c r="Q161" s="64">
        <f t="shared" si="153"/>
        <v>4428</v>
      </c>
      <c r="R161" s="64">
        <f t="shared" si="153"/>
        <v>0</v>
      </c>
      <c r="S161" s="50"/>
    </row>
    <row r="162" spans="1:27" ht="30.75" customHeight="1">
      <c r="A162" s="75"/>
      <c r="B162" s="75"/>
      <c r="C162" s="76"/>
      <c r="D162" s="76"/>
      <c r="E162" s="76"/>
      <c r="F162" s="76"/>
      <c r="G162" s="76"/>
      <c r="H162" s="76"/>
      <c r="I162" s="76"/>
      <c r="J162" s="76"/>
      <c r="K162" s="76"/>
      <c r="L162" s="76"/>
      <c r="M162" s="76"/>
      <c r="N162" s="76"/>
      <c r="O162" s="76"/>
      <c r="P162" s="76"/>
      <c r="Q162" s="76"/>
      <c r="R162" s="76"/>
      <c r="S162" s="77"/>
    </row>
    <row r="163" spans="1:27" ht="18.75">
      <c r="A163" s="21"/>
      <c r="B163" s="59"/>
      <c r="C163" s="59"/>
      <c r="D163" s="59"/>
      <c r="E163" s="59"/>
      <c r="F163" s="59"/>
      <c r="G163" s="59"/>
      <c r="H163" s="60"/>
      <c r="I163" s="60"/>
      <c r="J163" s="60"/>
      <c r="K163" s="68"/>
      <c r="L163" s="68"/>
      <c r="M163" s="68"/>
      <c r="N163" s="68"/>
      <c r="O163" s="107" t="s">
        <v>55</v>
      </c>
      <c r="P163" s="107"/>
      <c r="Q163" s="107"/>
      <c r="R163" s="107"/>
      <c r="S163" s="107"/>
    </row>
    <row r="164" spans="1:27" ht="18.75">
      <c r="A164" s="1"/>
      <c r="B164" s="24" t="s">
        <v>19</v>
      </c>
      <c r="C164" s="118"/>
      <c r="D164" s="118"/>
      <c r="E164" s="118"/>
      <c r="F164" s="118"/>
      <c r="G164" s="118"/>
      <c r="H164" s="25"/>
      <c r="I164" s="121" t="s">
        <v>20</v>
      </c>
      <c r="J164" s="121"/>
      <c r="K164" s="120"/>
      <c r="L164" s="120"/>
      <c r="M164" s="120"/>
      <c r="O164" s="107"/>
      <c r="P164" s="107"/>
      <c r="Q164" s="107"/>
      <c r="R164" s="107"/>
      <c r="S164" s="107"/>
    </row>
    <row r="165" spans="1:27" ht="18.75">
      <c r="A165" s="1"/>
      <c r="B165" s="119" t="s">
        <v>21</v>
      </c>
      <c r="C165" s="119"/>
      <c r="D165" s="119"/>
      <c r="E165" s="119"/>
      <c r="F165" s="119"/>
      <c r="G165" s="119"/>
      <c r="H165" s="119"/>
      <c r="I165" s="27"/>
      <c r="J165" s="26"/>
      <c r="K165" s="26"/>
      <c r="L165" s="26"/>
      <c r="M165" s="26"/>
    </row>
    <row r="166" spans="1:27" ht="18.75">
      <c r="A166" s="22">
        <v>1</v>
      </c>
      <c r="B166" s="117" t="s">
        <v>22</v>
      </c>
      <c r="C166" s="117"/>
      <c r="D166" s="117"/>
      <c r="E166" s="117"/>
      <c r="F166" s="117"/>
      <c r="G166" s="117"/>
      <c r="H166" s="117"/>
      <c r="I166" s="28"/>
      <c r="J166" s="26"/>
      <c r="K166" s="26"/>
      <c r="L166" s="26"/>
      <c r="M166" s="26"/>
    </row>
    <row r="167" spans="1:27" ht="18.75">
      <c r="A167" s="2">
        <v>2</v>
      </c>
      <c r="B167" s="117" t="s">
        <v>23</v>
      </c>
      <c r="C167" s="117"/>
      <c r="D167" s="117"/>
      <c r="E167" s="117"/>
      <c r="F167" s="117"/>
      <c r="G167" s="115"/>
      <c r="H167" s="115"/>
      <c r="I167" s="115"/>
      <c r="J167" s="115"/>
      <c r="K167" s="115"/>
      <c r="L167" s="115"/>
      <c r="M167" s="115"/>
    </row>
    <row r="168" spans="1:27" ht="18.75">
      <c r="A168" s="3">
        <v>3</v>
      </c>
      <c r="B168" s="117" t="s">
        <v>24</v>
      </c>
      <c r="C168" s="117"/>
      <c r="D168" s="117"/>
      <c r="E168" s="29"/>
      <c r="F168" s="28"/>
      <c r="G168" s="28"/>
      <c r="H168" s="30"/>
      <c r="I168" s="31"/>
      <c r="J168" s="26"/>
      <c r="K168" s="26"/>
      <c r="L168" s="26"/>
      <c r="M168" s="26"/>
    </row>
    <row r="169" spans="1:27" ht="15.75">
      <c r="O169" s="107" t="s">
        <v>55</v>
      </c>
      <c r="P169" s="107"/>
      <c r="Q169" s="107"/>
      <c r="R169" s="107"/>
      <c r="S169" s="107"/>
    </row>
    <row r="171" spans="1:27" ht="18" customHeight="1">
      <c r="A171" s="122" t="str">
        <f>A137</f>
        <v xml:space="preserve">DA (38%) Drawn Statement  </v>
      </c>
      <c r="B171" s="122"/>
      <c r="C171" s="122"/>
      <c r="D171" s="122"/>
      <c r="E171" s="122"/>
      <c r="F171" s="122"/>
      <c r="G171" s="122"/>
      <c r="H171" s="122"/>
      <c r="I171" s="122"/>
      <c r="J171" s="122"/>
      <c r="K171" s="122"/>
      <c r="L171" s="122"/>
      <c r="M171" s="122"/>
      <c r="N171" s="122"/>
      <c r="O171" s="122"/>
      <c r="P171" s="122"/>
      <c r="Q171" s="122"/>
      <c r="R171" s="122"/>
      <c r="S171" s="122"/>
      <c r="W171" s="4">
        <f>IF(ISNA(VLOOKUP($Y$3,Master!A$8:N$127,4,FALSE)),"",VLOOKUP($Y$3,Master!A$8:AH$127,4,FALSE))</f>
        <v>3</v>
      </c>
      <c r="X171" s="4" t="str">
        <f>IF(ISNA(VLOOKUP($Y$3,Master!A$8:N$127,6,FALSE)),"",VLOOKUP($Y$3,Master!A$8:AH$127,6,FALSE))</f>
        <v>GPF</v>
      </c>
      <c r="Y171" s="4" t="s">
        <v>58</v>
      </c>
      <c r="Z171" s="4" t="s">
        <v>18</v>
      </c>
      <c r="AA171" s="4" t="str">
        <f>IF(ISNA(VLOOKUP($Y$173,Master!A$8:N$127,7,FALSE)),"",VLOOKUP($Y$173,Master!A$8:AH$127,7,FALSE))</f>
        <v/>
      </c>
    </row>
    <row r="172" spans="1:27" ht="18">
      <c r="A172" s="114" t="str">
        <f>IF(AND(Master!C173=""),"",CONCATENATE("Office Of  ",Master!C173))</f>
        <v/>
      </c>
      <c r="B172" s="114"/>
      <c r="C172" s="114"/>
      <c r="D172" s="114"/>
      <c r="E172" s="114"/>
      <c r="F172" s="114"/>
      <c r="G172" s="114"/>
      <c r="H172" s="114"/>
      <c r="I172" s="114"/>
      <c r="J172" s="114"/>
      <c r="K172" s="114"/>
      <c r="L172" s="114"/>
      <c r="M172" s="114"/>
      <c r="N172" s="114"/>
      <c r="O172" s="114"/>
      <c r="P172" s="114"/>
      <c r="Q172" s="114"/>
      <c r="R172" s="114"/>
      <c r="S172" s="114"/>
      <c r="X172" s="4">
        <f>IF(ISNA(VLOOKUP($Y$3,Master!A$8:N$127,8,FALSE)),"",VLOOKUP($Y$3,Master!A$8:AH$127,8,FALSE))</f>
        <v>44743</v>
      </c>
      <c r="Y172" s="4" t="s">
        <v>56</v>
      </c>
    </row>
    <row r="173" spans="1:27" ht="18.75">
      <c r="E173" s="116" t="s">
        <v>10</v>
      </c>
      <c r="F173" s="116"/>
      <c r="G173" s="116"/>
      <c r="H173" s="116"/>
      <c r="I173" s="116"/>
      <c r="J173" s="115" t="str">
        <f>IF(ISNA(VLOOKUP($Y$173,Master!A$8:N$127,2,FALSE)),"",VLOOKUP($Y$173,Master!A$8:AH$127,2,FALSE))</f>
        <v/>
      </c>
      <c r="K173" s="115"/>
      <c r="L173" s="115"/>
      <c r="M173" s="115"/>
      <c r="N173" s="115"/>
      <c r="O173" s="61" t="s">
        <v>31</v>
      </c>
      <c r="P173" s="115" t="str">
        <f>IF(ISNA(VLOOKUP($Y$173,Master!A$8:N$127,3,FALSE)),"",VLOOKUP($Y$173,Master!A$8:AH$127,3,FALSE))</f>
        <v/>
      </c>
      <c r="Q173" s="115"/>
      <c r="R173" s="115"/>
      <c r="S173" s="115"/>
      <c r="X173" s="62" t="s">
        <v>62</v>
      </c>
      <c r="Y173" s="65" t="str">
        <f>IF(AND(Master!B23="",Master!E23=""),"",16)</f>
        <v/>
      </c>
    </row>
    <row r="174" spans="1:27" ht="8.25" customHeight="1">
      <c r="E174" s="19"/>
      <c r="F174" s="53"/>
      <c r="G174" s="22"/>
      <c r="H174" s="22"/>
      <c r="I174" s="22"/>
      <c r="J174" s="5"/>
      <c r="K174" s="5"/>
      <c r="L174" s="5"/>
      <c r="M174" s="5"/>
      <c r="N174" s="5"/>
      <c r="O174" s="6"/>
      <c r="P174" s="6"/>
    </row>
    <row r="175" spans="1:27" ht="24.75" customHeight="1">
      <c r="A175" s="110" t="s">
        <v>0</v>
      </c>
      <c r="B175" s="111" t="s">
        <v>3</v>
      </c>
      <c r="C175" s="112" t="s">
        <v>5</v>
      </c>
      <c r="D175" s="112"/>
      <c r="E175" s="112"/>
      <c r="F175" s="112"/>
      <c r="G175" s="112" t="s">
        <v>6</v>
      </c>
      <c r="H175" s="112"/>
      <c r="I175" s="112"/>
      <c r="J175" s="112"/>
      <c r="K175" s="112" t="s">
        <v>7</v>
      </c>
      <c r="L175" s="112"/>
      <c r="M175" s="112"/>
      <c r="N175" s="112"/>
      <c r="O175" s="97" t="s">
        <v>8</v>
      </c>
      <c r="P175" s="98"/>
      <c r="Q175" s="99"/>
      <c r="R175" s="105" t="s">
        <v>67</v>
      </c>
      <c r="S175" s="105" t="s">
        <v>50</v>
      </c>
    </row>
    <row r="176" spans="1:27" ht="69" customHeight="1">
      <c r="A176" s="110"/>
      <c r="B176" s="111"/>
      <c r="C176" s="55" t="s">
        <v>29</v>
      </c>
      <c r="D176" s="56" t="s">
        <v>1</v>
      </c>
      <c r="E176" s="57" t="s">
        <v>2</v>
      </c>
      <c r="F176" s="55" t="s">
        <v>59</v>
      </c>
      <c r="G176" s="55" t="s">
        <v>29</v>
      </c>
      <c r="H176" s="56" t="s">
        <v>1</v>
      </c>
      <c r="I176" s="57" t="s">
        <v>2</v>
      </c>
      <c r="J176" s="55" t="s">
        <v>60</v>
      </c>
      <c r="K176" s="55" t="s">
        <v>4</v>
      </c>
      <c r="L176" s="56" t="s">
        <v>1</v>
      </c>
      <c r="M176" s="57" t="s">
        <v>2</v>
      </c>
      <c r="N176" s="58" t="s">
        <v>61</v>
      </c>
      <c r="O176" s="54" t="s">
        <v>83</v>
      </c>
      <c r="P176" s="67" t="s">
        <v>51</v>
      </c>
      <c r="Q176" s="58" t="s">
        <v>66</v>
      </c>
      <c r="R176" s="105"/>
      <c r="S176" s="105"/>
    </row>
    <row r="177" spans="1:25" ht="18" customHeight="1">
      <c r="A177" s="7">
        <v>1</v>
      </c>
      <c r="B177" s="7">
        <v>2</v>
      </c>
      <c r="C177" s="7">
        <v>3</v>
      </c>
      <c r="D177" s="7">
        <v>4</v>
      </c>
      <c r="E177" s="7">
        <v>5</v>
      </c>
      <c r="F177" s="7">
        <v>6</v>
      </c>
      <c r="G177" s="7">
        <v>7</v>
      </c>
      <c r="H177" s="7">
        <v>8</v>
      </c>
      <c r="I177" s="7">
        <v>9</v>
      </c>
      <c r="J177" s="7">
        <v>10</v>
      </c>
      <c r="K177" s="7">
        <v>11</v>
      </c>
      <c r="L177" s="7">
        <v>12</v>
      </c>
      <c r="M177" s="7">
        <v>13</v>
      </c>
      <c r="N177" s="7">
        <v>14</v>
      </c>
      <c r="O177" s="7">
        <v>15</v>
      </c>
      <c r="P177" s="7">
        <v>17</v>
      </c>
      <c r="Q177" s="7">
        <v>18</v>
      </c>
      <c r="R177" s="7">
        <v>19</v>
      </c>
      <c r="S177" s="7">
        <v>20</v>
      </c>
    </row>
    <row r="178" spans="1:25" ht="21" customHeight="1">
      <c r="A178" s="8">
        <v>1</v>
      </c>
      <c r="B178" s="23" t="str">
        <f>IFERROR(IF(ISNA(VLOOKUP(Y173,Master!A$8:N$127,8,FALSE)),"",VLOOKUP($Y173,Master!A$8:AH$127,8,FALSE)),"")</f>
        <v/>
      </c>
      <c r="C178" s="9" t="str">
        <f>IFERROR(IF(ISNA(VLOOKUP(Y173,Master!A$8:N$127,5,FALSE)),"",VLOOKUP($Y$173,Master!A$8:AH$127,5,FALSE)),"")</f>
        <v/>
      </c>
      <c r="D178" s="9" t="str">
        <f>IF(AND(C178=""),"",IF(AND($Y$173=""),"",ROUND(C178*Master!C$5%,0)))</f>
        <v/>
      </c>
      <c r="E178" s="9" t="str">
        <f>IF(AND(C178=""),"",IF(AND($Y$173=""),"",ROUND(C178*Master!H$5%,0)))</f>
        <v/>
      </c>
      <c r="F178" s="9" t="str">
        <f t="shared" ref="F178" si="154">IF(AND(C178=""),"",SUM(C178:E178))</f>
        <v/>
      </c>
      <c r="G178" s="9" t="str">
        <f>IFERROR(IF(ISNA(VLOOKUP($Y$173,Master!A$8:N$127,5,FALSE)),"",VLOOKUP($Y$173,Master!A$8:AH$127,5,FALSE)),"")</f>
        <v/>
      </c>
      <c r="H178" s="9" t="str">
        <f>IF(AND(G178=""),"",IF(AND($Y$173=""),"",ROUND(G178*Master!C$4%,0)))</f>
        <v/>
      </c>
      <c r="I178" s="9" t="str">
        <f>IF(AND(G178=""),"",IF(AND($Y$173=""),"",ROUND(G178*Master!H$4%,0)))</f>
        <v/>
      </c>
      <c r="J178" s="9" t="str">
        <f t="shared" ref="J178:J179" si="155">IF(AND(C178=""),"",SUM(G178:I178))</f>
        <v/>
      </c>
      <c r="K178" s="9" t="str">
        <f t="shared" ref="K178:K180" si="156">IF(AND(C178=""),"",IF(AND(G178=""),"",C178-G178))</f>
        <v/>
      </c>
      <c r="L178" s="9" t="str">
        <f t="shared" ref="L178:L180" si="157">IF(AND(D178=""),"",IF(AND(H178=""),"",D178-H178))</f>
        <v/>
      </c>
      <c r="M178" s="9" t="str">
        <f t="shared" ref="M178:M179" si="158">IF(AND(E178=""),"",IF(AND(I178=""),"",E178-I178))</f>
        <v/>
      </c>
      <c r="N178" s="9" t="str">
        <f t="shared" ref="N178:N179" si="159">IF(AND(F178=""),"",IF(AND(J178=""),"",F178-J178))</f>
        <v/>
      </c>
      <c r="O178" s="9" t="str">
        <f>IF(AND(C178=""),"",N178-P178)</f>
        <v/>
      </c>
      <c r="P178" s="9" t="str">
        <f>IF(AND($Y$173=""),"",IF(AND(N178=""),"",ROUND(N178*AA$171%,0)))</f>
        <v/>
      </c>
      <c r="Q178" s="9" t="str">
        <f>IF(AND($Y$173=""),"",IF(AND(C178=""),"",IF(AND(O178=""),"",SUM(O178,P178))))</f>
        <v/>
      </c>
      <c r="R178" s="9" t="str">
        <f>IF(AND(N178=""),"",IF(AND(Q178=""),"",N178-Q178))</f>
        <v/>
      </c>
      <c r="S178" s="20"/>
    </row>
    <row r="179" spans="1:25" ht="21" customHeight="1">
      <c r="A179" s="8">
        <v>2</v>
      </c>
      <c r="B179" s="23" t="str">
        <f>IFERROR(DATE(YEAR(B178),MONTH(B178)+1,DAY(B178)),"")</f>
        <v/>
      </c>
      <c r="C179" s="9" t="str">
        <f>IF(AND($Y$173=""),"",C178)</f>
        <v/>
      </c>
      <c r="D179" s="9" t="str">
        <f>IF(AND(C179=""),"",IF(AND($Y$173=""),"",ROUND(C179*Master!C$5%,0)))</f>
        <v/>
      </c>
      <c r="E179" s="9" t="str">
        <f>IF(AND(C179=""),"",IF(AND($Y$173=""),"",ROUND(C179*Master!H$5%,0)))</f>
        <v/>
      </c>
      <c r="F179" s="9" t="str">
        <f>IF(AND(C179=""),"",SUM(C179:E179))</f>
        <v/>
      </c>
      <c r="G179" s="9" t="str">
        <f>IF(AND($Y$173=""),"",G178)</f>
        <v/>
      </c>
      <c r="H179" s="9" t="str">
        <f>IF(AND(G179=""),"",IF(AND($Y$173=""),"",ROUND(G179*Master!C$4%,0)))</f>
        <v/>
      </c>
      <c r="I179" s="9" t="str">
        <f>IF(AND(G179=""),"",IF(AND($Y$173=""),"",ROUND(G179*Master!H$4%,0)))</f>
        <v/>
      </c>
      <c r="J179" s="9" t="str">
        <f t="shared" si="155"/>
        <v/>
      </c>
      <c r="K179" s="9" t="str">
        <f t="shared" si="156"/>
        <v/>
      </c>
      <c r="L179" s="9" t="str">
        <f t="shared" si="157"/>
        <v/>
      </c>
      <c r="M179" s="9" t="str">
        <f t="shared" si="158"/>
        <v/>
      </c>
      <c r="N179" s="9" t="str">
        <f t="shared" si="159"/>
        <v/>
      </c>
      <c r="O179" s="9" t="str">
        <f t="shared" ref="O179:O180" si="160">IF(AND(C179=""),"",N179-P179)</f>
        <v/>
      </c>
      <c r="P179" s="9" t="str">
        <f t="shared" ref="P179:P180" si="161">IF(AND($Y$173=""),"",IF(AND(N179=""),"",ROUND(N179*AA$171%,0)))</f>
        <v/>
      </c>
      <c r="Q179" s="9" t="str">
        <f>IF(AND($Y$173=""),"",IF(AND(C179=""),"",IF(AND(O179=""),"",SUM(O179,P179))))</f>
        <v/>
      </c>
      <c r="R179" s="9" t="str">
        <f t="shared" ref="R179:R180" si="162">IF(AND(N179=""),"",IF(AND(Q179=""),"",N179-Q179))</f>
        <v/>
      </c>
      <c r="S179" s="20"/>
    </row>
    <row r="180" spans="1:25" ht="21" customHeight="1">
      <c r="A180" s="8">
        <v>3</v>
      </c>
      <c r="B180" s="23" t="str">
        <f>IFERROR(DATE(YEAR(B179),MONTH(B179)+1,DAY(B179)),"")</f>
        <v/>
      </c>
      <c r="C180" s="9" t="str">
        <f>IF(AND($Y$173=""),"",C179)</f>
        <v/>
      </c>
      <c r="D180" s="9" t="str">
        <f>IF(AND(C180=""),"",IF(AND($Y$173=""),"",ROUND(C180*Master!C$5%,0)))</f>
        <v/>
      </c>
      <c r="E180" s="9" t="str">
        <f>IF(AND(C180=""),"",IF(AND($Y$173=""),"",ROUND(C180*Master!H$5%,0)))</f>
        <v/>
      </c>
      <c r="F180" s="9" t="str">
        <f t="shared" ref="F180" si="163">IF(AND(C180=""),"",SUM(C180:E180))</f>
        <v/>
      </c>
      <c r="G180" s="9" t="str">
        <f>IF(AND($Y$173=""),"",G179)</f>
        <v/>
      </c>
      <c r="H180" s="9" t="str">
        <f>IF(AND(G180=""),"",IF(AND($Y$173=""),"",ROUND(G180*Master!C$4%,0)))</f>
        <v/>
      </c>
      <c r="I180" s="9" t="str">
        <f>IF(AND(G180=""),"",IF(AND($Y$173=""),"",ROUND(G180*Master!H$4%,0)))</f>
        <v/>
      </c>
      <c r="J180" s="9" t="str">
        <f>IF(AND(C180=""),"",SUM(G180:I180))</f>
        <v/>
      </c>
      <c r="K180" s="9" t="str">
        <f t="shared" si="156"/>
        <v/>
      </c>
      <c r="L180" s="9" t="str">
        <f t="shared" si="157"/>
        <v/>
      </c>
      <c r="M180" s="9" t="str">
        <f>IF(AND(E180=""),"",IF(AND(I180=""),"",E180-I180))</f>
        <v/>
      </c>
      <c r="N180" s="9" t="str">
        <f>IF(AND(F180=""),"",IF(AND(J180=""),"",F180-J180))</f>
        <v/>
      </c>
      <c r="O180" s="9" t="str">
        <f t="shared" si="160"/>
        <v/>
      </c>
      <c r="P180" s="9" t="str">
        <f t="shared" si="161"/>
        <v/>
      </c>
      <c r="Q180" s="9" t="str">
        <f>IF(AND($Y$173=""),"",IF(AND(C180=""),"",IF(AND(O180=""),"",SUM(O180,P180))))</f>
        <v/>
      </c>
      <c r="R180" s="9" t="str">
        <f t="shared" si="162"/>
        <v/>
      </c>
      <c r="S180" s="20"/>
    </row>
    <row r="181" spans="1:25" ht="23.25" customHeight="1">
      <c r="A181" s="108" t="s">
        <v>9</v>
      </c>
      <c r="B181" s="109"/>
      <c r="C181" s="64" t="str">
        <f t="shared" ref="C181:R181" si="164">IF(AND($Y$173=""),"",SUM(C178:C180))</f>
        <v/>
      </c>
      <c r="D181" s="64" t="str">
        <f t="shared" si="164"/>
        <v/>
      </c>
      <c r="E181" s="64" t="str">
        <f t="shared" si="164"/>
        <v/>
      </c>
      <c r="F181" s="64" t="str">
        <f t="shared" si="164"/>
        <v/>
      </c>
      <c r="G181" s="64" t="str">
        <f t="shared" si="164"/>
        <v/>
      </c>
      <c r="H181" s="64" t="str">
        <f t="shared" si="164"/>
        <v/>
      </c>
      <c r="I181" s="64" t="str">
        <f t="shared" si="164"/>
        <v/>
      </c>
      <c r="J181" s="64" t="str">
        <f t="shared" si="164"/>
        <v/>
      </c>
      <c r="K181" s="64" t="str">
        <f t="shared" si="164"/>
        <v/>
      </c>
      <c r="L181" s="64" t="str">
        <f t="shared" si="164"/>
        <v/>
      </c>
      <c r="M181" s="64" t="str">
        <f t="shared" si="164"/>
        <v/>
      </c>
      <c r="N181" s="64" t="str">
        <f t="shared" si="164"/>
        <v/>
      </c>
      <c r="O181" s="64" t="str">
        <f t="shared" si="164"/>
        <v/>
      </c>
      <c r="P181" s="64" t="str">
        <f t="shared" si="164"/>
        <v/>
      </c>
      <c r="Q181" s="64" t="str">
        <f t="shared" si="164"/>
        <v/>
      </c>
      <c r="R181" s="64" t="str">
        <f t="shared" si="164"/>
        <v/>
      </c>
      <c r="S181" s="50"/>
    </row>
    <row r="182" spans="1:25" ht="10.5" customHeight="1">
      <c r="A182" s="75"/>
      <c r="B182" s="75"/>
      <c r="C182" s="76"/>
      <c r="D182" s="76"/>
      <c r="E182" s="76"/>
      <c r="F182" s="76"/>
      <c r="G182" s="76"/>
      <c r="H182" s="76"/>
      <c r="I182" s="76"/>
      <c r="J182" s="76"/>
      <c r="K182" s="76"/>
      <c r="L182" s="76"/>
      <c r="M182" s="76"/>
      <c r="N182" s="76"/>
      <c r="O182" s="76"/>
      <c r="P182" s="76"/>
      <c r="Q182" s="76"/>
      <c r="R182" s="76"/>
      <c r="S182" s="77"/>
    </row>
    <row r="183" spans="1:25" ht="23.25" customHeight="1">
      <c r="E183" s="116" t="s">
        <v>10</v>
      </c>
      <c r="F183" s="116"/>
      <c r="G183" s="116"/>
      <c r="H183" s="116"/>
      <c r="I183" s="116"/>
      <c r="J183" s="115" t="str">
        <f>IF(ISNA(VLOOKUP($Y$185,Master!A$8:N$127,2,FALSE)),"",VLOOKUP($Y$185,Master!A$8:AH$127,2,FALSE))</f>
        <v/>
      </c>
      <c r="K183" s="115"/>
      <c r="L183" s="115"/>
      <c r="M183" s="115"/>
      <c r="N183" s="115"/>
      <c r="O183" s="61" t="s">
        <v>31</v>
      </c>
      <c r="P183" s="115" t="str">
        <f>IF(ISNA(VLOOKUP($Y$185,Master!A$8:N$127,3,FALSE)),"",VLOOKUP($Y$185,Master!A$8:AH$127,3,FALSE))</f>
        <v/>
      </c>
      <c r="Q183" s="115"/>
      <c r="R183" s="115"/>
      <c r="S183" s="115"/>
    </row>
    <row r="184" spans="1:25" ht="9" customHeight="1">
      <c r="E184" s="19"/>
      <c r="F184" s="53"/>
      <c r="G184" s="22"/>
      <c r="H184" s="22"/>
      <c r="I184" s="22"/>
      <c r="J184" s="5"/>
      <c r="K184" s="5"/>
      <c r="L184" s="5"/>
      <c r="M184" s="5"/>
      <c r="N184" s="5"/>
      <c r="O184" s="6"/>
      <c r="P184" s="6"/>
    </row>
    <row r="185" spans="1:25" ht="21" customHeight="1">
      <c r="A185" s="8">
        <v>1</v>
      </c>
      <c r="B185" s="23" t="str">
        <f>IFERROR(IF(ISNA(VLOOKUP(Y185,Master!A$8:N$127,8,FALSE)),"",VLOOKUP($Y185,Master!A$8:AH$127,8,FALSE)),"")</f>
        <v/>
      </c>
      <c r="C185" s="9" t="str">
        <f>IFERROR(IF(ISNA(VLOOKUP($Y$185,Master!A$8:N$127,5,FALSE)),"",VLOOKUP($Y$185,Master!A$8:AH$127,5,FALSE)),"")</f>
        <v/>
      </c>
      <c r="D185" s="9" t="str">
        <f>IF(AND(C185=""),"",IF(AND($Y$185=""),"",ROUND(C185*Master!C$5%,0)))</f>
        <v/>
      </c>
      <c r="E185" s="9" t="str">
        <f>IF(AND(C185=""),"",IF(AND($Y$185=""),"",ROUND(C185*Master!H$5%,0)))</f>
        <v/>
      </c>
      <c r="F185" s="9" t="str">
        <f t="shared" ref="F185:F187" si="165">IF(AND(C185=""),"",SUM(C185:E185))</f>
        <v/>
      </c>
      <c r="G185" s="9" t="str">
        <f>IFERROR(IF(ISNA(VLOOKUP($Y$185,Master!A$8:N$127,5,FALSE)),"",VLOOKUP($Y$185,Master!A$8:AH$127,5,FALSE)),"")</f>
        <v/>
      </c>
      <c r="H185" s="9" t="str">
        <f>IF(AND(G185=""),"",IF(AND($Y$185=""),"",ROUND(G185*Master!C$4%,0)))</f>
        <v/>
      </c>
      <c r="I185" s="9" t="str">
        <f>IF(AND(G185=""),"",IF(AND($Y$185=""),"",ROUND(G185*Master!H$4%,0)))</f>
        <v/>
      </c>
      <c r="J185" s="9" t="str">
        <f t="shared" ref="J185:J187" si="166">IF(AND(C185=""),"",SUM(G185:I185))</f>
        <v/>
      </c>
      <c r="K185" s="9" t="str">
        <f t="shared" ref="K185" si="167">IF(AND(C185=""),"",IF(AND(G185=""),"",C185-G185))</f>
        <v/>
      </c>
      <c r="L185" s="9" t="str">
        <f>IF(AND(D185=""),"",IF(AND(H185=""),"",D185-H185))</f>
        <v/>
      </c>
      <c r="M185" s="9" t="str">
        <f t="shared" ref="M185:M187" si="168">IF(AND(E185=""),"",IF(AND(I185=""),"",E185-I185))</f>
        <v/>
      </c>
      <c r="N185" s="9" t="str">
        <f t="shared" ref="N185:N187" si="169">IF(AND(F185=""),"",IF(AND(J185=""),"",F185-J185))</f>
        <v/>
      </c>
      <c r="O185" s="9" t="str">
        <f>IF(AND(C185=""),"",N185-P185)</f>
        <v/>
      </c>
      <c r="P185" s="9" t="str">
        <f>IF(AND($Y$185=""),"",IF(AND(N185=""),"",ROUND(N185*$X$186%,0)))</f>
        <v/>
      </c>
      <c r="Q185" s="9" t="str">
        <f>IF(AND($Y$185=""),"",IF(AND(C185=""),"",IF(AND(O185=""),"",SUM(O185,P185))))</f>
        <v/>
      </c>
      <c r="R185" s="9" t="str">
        <f>IF(AND(N185=""),"",IF(AND(Q185=""),"",N185-Q185))</f>
        <v/>
      </c>
      <c r="S185" s="20"/>
      <c r="X185" s="62" t="s">
        <v>62</v>
      </c>
      <c r="Y185" s="65" t="str">
        <f>IF(AND(Master!B24="",Master!E24=""),"",17)</f>
        <v/>
      </c>
    </row>
    <row r="186" spans="1:25" ht="21" customHeight="1">
      <c r="A186" s="8">
        <v>2</v>
      </c>
      <c r="B186" s="23" t="str">
        <f>IFERROR(DATE(YEAR(B185),MONTH(B185)+1,DAY(B185)),"")</f>
        <v/>
      </c>
      <c r="C186" s="9" t="str">
        <f>IF(AND($Y$185=""),"",C185)</f>
        <v/>
      </c>
      <c r="D186" s="9" t="str">
        <f>IF(AND(C186=""),"",IF(AND($Y$185=""),"",ROUND(C186*Master!C$5%,0)))</f>
        <v/>
      </c>
      <c r="E186" s="9" t="str">
        <f>IF(AND(C186=""),"",IF(AND($Y$185=""),"",ROUND(C186*Master!H$5%,0)))</f>
        <v/>
      </c>
      <c r="F186" s="9" t="str">
        <f t="shared" si="165"/>
        <v/>
      </c>
      <c r="G186" s="9" t="str">
        <f>IF(AND($Y$185=""),"",G185)</f>
        <v/>
      </c>
      <c r="H186" s="9" t="str">
        <f>IF(AND(G186=""),"",IF(AND($Y$185=""),"",ROUND(G186*Master!C$4%,0)))</f>
        <v/>
      </c>
      <c r="I186" s="9" t="str">
        <f>IF(AND(G186=""),"",IF(AND($Y$185=""),"",ROUND(G186*Master!H$4%,0)))</f>
        <v/>
      </c>
      <c r="J186" s="9" t="str">
        <f t="shared" si="166"/>
        <v/>
      </c>
      <c r="K186" s="9" t="str">
        <f>IF(AND(C186=""),"",IF(AND(G186=""),"",C186-G186))</f>
        <v/>
      </c>
      <c r="L186" s="9" t="str">
        <f t="shared" ref="L186:L187" si="170">IF(AND(D186=""),"",IF(AND(H186=""),"",D186-H186))</f>
        <v/>
      </c>
      <c r="M186" s="9" t="str">
        <f t="shared" si="168"/>
        <v/>
      </c>
      <c r="N186" s="9" t="str">
        <f t="shared" si="169"/>
        <v/>
      </c>
      <c r="O186" s="9" t="str">
        <f t="shared" ref="O186:O187" si="171">IF(AND(C186=""),"",N186-P186)</f>
        <v/>
      </c>
      <c r="P186" s="9" t="str">
        <f t="shared" ref="P186:P187" si="172">IF(AND($Y$185=""),"",IF(AND(N186=""),"",ROUND(N186*$X$186%,0)))</f>
        <v/>
      </c>
      <c r="Q186" s="9" t="str">
        <f>IF(AND($Y$185=""),"",IF(AND(C186=""),"",IF(AND(O186=""),"",SUM(O186,P186))))</f>
        <v/>
      </c>
      <c r="R186" s="9" t="str">
        <f t="shared" ref="R186:R187" si="173">IF(AND(N186=""),"",IF(AND(Q186=""),"",N186-Q186))</f>
        <v/>
      </c>
      <c r="S186" s="20"/>
      <c r="X186" s="4" t="str">
        <f>IF(ISNA(VLOOKUP($Y$185,Master!A$8:N$127,7,FALSE)),"",VLOOKUP($Y$185,Master!A$8:AH$127,7,FALSE))</f>
        <v/>
      </c>
    </row>
    <row r="187" spans="1:25" ht="21" customHeight="1">
      <c r="A187" s="8">
        <v>3</v>
      </c>
      <c r="B187" s="23" t="str">
        <f>IFERROR(DATE(YEAR(B186),MONTH(B186)+1,DAY(B186)),"")</f>
        <v/>
      </c>
      <c r="C187" s="9" t="str">
        <f>IF(AND($Y$185=""),"",C186)</f>
        <v/>
      </c>
      <c r="D187" s="9" t="str">
        <f>IF(AND(C187=""),"",IF(AND($Y$185=""),"",ROUND(C187*Master!C$5%,0)))</f>
        <v/>
      </c>
      <c r="E187" s="9" t="str">
        <f>IF(AND(C187=""),"",IF(AND($Y$185=""),"",ROUND(C187*Master!H$5%,0)))</f>
        <v/>
      </c>
      <c r="F187" s="9" t="str">
        <f t="shared" si="165"/>
        <v/>
      </c>
      <c r="G187" s="9" t="str">
        <f>IF(AND($Y$185=""),"",G186)</f>
        <v/>
      </c>
      <c r="H187" s="9" t="str">
        <f>IF(AND(G187=""),"",IF(AND($Y$185=""),"",ROUND(G187*Master!C$4%,0)))</f>
        <v/>
      </c>
      <c r="I187" s="9" t="str">
        <f>IF(AND(G187=""),"",IF(AND($Y$185=""),"",ROUND(G187*Master!H$4%,0)))</f>
        <v/>
      </c>
      <c r="J187" s="9" t="str">
        <f t="shared" si="166"/>
        <v/>
      </c>
      <c r="K187" s="9" t="str">
        <f t="shared" ref="K187" si="174">IF(AND(C187=""),"",IF(AND(G187=""),"",C187-G187))</f>
        <v/>
      </c>
      <c r="L187" s="9" t="str">
        <f t="shared" si="170"/>
        <v/>
      </c>
      <c r="M187" s="9" t="str">
        <f t="shared" si="168"/>
        <v/>
      </c>
      <c r="N187" s="9" t="str">
        <f t="shared" si="169"/>
        <v/>
      </c>
      <c r="O187" s="9" t="str">
        <f t="shared" si="171"/>
        <v/>
      </c>
      <c r="P187" s="9" t="str">
        <f t="shared" si="172"/>
        <v/>
      </c>
      <c r="Q187" s="9" t="str">
        <f>IF(AND($Y$185=""),"",IF(AND(C187=""),"",IF(AND(O187=""),"",SUM(O187,P187))))</f>
        <v/>
      </c>
      <c r="R187" s="9" t="str">
        <f t="shared" si="173"/>
        <v/>
      </c>
      <c r="S187" s="20"/>
    </row>
    <row r="188" spans="1:25" ht="30.75" customHeight="1">
      <c r="A188" s="108" t="s">
        <v>9</v>
      </c>
      <c r="B188" s="109"/>
      <c r="C188" s="64" t="str">
        <f t="shared" ref="C188:R188" si="175">IF(AND($Y$185=""),"",SUM(C185:C187))</f>
        <v/>
      </c>
      <c r="D188" s="64" t="str">
        <f t="shared" si="175"/>
        <v/>
      </c>
      <c r="E188" s="64" t="str">
        <f t="shared" si="175"/>
        <v/>
      </c>
      <c r="F188" s="64" t="str">
        <f t="shared" si="175"/>
        <v/>
      </c>
      <c r="G188" s="64" t="str">
        <f t="shared" si="175"/>
        <v/>
      </c>
      <c r="H188" s="64" t="str">
        <f t="shared" si="175"/>
        <v/>
      </c>
      <c r="I188" s="64" t="str">
        <f t="shared" si="175"/>
        <v/>
      </c>
      <c r="J188" s="64" t="str">
        <f t="shared" si="175"/>
        <v/>
      </c>
      <c r="K188" s="64" t="str">
        <f t="shared" si="175"/>
        <v/>
      </c>
      <c r="L188" s="64" t="str">
        <f t="shared" si="175"/>
        <v/>
      </c>
      <c r="M188" s="64" t="str">
        <f t="shared" si="175"/>
        <v/>
      </c>
      <c r="N188" s="64" t="str">
        <f t="shared" si="175"/>
        <v/>
      </c>
      <c r="O188" s="64" t="str">
        <f t="shared" si="175"/>
        <v/>
      </c>
      <c r="P188" s="64" t="str">
        <f t="shared" si="175"/>
        <v/>
      </c>
      <c r="Q188" s="64" t="str">
        <f t="shared" si="175"/>
        <v/>
      </c>
      <c r="R188" s="64" t="str">
        <f t="shared" si="175"/>
        <v/>
      </c>
      <c r="S188" s="50"/>
    </row>
    <row r="189" spans="1:25" ht="11.25" customHeight="1">
      <c r="A189" s="75"/>
      <c r="B189" s="75"/>
      <c r="C189" s="76"/>
      <c r="D189" s="76"/>
      <c r="E189" s="76"/>
      <c r="F189" s="76"/>
      <c r="G189" s="76"/>
      <c r="H189" s="76"/>
      <c r="I189" s="76"/>
      <c r="J189" s="76"/>
      <c r="K189" s="76"/>
      <c r="L189" s="76"/>
      <c r="M189" s="76"/>
      <c r="N189" s="76"/>
      <c r="O189" s="76"/>
      <c r="P189" s="76"/>
      <c r="Q189" s="76"/>
      <c r="R189" s="76"/>
      <c r="S189" s="77"/>
    </row>
    <row r="190" spans="1:25" ht="23.25" customHeight="1">
      <c r="E190" s="116" t="s">
        <v>10</v>
      </c>
      <c r="F190" s="116"/>
      <c r="G190" s="116"/>
      <c r="H190" s="116"/>
      <c r="I190" s="116"/>
      <c r="J190" s="115" t="str">
        <f>IF(ISNA(VLOOKUP($Y$192,Master!A$8:N$127,2,FALSE)),"",VLOOKUP($Y$192,Master!A$8:AH$127,2,FALSE))</f>
        <v/>
      </c>
      <c r="K190" s="115"/>
      <c r="L190" s="115"/>
      <c r="M190" s="115"/>
      <c r="N190" s="115"/>
      <c r="O190" s="61" t="s">
        <v>31</v>
      </c>
      <c r="P190" s="115" t="str">
        <f>IF(ISNA(VLOOKUP($Y$192,Master!A$8:N$127,3,FALSE)),"",VLOOKUP($Y$192,Master!A$8:AH$127,3,FALSE))</f>
        <v/>
      </c>
      <c r="Q190" s="115"/>
      <c r="R190" s="115"/>
      <c r="S190" s="115"/>
    </row>
    <row r="191" spans="1:25" ht="9" customHeight="1">
      <c r="E191" s="19"/>
      <c r="F191" s="53"/>
      <c r="G191" s="22"/>
      <c r="H191" s="22"/>
      <c r="I191" s="22"/>
      <c r="J191" s="5"/>
      <c r="K191" s="5"/>
      <c r="L191" s="5"/>
      <c r="M191" s="5"/>
      <c r="N191" s="5"/>
      <c r="O191" s="6"/>
      <c r="P191" s="6"/>
    </row>
    <row r="192" spans="1:25" ht="21" customHeight="1">
      <c r="A192" s="8">
        <v>1</v>
      </c>
      <c r="B192" s="23" t="str">
        <f>IFERROR(IF(ISNA(VLOOKUP(Y192,Master!A$8:N$127,8,FALSE)),"",VLOOKUP($Y192,Master!A$8:AH$127,8,FALSE)),"")</f>
        <v/>
      </c>
      <c r="C192" s="9" t="str">
        <f>IFERROR(IF(ISNA(VLOOKUP($Y$192,Master!A$8:N$127,5,FALSE)),"",VLOOKUP($Y$192,Master!A$8:AH$127,5,FALSE)),"")</f>
        <v/>
      </c>
      <c r="D192" s="9" t="str">
        <f>IF(AND(C192=""),"",IF(AND($Y$192=""),"",ROUND(C192*Master!C$5%,0)))</f>
        <v/>
      </c>
      <c r="E192" s="9" t="str">
        <f>IF(AND(C192=""),"",IF(AND($Y$192=""),"",ROUND(C192*Master!H$5%,0)))</f>
        <v/>
      </c>
      <c r="F192" s="9" t="str">
        <f t="shared" ref="F192:F194" si="176">IF(AND(C192=""),"",SUM(C192:E192))</f>
        <v/>
      </c>
      <c r="G192" s="9" t="str">
        <f>IFERROR(IF(ISNA(VLOOKUP($Y$192,Master!A$8:N$127,5,FALSE)),"",VLOOKUP($Y$192,Master!A$8:AH$127,5,FALSE)),"")</f>
        <v/>
      </c>
      <c r="H192" s="9" t="str">
        <f>IF(AND(G192=""),"",IF(AND($Y$192=""),"",ROUND(G192*Master!C$4%,0)))</f>
        <v/>
      </c>
      <c r="I192" s="9" t="str">
        <f>IF(AND(G192=""),"",IF(AND($Y$192=""),"",ROUND(G192*Master!H$4%,0)))</f>
        <v/>
      </c>
      <c r="J192" s="9" t="str">
        <f t="shared" ref="J192:J194" si="177">IF(AND(C192=""),"",SUM(G192:I192))</f>
        <v/>
      </c>
      <c r="K192" s="9" t="str">
        <f t="shared" ref="K192:K194" si="178">IF(AND(C192=""),"",IF(AND(G192=""),"",C192-G192))</f>
        <v/>
      </c>
      <c r="L192" s="9" t="str">
        <f t="shared" ref="L192:L194" si="179">IF(AND(D192=""),"",IF(AND(H192=""),"",D192-H192))</f>
        <v/>
      </c>
      <c r="M192" s="9" t="str">
        <f t="shared" ref="M192:M194" si="180">IF(AND(E192=""),"",IF(AND(I192=""),"",E192-I192))</f>
        <v/>
      </c>
      <c r="N192" s="9" t="str">
        <f t="shared" ref="N192:N194" si="181">IF(AND(F192=""),"",IF(AND(J192=""),"",F192-J192))</f>
        <v/>
      </c>
      <c r="O192" s="9" t="str">
        <f>IF(AND(C192=""),"",N192-P192)</f>
        <v/>
      </c>
      <c r="P192" s="9" t="str">
        <f>IF(AND($Y$192=""),"",IF(AND(N192=""),"",ROUND(N192*$X$193%,0)))</f>
        <v/>
      </c>
      <c r="Q192" s="9" t="str">
        <f>IF(AND($Y$192=""),"",IF(AND(C192=""),"",IF(AND(O192=""),"",SUM(O192,P192))))</f>
        <v/>
      </c>
      <c r="R192" s="9" t="str">
        <f>IF(AND(N192=""),"",IF(AND(Q192=""),"",N192-Q192))</f>
        <v/>
      </c>
      <c r="S192" s="20"/>
      <c r="X192" s="62" t="s">
        <v>62</v>
      </c>
      <c r="Y192" s="65" t="str">
        <f>IF(AND(Master!B25="",Master!E25=""),"",18)</f>
        <v/>
      </c>
    </row>
    <row r="193" spans="1:27" ht="21" customHeight="1">
      <c r="A193" s="8">
        <v>2</v>
      </c>
      <c r="B193" s="23" t="str">
        <f>IFERROR(DATE(YEAR(B192),MONTH(B192)+1,DAY(B192)),"")</f>
        <v/>
      </c>
      <c r="C193" s="9" t="str">
        <f>IF(AND($Y$192=""),"",C192)</f>
        <v/>
      </c>
      <c r="D193" s="9" t="str">
        <f>IF(AND(C193=""),"",IF(AND($Y$192=""),"",ROUND(C193*Master!C$5%,0)))</f>
        <v/>
      </c>
      <c r="E193" s="9" t="str">
        <f>IF(AND(C193=""),"",IF(AND($Y$192=""),"",ROUND(C193*Master!H$5%,0)))</f>
        <v/>
      </c>
      <c r="F193" s="9" t="str">
        <f t="shared" si="176"/>
        <v/>
      </c>
      <c r="G193" s="9" t="str">
        <f>IF(AND($Y$192=""),"",G192)</f>
        <v/>
      </c>
      <c r="H193" s="9" t="str">
        <f>IF(AND(G193=""),"",IF(AND($Y$192=""),"",ROUND(G193*Master!C$4%,0)))</f>
        <v/>
      </c>
      <c r="I193" s="9" t="str">
        <f>IF(AND(G193=""),"",IF(AND($Y$192=""),"",ROUND(G193*Master!H$4%,0)))</f>
        <v/>
      </c>
      <c r="J193" s="9" t="str">
        <f t="shared" si="177"/>
        <v/>
      </c>
      <c r="K193" s="9" t="str">
        <f t="shared" si="178"/>
        <v/>
      </c>
      <c r="L193" s="9" t="str">
        <f t="shared" si="179"/>
        <v/>
      </c>
      <c r="M193" s="9" t="str">
        <f t="shared" si="180"/>
        <v/>
      </c>
      <c r="N193" s="9" t="str">
        <f t="shared" si="181"/>
        <v/>
      </c>
      <c r="O193" s="9" t="str">
        <f t="shared" ref="O193:O194" si="182">IF(AND(C193=""),"",N193-P193)</f>
        <v/>
      </c>
      <c r="P193" s="9" t="str">
        <f t="shared" ref="P193:P194" si="183">IF(AND($Y$192=""),"",IF(AND(N193=""),"",ROUND(N193*$X$193%,0)))</f>
        <v/>
      </c>
      <c r="Q193" s="9" t="str">
        <f>IF(AND($Y$192=""),"",IF(AND(C193=""),"",IF(AND(O193=""),"",SUM(O193,P193))))</f>
        <v/>
      </c>
      <c r="R193" s="9" t="str">
        <f t="shared" ref="R193:R194" si="184">IF(AND(N193=""),"",IF(AND(Q193=""),"",N193-Q193))</f>
        <v/>
      </c>
      <c r="S193" s="20"/>
      <c r="X193" s="4" t="str">
        <f>IF(ISNA(VLOOKUP($Y$192,Master!A$8:N$127,7,FALSE)),"",VLOOKUP($Y$192,Master!A$8:AH$127,7,FALSE))</f>
        <v/>
      </c>
    </row>
    <row r="194" spans="1:27" ht="21" customHeight="1">
      <c r="A194" s="8">
        <v>3</v>
      </c>
      <c r="B194" s="23" t="str">
        <f>IFERROR(DATE(YEAR(B193),MONTH(B193)+1,DAY(B193)),"")</f>
        <v/>
      </c>
      <c r="C194" s="9" t="str">
        <f>IF(AND($Y$192=""),"",C193)</f>
        <v/>
      </c>
      <c r="D194" s="9" t="str">
        <f>IF(AND(C194=""),"",IF(AND($Y$192=""),"",ROUND(C194*Master!C$5%,0)))</f>
        <v/>
      </c>
      <c r="E194" s="9" t="str">
        <f>IF(AND(C194=""),"",IF(AND($Y$192=""),"",ROUND(C194*Master!H$5%,0)))</f>
        <v/>
      </c>
      <c r="F194" s="9" t="str">
        <f t="shared" si="176"/>
        <v/>
      </c>
      <c r="G194" s="9" t="str">
        <f>IF(AND($Y$192=""),"",G193)</f>
        <v/>
      </c>
      <c r="H194" s="9" t="str">
        <f>IF(AND(G194=""),"",IF(AND($Y$192=""),"",ROUND(G194*Master!C$4%,0)))</f>
        <v/>
      </c>
      <c r="I194" s="9" t="str">
        <f>IF(AND(G194=""),"",IF(AND($Y$192=""),"",ROUND(G194*Master!H$4%,0)))</f>
        <v/>
      </c>
      <c r="J194" s="9" t="str">
        <f t="shared" si="177"/>
        <v/>
      </c>
      <c r="K194" s="9" t="str">
        <f t="shared" si="178"/>
        <v/>
      </c>
      <c r="L194" s="9" t="str">
        <f t="shared" si="179"/>
        <v/>
      </c>
      <c r="M194" s="9" t="str">
        <f t="shared" si="180"/>
        <v/>
      </c>
      <c r="N194" s="9" t="str">
        <f t="shared" si="181"/>
        <v/>
      </c>
      <c r="O194" s="9" t="str">
        <f t="shared" si="182"/>
        <v/>
      </c>
      <c r="P194" s="9" t="str">
        <f t="shared" si="183"/>
        <v/>
      </c>
      <c r="Q194" s="9" t="str">
        <f>IF(AND($Y$192=""),"",IF(AND(C194=""),"",IF(AND(O194=""),"",SUM(O194,P194))))</f>
        <v/>
      </c>
      <c r="R194" s="9" t="str">
        <f t="shared" si="184"/>
        <v/>
      </c>
      <c r="S194" s="20"/>
    </row>
    <row r="195" spans="1:27" ht="30.75" customHeight="1">
      <c r="A195" s="108" t="s">
        <v>9</v>
      </c>
      <c r="B195" s="109"/>
      <c r="C195" s="64" t="str">
        <f t="shared" ref="C195:R195" si="185">IF(AND($Y$192=""),"",SUM(C192:C194))</f>
        <v/>
      </c>
      <c r="D195" s="64" t="str">
        <f t="shared" si="185"/>
        <v/>
      </c>
      <c r="E195" s="64" t="str">
        <f t="shared" si="185"/>
        <v/>
      </c>
      <c r="F195" s="64" t="str">
        <f t="shared" si="185"/>
        <v/>
      </c>
      <c r="G195" s="64" t="str">
        <f t="shared" si="185"/>
        <v/>
      </c>
      <c r="H195" s="64" t="str">
        <f t="shared" si="185"/>
        <v/>
      </c>
      <c r="I195" s="64" t="str">
        <f t="shared" si="185"/>
        <v/>
      </c>
      <c r="J195" s="64" t="str">
        <f t="shared" si="185"/>
        <v/>
      </c>
      <c r="K195" s="64" t="str">
        <f t="shared" si="185"/>
        <v/>
      </c>
      <c r="L195" s="64" t="str">
        <f t="shared" si="185"/>
        <v/>
      </c>
      <c r="M195" s="64" t="str">
        <f t="shared" si="185"/>
        <v/>
      </c>
      <c r="N195" s="64" t="str">
        <f t="shared" si="185"/>
        <v/>
      </c>
      <c r="O195" s="64" t="str">
        <f t="shared" si="185"/>
        <v/>
      </c>
      <c r="P195" s="64" t="str">
        <f t="shared" si="185"/>
        <v/>
      </c>
      <c r="Q195" s="64" t="str">
        <f t="shared" si="185"/>
        <v/>
      </c>
      <c r="R195" s="64" t="str">
        <f t="shared" si="185"/>
        <v/>
      </c>
      <c r="S195" s="50"/>
    </row>
    <row r="196" spans="1:27" ht="30.75" customHeight="1">
      <c r="A196" s="75"/>
      <c r="B196" s="75"/>
      <c r="C196" s="76"/>
      <c r="D196" s="76"/>
      <c r="E196" s="76"/>
      <c r="F196" s="76"/>
      <c r="G196" s="76"/>
      <c r="H196" s="76"/>
      <c r="I196" s="76"/>
      <c r="J196" s="76"/>
      <c r="K196" s="76"/>
      <c r="L196" s="76"/>
      <c r="M196" s="76"/>
      <c r="N196" s="76"/>
      <c r="O196" s="76"/>
      <c r="P196" s="76"/>
      <c r="Q196" s="76"/>
      <c r="R196" s="76"/>
      <c r="S196" s="77"/>
    </row>
    <row r="197" spans="1:27" ht="18.75">
      <c r="A197" s="21"/>
      <c r="B197" s="59"/>
      <c r="C197" s="59"/>
      <c r="D197" s="59"/>
      <c r="E197" s="59"/>
      <c r="F197" s="59"/>
      <c r="G197" s="59"/>
      <c r="H197" s="60"/>
      <c r="I197" s="60"/>
      <c r="J197" s="60"/>
      <c r="K197" s="68"/>
      <c r="L197" s="68"/>
      <c r="M197" s="68"/>
      <c r="N197" s="68"/>
      <c r="O197" s="107" t="s">
        <v>55</v>
      </c>
      <c r="P197" s="107"/>
      <c r="Q197" s="107"/>
      <c r="R197" s="107"/>
      <c r="S197" s="107"/>
    </row>
    <row r="198" spans="1:27" ht="18.75">
      <c r="A198" s="1"/>
      <c r="B198" s="24" t="s">
        <v>19</v>
      </c>
      <c r="C198" s="118"/>
      <c r="D198" s="118"/>
      <c r="E198" s="118"/>
      <c r="F198" s="118"/>
      <c r="G198" s="118"/>
      <c r="H198" s="25"/>
      <c r="I198" s="121" t="s">
        <v>20</v>
      </c>
      <c r="J198" s="121"/>
      <c r="K198" s="120"/>
      <c r="L198" s="120"/>
      <c r="M198" s="120"/>
      <c r="O198" s="107"/>
      <c r="P198" s="107"/>
      <c r="Q198" s="107"/>
      <c r="R198" s="107"/>
      <c r="S198" s="107"/>
    </row>
    <row r="199" spans="1:27" ht="18.75">
      <c r="A199" s="1"/>
      <c r="B199" s="119" t="s">
        <v>21</v>
      </c>
      <c r="C199" s="119"/>
      <c r="D199" s="119"/>
      <c r="E199" s="119"/>
      <c r="F199" s="119"/>
      <c r="G199" s="119"/>
      <c r="H199" s="119"/>
      <c r="I199" s="27"/>
      <c r="J199" s="26"/>
      <c r="K199" s="26"/>
      <c r="L199" s="26"/>
      <c r="M199" s="26"/>
    </row>
    <row r="200" spans="1:27" ht="18.75">
      <c r="A200" s="22">
        <v>1</v>
      </c>
      <c r="B200" s="117" t="s">
        <v>22</v>
      </c>
      <c r="C200" s="117"/>
      <c r="D200" s="117"/>
      <c r="E200" s="117"/>
      <c r="F200" s="117"/>
      <c r="G200" s="117"/>
      <c r="H200" s="117"/>
      <c r="I200" s="28"/>
      <c r="J200" s="26"/>
      <c r="K200" s="26"/>
      <c r="L200" s="26"/>
      <c r="M200" s="26"/>
    </row>
    <row r="201" spans="1:27" ht="18.75">
      <c r="A201" s="2">
        <v>2</v>
      </c>
      <c r="B201" s="117" t="s">
        <v>23</v>
      </c>
      <c r="C201" s="117"/>
      <c r="D201" s="117"/>
      <c r="E201" s="117"/>
      <c r="F201" s="117"/>
      <c r="G201" s="115"/>
      <c r="H201" s="115"/>
      <c r="I201" s="115"/>
      <c r="J201" s="115"/>
      <c r="K201" s="115"/>
      <c r="L201" s="115"/>
      <c r="M201" s="115"/>
    </row>
    <row r="202" spans="1:27" ht="18.75">
      <c r="A202" s="3">
        <v>3</v>
      </c>
      <c r="B202" s="117" t="s">
        <v>24</v>
      </c>
      <c r="C202" s="117"/>
      <c r="D202" s="117"/>
      <c r="E202" s="29"/>
      <c r="F202" s="28"/>
      <c r="G202" s="28"/>
      <c r="H202" s="30"/>
      <c r="I202" s="31"/>
      <c r="J202" s="26"/>
      <c r="K202" s="26"/>
      <c r="L202" s="26"/>
      <c r="M202" s="26"/>
    </row>
    <row r="203" spans="1:27" ht="15.75">
      <c r="O203" s="107" t="s">
        <v>55</v>
      </c>
      <c r="P203" s="107"/>
      <c r="Q203" s="107"/>
      <c r="R203" s="107"/>
      <c r="S203" s="107"/>
    </row>
    <row r="205" spans="1:27" ht="18" customHeight="1">
      <c r="A205" s="122" t="str">
        <f>A171</f>
        <v xml:space="preserve">DA (38%) Drawn Statement  </v>
      </c>
      <c r="B205" s="122"/>
      <c r="C205" s="122"/>
      <c r="D205" s="122"/>
      <c r="E205" s="122"/>
      <c r="F205" s="122"/>
      <c r="G205" s="122"/>
      <c r="H205" s="122"/>
      <c r="I205" s="122"/>
      <c r="J205" s="122"/>
      <c r="K205" s="122"/>
      <c r="L205" s="122"/>
      <c r="M205" s="122"/>
      <c r="N205" s="122"/>
      <c r="O205" s="122"/>
      <c r="P205" s="122"/>
      <c r="Q205" s="122"/>
      <c r="R205" s="122"/>
      <c r="S205" s="122"/>
      <c r="W205" s="4">
        <f>IF(ISNA(VLOOKUP($Y$3,Master!A$8:N$127,4,FALSE)),"",VLOOKUP($Y$3,Master!A$8:AH$127,4,FALSE))</f>
        <v>3</v>
      </c>
      <c r="X205" s="4" t="str">
        <f>IF(ISNA(VLOOKUP($Y$3,Master!A$8:N$127,6,FALSE)),"",VLOOKUP($Y$3,Master!A$8:AH$127,6,FALSE))</f>
        <v>GPF</v>
      </c>
      <c r="Y205" s="4" t="s">
        <v>58</v>
      </c>
      <c r="Z205" s="4" t="s">
        <v>18</v>
      </c>
      <c r="AA205" s="4" t="str">
        <f>IF(ISNA(VLOOKUP($Y$207,Master!A$8:N$127,7,FALSE)),"",VLOOKUP($Y$207,Master!A$8:AH$127,7,FALSE))</f>
        <v/>
      </c>
    </row>
    <row r="206" spans="1:27" ht="18">
      <c r="A206" s="114" t="str">
        <f>IF(AND(Master!C207=""),"",CONCATENATE("Office Of  ",Master!C207))</f>
        <v/>
      </c>
      <c r="B206" s="114"/>
      <c r="C206" s="114"/>
      <c r="D206" s="114"/>
      <c r="E206" s="114"/>
      <c r="F206" s="114"/>
      <c r="G206" s="114"/>
      <c r="H206" s="114"/>
      <c r="I206" s="114"/>
      <c r="J206" s="114"/>
      <c r="K206" s="114"/>
      <c r="L206" s="114"/>
      <c r="M206" s="114"/>
      <c r="N206" s="114"/>
      <c r="O206" s="114"/>
      <c r="P206" s="114"/>
      <c r="Q206" s="114"/>
      <c r="R206" s="114"/>
      <c r="S206" s="114"/>
      <c r="X206" s="4">
        <f>IF(ISNA(VLOOKUP($Y$3,Master!A$8:N$127,8,FALSE)),"",VLOOKUP($Y$3,Master!A$8:AH$127,8,FALSE))</f>
        <v>44743</v>
      </c>
      <c r="Y206" s="4" t="s">
        <v>56</v>
      </c>
    </row>
    <row r="207" spans="1:27" ht="18.75">
      <c r="E207" s="116" t="s">
        <v>10</v>
      </c>
      <c r="F207" s="116"/>
      <c r="G207" s="116"/>
      <c r="H207" s="116"/>
      <c r="I207" s="116"/>
      <c r="J207" s="115" t="str">
        <f>IF(ISNA(VLOOKUP($Y$207,Master!A$8:N$127,2,FALSE)),"",VLOOKUP($Y$207,Master!A$8:AH$127,2,FALSE))</f>
        <v/>
      </c>
      <c r="K207" s="115"/>
      <c r="L207" s="115"/>
      <c r="M207" s="115"/>
      <c r="N207" s="115"/>
      <c r="O207" s="61" t="s">
        <v>31</v>
      </c>
      <c r="P207" s="115" t="str">
        <f>IF(ISNA(VLOOKUP($Y$207,Master!A$8:N$127,3,FALSE)),"",VLOOKUP($Y$207,Master!A$8:AH$127,3,FALSE))</f>
        <v/>
      </c>
      <c r="Q207" s="115"/>
      <c r="R207" s="115"/>
      <c r="S207" s="115"/>
      <c r="X207" s="62" t="s">
        <v>62</v>
      </c>
      <c r="Y207" s="65" t="str">
        <f>IF(AND(Master!B26="",Master!E26=""),"",19)</f>
        <v/>
      </c>
    </row>
    <row r="208" spans="1:27" ht="8.25" customHeight="1">
      <c r="E208" s="19"/>
      <c r="F208" s="53"/>
      <c r="G208" s="22"/>
      <c r="H208" s="22"/>
      <c r="I208" s="22"/>
      <c r="J208" s="5"/>
      <c r="K208" s="5"/>
      <c r="L208" s="5"/>
      <c r="M208" s="5"/>
      <c r="N208" s="5"/>
      <c r="O208" s="6"/>
      <c r="P208" s="6"/>
    </row>
    <row r="209" spans="1:25" ht="24.75" customHeight="1">
      <c r="A209" s="110" t="s">
        <v>0</v>
      </c>
      <c r="B209" s="111" t="s">
        <v>3</v>
      </c>
      <c r="C209" s="112" t="s">
        <v>5</v>
      </c>
      <c r="D209" s="112"/>
      <c r="E209" s="112"/>
      <c r="F209" s="112"/>
      <c r="G209" s="112" t="s">
        <v>6</v>
      </c>
      <c r="H209" s="112"/>
      <c r="I209" s="112"/>
      <c r="J209" s="112"/>
      <c r="K209" s="112" t="s">
        <v>7</v>
      </c>
      <c r="L209" s="112"/>
      <c r="M209" s="112"/>
      <c r="N209" s="112"/>
      <c r="O209" s="97" t="s">
        <v>8</v>
      </c>
      <c r="P209" s="98"/>
      <c r="Q209" s="99"/>
      <c r="R209" s="105" t="s">
        <v>67</v>
      </c>
      <c r="S209" s="105" t="s">
        <v>50</v>
      </c>
    </row>
    <row r="210" spans="1:25" ht="69" customHeight="1">
      <c r="A210" s="110"/>
      <c r="B210" s="111"/>
      <c r="C210" s="55" t="s">
        <v>29</v>
      </c>
      <c r="D210" s="56" t="s">
        <v>1</v>
      </c>
      <c r="E210" s="57" t="s">
        <v>2</v>
      </c>
      <c r="F210" s="55" t="s">
        <v>59</v>
      </c>
      <c r="G210" s="55" t="s">
        <v>29</v>
      </c>
      <c r="H210" s="56" t="s">
        <v>1</v>
      </c>
      <c r="I210" s="57" t="s">
        <v>2</v>
      </c>
      <c r="J210" s="55" t="s">
        <v>60</v>
      </c>
      <c r="K210" s="55" t="s">
        <v>4</v>
      </c>
      <c r="L210" s="56" t="s">
        <v>1</v>
      </c>
      <c r="M210" s="57" t="s">
        <v>2</v>
      </c>
      <c r="N210" s="58" t="s">
        <v>61</v>
      </c>
      <c r="O210" s="54" t="s">
        <v>83</v>
      </c>
      <c r="P210" s="67" t="s">
        <v>51</v>
      </c>
      <c r="Q210" s="58" t="s">
        <v>66</v>
      </c>
      <c r="R210" s="105"/>
      <c r="S210" s="105"/>
    </row>
    <row r="211" spans="1:25" ht="18" customHeight="1">
      <c r="A211" s="7">
        <v>1</v>
      </c>
      <c r="B211" s="7">
        <v>2</v>
      </c>
      <c r="C211" s="7">
        <v>3</v>
      </c>
      <c r="D211" s="7">
        <v>4</v>
      </c>
      <c r="E211" s="7">
        <v>5</v>
      </c>
      <c r="F211" s="7">
        <v>6</v>
      </c>
      <c r="G211" s="7">
        <v>7</v>
      </c>
      <c r="H211" s="7">
        <v>8</v>
      </c>
      <c r="I211" s="7">
        <v>9</v>
      </c>
      <c r="J211" s="7">
        <v>10</v>
      </c>
      <c r="K211" s="7">
        <v>11</v>
      </c>
      <c r="L211" s="7">
        <v>12</v>
      </c>
      <c r="M211" s="7">
        <v>13</v>
      </c>
      <c r="N211" s="7">
        <v>14</v>
      </c>
      <c r="O211" s="7">
        <v>15</v>
      </c>
      <c r="P211" s="7">
        <v>17</v>
      </c>
      <c r="Q211" s="7">
        <v>18</v>
      </c>
      <c r="R211" s="7">
        <v>19</v>
      </c>
      <c r="S211" s="7">
        <v>20</v>
      </c>
    </row>
    <row r="212" spans="1:25" ht="21" customHeight="1">
      <c r="A212" s="8">
        <v>1</v>
      </c>
      <c r="B212" s="23" t="str">
        <f>IFERROR(IF(ISNA(VLOOKUP(Y207,Master!A$8:N$127,8,FALSE)),"",VLOOKUP($Y207,Master!A$8:AH$127,8,FALSE)),"")</f>
        <v/>
      </c>
      <c r="C212" s="9" t="str">
        <f>IF(ISNA(VLOOKUP(Y207,Master!A$8:N$127,5,FALSE)),"",VLOOKUP($Y$207,Master!A$8:AH$127,5,FALSE))</f>
        <v/>
      </c>
      <c r="D212" s="9" t="str">
        <f>IF(AND(C212=""),"",IF(AND($Y$207=""),"",ROUND(C212*Master!C$5%,0)))</f>
        <v/>
      </c>
      <c r="E212" s="9" t="str">
        <f>IF(AND(C212=""),"",IF(AND($Y$207=""),"",ROUND(C212*Master!H$5%,0)))</f>
        <v/>
      </c>
      <c r="F212" s="9" t="str">
        <f t="shared" ref="F212" si="186">IF(AND(C212=""),"",SUM(C212:E212))</f>
        <v/>
      </c>
      <c r="G212" s="9" t="str">
        <f>IF(ISNA(VLOOKUP($Y$207,Master!A$8:N$127,5,FALSE)),"",VLOOKUP($Y$207,Master!A$8:AH$127,5,FALSE))</f>
        <v/>
      </c>
      <c r="H212" s="9" t="str">
        <f>IF(AND(G212=""),"",IF(AND($Y$207=""),"",ROUND(G212*Master!C$4%,0)))</f>
        <v/>
      </c>
      <c r="I212" s="9" t="str">
        <f>IF(AND(G212=""),"",IF(AND($Y$207=""),"",ROUND(G212*Master!H$4%,0)))</f>
        <v/>
      </c>
      <c r="J212" s="9" t="str">
        <f t="shared" ref="J212:J213" si="187">IF(AND(C212=""),"",SUM(G212:I212))</f>
        <v/>
      </c>
      <c r="K212" s="9" t="str">
        <f t="shared" ref="K212:K214" si="188">IF(AND(C212=""),"",IF(AND(G212=""),"",C212-G212))</f>
        <v/>
      </c>
      <c r="L212" s="9" t="str">
        <f t="shared" ref="L212:L214" si="189">IF(AND(D212=""),"",IF(AND(H212=""),"",D212-H212))</f>
        <v/>
      </c>
      <c r="M212" s="9" t="str">
        <f t="shared" ref="M212:M213" si="190">IF(AND(E212=""),"",IF(AND(I212=""),"",E212-I212))</f>
        <v/>
      </c>
      <c r="N212" s="9" t="str">
        <f t="shared" ref="N212:N213" si="191">IF(AND(F212=""),"",IF(AND(J212=""),"",F212-J212))</f>
        <v/>
      </c>
      <c r="O212" s="9" t="str">
        <f>IF(AND(C212=""),"",N212-P212)</f>
        <v/>
      </c>
      <c r="P212" s="9" t="str">
        <f>IF(AND($Y$207=""),"",IF(AND(N212=""),"",ROUND(N212*AA$205%,0)))</f>
        <v/>
      </c>
      <c r="Q212" s="9" t="str">
        <f>IF(AND($Y$207=""),"",IF(AND(C212=""),"",IF(AND(O212=""),"",SUM(O212,P212))))</f>
        <v/>
      </c>
      <c r="R212" s="9" t="str">
        <f>IF(AND(N212=""),"",IF(AND(Q212=""),"",N212-Q212))</f>
        <v/>
      </c>
      <c r="S212" s="20"/>
    </row>
    <row r="213" spans="1:25" ht="21" customHeight="1">
      <c r="A213" s="8">
        <v>2</v>
      </c>
      <c r="B213" s="23" t="str">
        <f>IFERROR(DATE(YEAR(B212),MONTH(B212)+1,DAY(B212)),"")</f>
        <v/>
      </c>
      <c r="C213" s="9" t="str">
        <f>IF(AND($Y$207=""),"",C212)</f>
        <v/>
      </c>
      <c r="D213" s="9" t="str">
        <f>IF(AND(C213=""),"",IF(AND($Y$207=""),"",ROUND(C213*Master!C$5%,0)))</f>
        <v/>
      </c>
      <c r="E213" s="9" t="str">
        <f>IF(AND(C213=""),"",IF(AND($Y$207=""),"",ROUND(C213*Master!H$5%,0)))</f>
        <v/>
      </c>
      <c r="F213" s="9" t="str">
        <f>IF(AND(C213=""),"",SUM(C213:E213))</f>
        <v/>
      </c>
      <c r="G213" s="9" t="str">
        <f>IF(AND($Y$207=""),"",G212)</f>
        <v/>
      </c>
      <c r="H213" s="9" t="str">
        <f>IF(AND(G213=""),"",IF(AND($Y$207=""),"",ROUND(G213*Master!C$4%,0)))</f>
        <v/>
      </c>
      <c r="I213" s="9" t="str">
        <f>IF(AND(G213=""),"",IF(AND($Y$207=""),"",ROUND(G213*Master!H$4%,0)))</f>
        <v/>
      </c>
      <c r="J213" s="9" t="str">
        <f t="shared" si="187"/>
        <v/>
      </c>
      <c r="K213" s="9" t="str">
        <f t="shared" si="188"/>
        <v/>
      </c>
      <c r="L213" s="9" t="str">
        <f t="shared" si="189"/>
        <v/>
      </c>
      <c r="M213" s="9" t="str">
        <f t="shared" si="190"/>
        <v/>
      </c>
      <c r="N213" s="9" t="str">
        <f t="shared" si="191"/>
        <v/>
      </c>
      <c r="O213" s="9" t="str">
        <f t="shared" ref="O213:O214" si="192">IF(AND(C213=""),"",N213-P213)</f>
        <v/>
      </c>
      <c r="P213" s="9" t="str">
        <f t="shared" ref="P213:P214" si="193">IF(AND($Y$207=""),"",IF(AND(N213=""),"",ROUND(N213*AA$205%,0)))</f>
        <v/>
      </c>
      <c r="Q213" s="9" t="str">
        <f>IF(AND($Y$207=""),"",IF(AND(C213=""),"",IF(AND(O213=""),"",SUM(O213,P213))))</f>
        <v/>
      </c>
      <c r="R213" s="9" t="str">
        <f t="shared" ref="R213:R214" si="194">IF(AND(N213=""),"",IF(AND(Q213=""),"",N213-Q213))</f>
        <v/>
      </c>
      <c r="S213" s="20"/>
    </row>
    <row r="214" spans="1:25" ht="21" customHeight="1">
      <c r="A214" s="8">
        <v>3</v>
      </c>
      <c r="B214" s="23" t="str">
        <f>IFERROR(DATE(YEAR(B213),MONTH(B213)+1,DAY(B213)),"")</f>
        <v/>
      </c>
      <c r="C214" s="9" t="str">
        <f>IF(AND($Y$207=""),"",C213)</f>
        <v/>
      </c>
      <c r="D214" s="9" t="str">
        <f>IF(AND(C214=""),"",IF(AND($Y$207=""),"",ROUND(C214*Master!C$5%,0)))</f>
        <v/>
      </c>
      <c r="E214" s="9" t="str">
        <f>IF(AND(C214=""),"",IF(AND($Y$207=""),"",ROUND(C214*Master!H$5%,0)))</f>
        <v/>
      </c>
      <c r="F214" s="9" t="str">
        <f t="shared" ref="F214" si="195">IF(AND(C214=""),"",SUM(C214:E214))</f>
        <v/>
      </c>
      <c r="G214" s="9" t="str">
        <f>IF(AND($Y$207=""),"",G213)</f>
        <v/>
      </c>
      <c r="H214" s="9" t="str">
        <f>IF(AND(G214=""),"",IF(AND($Y$207=""),"",ROUND(G214*Master!C$4%,0)))</f>
        <v/>
      </c>
      <c r="I214" s="9" t="str">
        <f>IF(AND(G214=""),"",IF(AND($Y$207=""),"",ROUND(G214*Master!H$4%,0)))</f>
        <v/>
      </c>
      <c r="J214" s="9" t="str">
        <f>IF(AND(C214=""),"",SUM(G214:I214))</f>
        <v/>
      </c>
      <c r="K214" s="9" t="str">
        <f t="shared" si="188"/>
        <v/>
      </c>
      <c r="L214" s="9" t="str">
        <f t="shared" si="189"/>
        <v/>
      </c>
      <c r="M214" s="9" t="str">
        <f>IF(AND(E214=""),"",IF(AND(I214=""),"",E214-I214))</f>
        <v/>
      </c>
      <c r="N214" s="9" t="str">
        <f>IF(AND(F214=""),"",IF(AND(J214=""),"",F214-J214))</f>
        <v/>
      </c>
      <c r="O214" s="9" t="str">
        <f t="shared" si="192"/>
        <v/>
      </c>
      <c r="P214" s="9" t="str">
        <f t="shared" si="193"/>
        <v/>
      </c>
      <c r="Q214" s="9" t="str">
        <f>IF(AND($Y$207=""),"",IF(AND(C214=""),"",IF(AND(O214=""),"",SUM(O214,P214))))</f>
        <v/>
      </c>
      <c r="R214" s="9" t="str">
        <f t="shared" si="194"/>
        <v/>
      </c>
      <c r="S214" s="20"/>
    </row>
    <row r="215" spans="1:25" ht="23.25" customHeight="1">
      <c r="A215" s="108" t="s">
        <v>9</v>
      </c>
      <c r="B215" s="109"/>
      <c r="C215" s="64" t="str">
        <f t="shared" ref="C215:R215" si="196">IF(AND($Y$207=""),"",SUM(C212:C214))</f>
        <v/>
      </c>
      <c r="D215" s="64" t="str">
        <f t="shared" si="196"/>
        <v/>
      </c>
      <c r="E215" s="64" t="str">
        <f t="shared" si="196"/>
        <v/>
      </c>
      <c r="F215" s="64" t="str">
        <f t="shared" si="196"/>
        <v/>
      </c>
      <c r="G215" s="64" t="str">
        <f t="shared" si="196"/>
        <v/>
      </c>
      <c r="H215" s="64" t="str">
        <f t="shared" si="196"/>
        <v/>
      </c>
      <c r="I215" s="64" t="str">
        <f t="shared" si="196"/>
        <v/>
      </c>
      <c r="J215" s="64" t="str">
        <f t="shared" si="196"/>
        <v/>
      </c>
      <c r="K215" s="64" t="str">
        <f t="shared" si="196"/>
        <v/>
      </c>
      <c r="L215" s="64" t="str">
        <f t="shared" si="196"/>
        <v/>
      </c>
      <c r="M215" s="64" t="str">
        <f t="shared" si="196"/>
        <v/>
      </c>
      <c r="N215" s="64" t="str">
        <f t="shared" si="196"/>
        <v/>
      </c>
      <c r="O215" s="64" t="str">
        <f t="shared" si="196"/>
        <v/>
      </c>
      <c r="P215" s="64" t="str">
        <f t="shared" si="196"/>
        <v/>
      </c>
      <c r="Q215" s="64" t="str">
        <f t="shared" si="196"/>
        <v/>
      </c>
      <c r="R215" s="64" t="str">
        <f t="shared" si="196"/>
        <v/>
      </c>
      <c r="S215" s="50"/>
    </row>
    <row r="216" spans="1:25" ht="10.5" customHeight="1">
      <c r="A216" s="75"/>
      <c r="B216" s="75"/>
      <c r="C216" s="76"/>
      <c r="D216" s="76"/>
      <c r="E216" s="76"/>
      <c r="F216" s="76"/>
      <c r="G216" s="76"/>
      <c r="H216" s="76"/>
      <c r="I216" s="76"/>
      <c r="J216" s="76"/>
      <c r="K216" s="76"/>
      <c r="L216" s="76"/>
      <c r="M216" s="76"/>
      <c r="N216" s="76"/>
      <c r="O216" s="76"/>
      <c r="P216" s="76"/>
      <c r="Q216" s="76"/>
      <c r="R216" s="76"/>
      <c r="S216" s="77"/>
    </row>
    <row r="217" spans="1:25" ht="23.25" customHeight="1">
      <c r="E217" s="116" t="s">
        <v>10</v>
      </c>
      <c r="F217" s="116"/>
      <c r="G217" s="116"/>
      <c r="H217" s="116"/>
      <c r="I217" s="116"/>
      <c r="J217" s="115" t="str">
        <f>IF(ISNA(VLOOKUP($Y$219,Master!A$8:N$127,2,FALSE)),"",VLOOKUP($Y$219,Master!A$8:AH$127,2,FALSE))</f>
        <v/>
      </c>
      <c r="K217" s="115"/>
      <c r="L217" s="115"/>
      <c r="M217" s="115"/>
      <c r="N217" s="115"/>
      <c r="O217" s="61" t="s">
        <v>31</v>
      </c>
      <c r="P217" s="115" t="str">
        <f>IF(ISNA(VLOOKUP($Y$219,Master!A$8:N$127,3,FALSE)),"",VLOOKUP($Y$219,Master!A$8:AH$127,3,FALSE))</f>
        <v/>
      </c>
      <c r="Q217" s="115"/>
      <c r="R217" s="115"/>
      <c r="S217" s="115"/>
    </row>
    <row r="218" spans="1:25" ht="9" customHeight="1">
      <c r="E218" s="19"/>
      <c r="F218" s="53"/>
      <c r="G218" s="22"/>
      <c r="H218" s="22"/>
      <c r="I218" s="22"/>
      <c r="J218" s="5"/>
      <c r="K218" s="5"/>
      <c r="L218" s="5"/>
      <c r="M218" s="5"/>
      <c r="N218" s="5"/>
      <c r="O218" s="6"/>
      <c r="P218" s="6"/>
    </row>
    <row r="219" spans="1:25" ht="21" customHeight="1">
      <c r="A219" s="8">
        <v>1</v>
      </c>
      <c r="B219" s="23" t="str">
        <f>IFERROR(IF(ISNA(VLOOKUP(Y219,Master!A$8:N$127,8,FALSE)),"",VLOOKUP($Y219,Master!A$8:AH$127,8,FALSE)),"")</f>
        <v/>
      </c>
      <c r="C219" s="9" t="str">
        <f>IF(ISNA(VLOOKUP($Y$219,Master!A$8:N$127,5,FALSE)),"",VLOOKUP($Y$219,Master!A$8:AH$127,5,FALSE))</f>
        <v/>
      </c>
      <c r="D219" s="9" t="str">
        <f>IF(AND(C219=""),"",IF(AND($Y$219=""),"",ROUND(C219*Master!C$5%,0)))</f>
        <v/>
      </c>
      <c r="E219" s="9" t="str">
        <f>IF(AND(C219=""),"",IF(AND($Y$219=""),"",ROUND(C219*Master!H$5%,0)))</f>
        <v/>
      </c>
      <c r="F219" s="9" t="str">
        <f t="shared" ref="F219:F221" si="197">IF(AND(C219=""),"",SUM(C219:E219))</f>
        <v/>
      </c>
      <c r="G219" s="9" t="str">
        <f>IF(ISNA(VLOOKUP($Y$219,Master!A$8:N$127,5,FALSE)),"",VLOOKUP($Y$219,Master!A$8:AH$127,5,FALSE))</f>
        <v/>
      </c>
      <c r="H219" s="9" t="str">
        <f>IF(AND(G219=""),"",IF(AND($Y$219=""),"",ROUND(G219*Master!C$4%,0)))</f>
        <v/>
      </c>
      <c r="I219" s="9" t="str">
        <f>IF(AND(G219=""),"",IF(AND($Y$219=""),"",ROUND(G219*Master!H$4%,0)))</f>
        <v/>
      </c>
      <c r="J219" s="9" t="str">
        <f t="shared" ref="J219:J221" si="198">IF(AND(C219=""),"",SUM(G219:I219))</f>
        <v/>
      </c>
      <c r="K219" s="9" t="str">
        <f t="shared" ref="K219" si="199">IF(AND(C219=""),"",IF(AND(G219=""),"",C219-G219))</f>
        <v/>
      </c>
      <c r="L219" s="9" t="str">
        <f>IF(AND(D219=""),"",IF(AND(H219=""),"",D219-H219))</f>
        <v/>
      </c>
      <c r="M219" s="9" t="str">
        <f t="shared" ref="M219:M221" si="200">IF(AND(E219=""),"",IF(AND(I219=""),"",E219-I219))</f>
        <v/>
      </c>
      <c r="N219" s="9" t="str">
        <f t="shared" ref="N219:N221" si="201">IF(AND(F219=""),"",IF(AND(J219=""),"",F219-J219))</f>
        <v/>
      </c>
      <c r="O219" s="9" t="str">
        <f>IF(AND(C219=""),"",N219-P219)</f>
        <v/>
      </c>
      <c r="P219" s="9" t="str">
        <f>IF(AND($Y$219=""),"",IF(AND(N219=""),"",ROUND(N219*$X$220%,0)))</f>
        <v/>
      </c>
      <c r="Q219" s="9" t="str">
        <f>IF(AND($Y$219=""),"",IF(AND(C219=""),"",IF(AND(O219=""),"",SUM(O219,P219))))</f>
        <v/>
      </c>
      <c r="R219" s="9" t="str">
        <f>IF(AND(N219=""),"",IF(AND(Q219=""),"",N219-Q219))</f>
        <v/>
      </c>
      <c r="S219" s="20"/>
      <c r="X219" s="62" t="s">
        <v>62</v>
      </c>
      <c r="Y219" s="65" t="str">
        <f>IF(AND(Master!B27="",Master!E27=""),"",20)</f>
        <v/>
      </c>
    </row>
    <row r="220" spans="1:25" ht="21" customHeight="1">
      <c r="A220" s="8">
        <v>2</v>
      </c>
      <c r="B220" s="23" t="str">
        <f>IFERROR(DATE(YEAR(B219),MONTH(B219)+1,DAY(B219)),"")</f>
        <v/>
      </c>
      <c r="C220" s="9" t="str">
        <f>IF(AND($Y$219=""),"",C219)</f>
        <v/>
      </c>
      <c r="D220" s="9" t="str">
        <f>IF(AND(C220=""),"",IF(AND($Y$219=""),"",ROUND(C220*Master!C$5%,0)))</f>
        <v/>
      </c>
      <c r="E220" s="9" t="str">
        <f>IF(AND(C220=""),"",IF(AND($Y$219=""),"",ROUND(C220*Master!H$5%,0)))</f>
        <v/>
      </c>
      <c r="F220" s="9" t="str">
        <f t="shared" si="197"/>
        <v/>
      </c>
      <c r="G220" s="9" t="str">
        <f>IF(AND($Y$219=""),"",G219)</f>
        <v/>
      </c>
      <c r="H220" s="9" t="str">
        <f>IF(AND(G220=""),"",IF(AND($Y$219=""),"",ROUND(G220*Master!C$4%,0)))</f>
        <v/>
      </c>
      <c r="I220" s="9" t="str">
        <f>IF(AND(G220=""),"",IF(AND($Y$219=""),"",ROUND(G220*Master!H$4%,0)))</f>
        <v/>
      </c>
      <c r="J220" s="9" t="str">
        <f t="shared" si="198"/>
        <v/>
      </c>
      <c r="K220" s="9" t="str">
        <f>IF(AND(C220=""),"",IF(AND(G220=""),"",C220-G220))</f>
        <v/>
      </c>
      <c r="L220" s="9" t="str">
        <f t="shared" ref="L220:L221" si="202">IF(AND(D220=""),"",IF(AND(H220=""),"",D220-H220))</f>
        <v/>
      </c>
      <c r="M220" s="9" t="str">
        <f t="shared" si="200"/>
        <v/>
      </c>
      <c r="N220" s="9" t="str">
        <f t="shared" si="201"/>
        <v/>
      </c>
      <c r="O220" s="9" t="str">
        <f t="shared" ref="O220:O221" si="203">IF(AND(C220=""),"",N220-P220)</f>
        <v/>
      </c>
      <c r="P220" s="9" t="str">
        <f t="shared" ref="P220:P221" si="204">IF(AND($Y$219=""),"",IF(AND(N220=""),"",ROUND(N220*$X$220%,0)))</f>
        <v/>
      </c>
      <c r="Q220" s="9" t="str">
        <f>IF(AND($Y$219=""),"",IF(AND(C220=""),"",IF(AND(O220=""),"",SUM(O220,P220))))</f>
        <v/>
      </c>
      <c r="R220" s="9" t="str">
        <f t="shared" ref="R220:R221" si="205">IF(AND(N220=""),"",IF(AND(Q220=""),"",N220-Q220))</f>
        <v/>
      </c>
      <c r="S220" s="20"/>
      <c r="X220" s="4" t="str">
        <f>IF(ISNA(VLOOKUP($Y$219,Master!A$8:N$127,7,FALSE)),"",VLOOKUP($Y$219,Master!A$8:AH$127,7,FALSE))</f>
        <v/>
      </c>
    </row>
    <row r="221" spans="1:25" ht="21" customHeight="1">
      <c r="A221" s="8">
        <v>3</v>
      </c>
      <c r="B221" s="23" t="str">
        <f>IFERROR(DATE(YEAR(B220),MONTH(B220)+1,DAY(B220)),"")</f>
        <v/>
      </c>
      <c r="C221" s="9" t="str">
        <f>IF(AND($Y$219=""),"",C220)</f>
        <v/>
      </c>
      <c r="D221" s="9" t="str">
        <f>IF(AND(C221=""),"",IF(AND($Y$219=""),"",ROUND(C221*Master!C$5%,0)))</f>
        <v/>
      </c>
      <c r="E221" s="9" t="str">
        <f>IF(AND(C221=""),"",IF(AND($Y$219=""),"",ROUND(C221*Master!H$5%,0)))</f>
        <v/>
      </c>
      <c r="F221" s="9" t="str">
        <f t="shared" si="197"/>
        <v/>
      </c>
      <c r="G221" s="9" t="str">
        <f>IF(AND($Y$219=""),"",G220)</f>
        <v/>
      </c>
      <c r="H221" s="9" t="str">
        <f>IF(AND(G221=""),"",IF(AND($Y$219=""),"",ROUND(G221*Master!C$4%,0)))</f>
        <v/>
      </c>
      <c r="I221" s="9" t="str">
        <f>IF(AND(G221=""),"",IF(AND($Y$219=""),"",ROUND(G221*Master!H$4%,0)))</f>
        <v/>
      </c>
      <c r="J221" s="9" t="str">
        <f t="shared" si="198"/>
        <v/>
      </c>
      <c r="K221" s="9" t="str">
        <f t="shared" ref="K221" si="206">IF(AND(C221=""),"",IF(AND(G221=""),"",C221-G221))</f>
        <v/>
      </c>
      <c r="L221" s="9" t="str">
        <f t="shared" si="202"/>
        <v/>
      </c>
      <c r="M221" s="9" t="str">
        <f t="shared" si="200"/>
        <v/>
      </c>
      <c r="N221" s="9" t="str">
        <f t="shared" si="201"/>
        <v/>
      </c>
      <c r="O221" s="9" t="str">
        <f t="shared" si="203"/>
        <v/>
      </c>
      <c r="P221" s="9" t="str">
        <f t="shared" si="204"/>
        <v/>
      </c>
      <c r="Q221" s="9" t="str">
        <f>IF(AND($Y$219=""),"",IF(AND(C221=""),"",IF(AND(O221=""),"",SUM(O221,P221))))</f>
        <v/>
      </c>
      <c r="R221" s="9" t="str">
        <f t="shared" si="205"/>
        <v/>
      </c>
      <c r="S221" s="20"/>
    </row>
    <row r="222" spans="1:25" ht="30.75" customHeight="1">
      <c r="A222" s="108" t="s">
        <v>9</v>
      </c>
      <c r="B222" s="109"/>
      <c r="C222" s="64" t="str">
        <f t="shared" ref="C222:R222" si="207">IF(AND($Y$219=""),"",SUM(C219:C221))</f>
        <v/>
      </c>
      <c r="D222" s="64" t="str">
        <f t="shared" si="207"/>
        <v/>
      </c>
      <c r="E222" s="64" t="str">
        <f t="shared" si="207"/>
        <v/>
      </c>
      <c r="F222" s="64" t="str">
        <f t="shared" si="207"/>
        <v/>
      </c>
      <c r="G222" s="64" t="str">
        <f t="shared" si="207"/>
        <v/>
      </c>
      <c r="H222" s="64" t="str">
        <f t="shared" si="207"/>
        <v/>
      </c>
      <c r="I222" s="64" t="str">
        <f t="shared" si="207"/>
        <v/>
      </c>
      <c r="J222" s="64" t="str">
        <f t="shared" si="207"/>
        <v/>
      </c>
      <c r="K222" s="64" t="str">
        <f t="shared" si="207"/>
        <v/>
      </c>
      <c r="L222" s="64" t="str">
        <f t="shared" si="207"/>
        <v/>
      </c>
      <c r="M222" s="64" t="str">
        <f t="shared" si="207"/>
        <v/>
      </c>
      <c r="N222" s="64" t="str">
        <f t="shared" si="207"/>
        <v/>
      </c>
      <c r="O222" s="64" t="str">
        <f t="shared" si="207"/>
        <v/>
      </c>
      <c r="P222" s="64" t="str">
        <f t="shared" si="207"/>
        <v/>
      </c>
      <c r="Q222" s="64" t="str">
        <f t="shared" si="207"/>
        <v/>
      </c>
      <c r="R222" s="64" t="str">
        <f t="shared" si="207"/>
        <v/>
      </c>
      <c r="S222" s="50"/>
    </row>
    <row r="223" spans="1:25" ht="11.25" customHeight="1">
      <c r="A223" s="75"/>
      <c r="B223" s="75"/>
      <c r="C223" s="76"/>
      <c r="D223" s="76"/>
      <c r="E223" s="76"/>
      <c r="F223" s="76"/>
      <c r="G223" s="76"/>
      <c r="H223" s="76"/>
      <c r="I223" s="76"/>
      <c r="J223" s="76"/>
      <c r="K223" s="76"/>
      <c r="L223" s="76"/>
      <c r="M223" s="76"/>
      <c r="N223" s="76"/>
      <c r="O223" s="76"/>
      <c r="P223" s="76"/>
      <c r="Q223" s="76"/>
      <c r="R223" s="76"/>
      <c r="S223" s="77"/>
    </row>
    <row r="224" spans="1:25" ht="23.25" customHeight="1">
      <c r="E224" s="116" t="s">
        <v>10</v>
      </c>
      <c r="F224" s="116"/>
      <c r="G224" s="116"/>
      <c r="H224" s="116"/>
      <c r="I224" s="116"/>
      <c r="J224" s="115" t="str">
        <f>IF(ISNA(VLOOKUP($Y$226,Master!A$8:N$127,2,FALSE)),"",VLOOKUP($Y$226,Master!A$8:AH$127,2,FALSE))</f>
        <v/>
      </c>
      <c r="K224" s="115"/>
      <c r="L224" s="115"/>
      <c r="M224" s="115"/>
      <c r="N224" s="115"/>
      <c r="O224" s="61" t="s">
        <v>31</v>
      </c>
      <c r="P224" s="115" t="str">
        <f>IF(ISNA(VLOOKUP($Y$226,Master!A$8:N$127,3,FALSE)),"",VLOOKUP($Y$226,Master!A$8:AH$127,3,FALSE))</f>
        <v/>
      </c>
      <c r="Q224" s="115"/>
      <c r="R224" s="115"/>
      <c r="S224" s="115"/>
    </row>
    <row r="225" spans="1:27" ht="9" customHeight="1">
      <c r="E225" s="19"/>
      <c r="F225" s="53"/>
      <c r="G225" s="22"/>
      <c r="H225" s="22"/>
      <c r="I225" s="22"/>
      <c r="J225" s="5"/>
      <c r="K225" s="5"/>
      <c r="L225" s="5"/>
      <c r="M225" s="5"/>
      <c r="N225" s="5"/>
      <c r="O225" s="6"/>
      <c r="P225" s="6"/>
    </row>
    <row r="226" spans="1:27" ht="21" customHeight="1">
      <c r="A226" s="8">
        <v>1</v>
      </c>
      <c r="B226" s="23" t="str">
        <f>IFERROR(IF(ISNA(VLOOKUP(Y226,Master!A$8:N$127,8,FALSE)),"",VLOOKUP($Y226,Master!A$8:AH$127,8,FALSE)),"")</f>
        <v/>
      </c>
      <c r="C226" s="9" t="str">
        <f>IF(ISNA(VLOOKUP($Y$226,Master!A$8:N$127,5,FALSE)),"",VLOOKUP($Y$226,Master!A$8:AH$127,5,FALSE))</f>
        <v/>
      </c>
      <c r="D226" s="9" t="str">
        <f>IF(AND(C226=""),"",IF(AND($Y$226=""),"",ROUND(C226*Master!C$5%,0)))</f>
        <v/>
      </c>
      <c r="E226" s="9" t="str">
        <f>IF(AND(C226=""),"",IF(AND($Y$226=""),"",ROUND(C226*Master!H$5%,0)))</f>
        <v/>
      </c>
      <c r="F226" s="9" t="str">
        <f t="shared" ref="F226:F228" si="208">IF(AND(C226=""),"",SUM(C226:E226))</f>
        <v/>
      </c>
      <c r="G226" s="9" t="str">
        <f>IF(ISNA(VLOOKUP($Y$226,Master!A$8:N$127,5,FALSE)),"",VLOOKUP($Y$226,Master!A$8:AH$127,5,FALSE))</f>
        <v/>
      </c>
      <c r="H226" s="9" t="str">
        <f>IF(AND(G226=""),"",IF(AND($Y$226=""),"",ROUND(G226*Master!C$4%,0)))</f>
        <v/>
      </c>
      <c r="I226" s="9" t="str">
        <f>IF(AND(G226=""),"",IF(AND($Y$226=""),"",ROUND(G226*Master!H$4%,0)))</f>
        <v/>
      </c>
      <c r="J226" s="9" t="str">
        <f t="shared" ref="J226:J228" si="209">IF(AND(C226=""),"",SUM(G226:I226))</f>
        <v/>
      </c>
      <c r="K226" s="9" t="str">
        <f t="shared" ref="K226:K228" si="210">IF(AND(C226=""),"",IF(AND(G226=""),"",C226-G226))</f>
        <v/>
      </c>
      <c r="L226" s="9" t="str">
        <f t="shared" ref="L226:L228" si="211">IF(AND(D226=""),"",IF(AND(H226=""),"",D226-H226))</f>
        <v/>
      </c>
      <c r="M226" s="9" t="str">
        <f t="shared" ref="M226:M228" si="212">IF(AND(E226=""),"",IF(AND(I226=""),"",E226-I226))</f>
        <v/>
      </c>
      <c r="N226" s="9" t="str">
        <f t="shared" ref="N226:N228" si="213">IF(AND(F226=""),"",IF(AND(J226=""),"",F226-J226))</f>
        <v/>
      </c>
      <c r="O226" s="9" t="str">
        <f>IF(AND(C226=""),"",N226-P226)</f>
        <v/>
      </c>
      <c r="P226" s="9" t="str">
        <f>IF(AND($Y$226=""),"",IF(AND(N226=""),"",ROUND(N226*$X$227%,0)))</f>
        <v/>
      </c>
      <c r="Q226" s="9" t="str">
        <f>IF(AND($Y$226=""),"",IF(AND(C226=""),"",IF(AND(O226=""),"",SUM(O226,P226))))</f>
        <v/>
      </c>
      <c r="R226" s="9" t="str">
        <f>IF(AND(N226=""),"",IF(AND(Q226=""),"",N226-Q226))</f>
        <v/>
      </c>
      <c r="S226" s="20"/>
      <c r="X226" s="62" t="s">
        <v>62</v>
      </c>
      <c r="Y226" s="65" t="str">
        <f>IF(AND(Master!B28="",Master!E28=""),"",21)</f>
        <v/>
      </c>
    </row>
    <row r="227" spans="1:27" ht="21" customHeight="1">
      <c r="A227" s="8">
        <v>2</v>
      </c>
      <c r="B227" s="23" t="str">
        <f>IFERROR(DATE(YEAR(B226),MONTH(B226)+1,DAY(B226)),"")</f>
        <v/>
      </c>
      <c r="C227" s="9" t="str">
        <f>IF(AND($Y$226=""),"",C226)</f>
        <v/>
      </c>
      <c r="D227" s="9" t="str">
        <f>IF(AND(C227=""),"",IF(AND($Y$226=""),"",ROUND(C227*Master!C$5%,0)))</f>
        <v/>
      </c>
      <c r="E227" s="9" t="str">
        <f>IF(AND(C227=""),"",IF(AND($Y$226=""),"",ROUND(C227*Master!H$5%,0)))</f>
        <v/>
      </c>
      <c r="F227" s="9" t="str">
        <f t="shared" si="208"/>
        <v/>
      </c>
      <c r="G227" s="9" t="str">
        <f>IF(AND($Y$226=""),"",G226)</f>
        <v/>
      </c>
      <c r="H227" s="9" t="str">
        <f>IF(AND(G227=""),"",IF(AND($Y$226=""),"",ROUND(G227*Master!C$4%,0)))</f>
        <v/>
      </c>
      <c r="I227" s="9" t="str">
        <f>IF(AND(G227=""),"",IF(AND($Y$226=""),"",ROUND(G227*Master!H$4%,0)))</f>
        <v/>
      </c>
      <c r="J227" s="9" t="str">
        <f t="shared" si="209"/>
        <v/>
      </c>
      <c r="K227" s="9" t="str">
        <f t="shared" si="210"/>
        <v/>
      </c>
      <c r="L227" s="9" t="str">
        <f t="shared" si="211"/>
        <v/>
      </c>
      <c r="M227" s="9" t="str">
        <f t="shared" si="212"/>
        <v/>
      </c>
      <c r="N227" s="9" t="str">
        <f t="shared" si="213"/>
        <v/>
      </c>
      <c r="O227" s="9" t="str">
        <f t="shared" ref="O227:O228" si="214">IF(AND(C227=""),"",N227-P227)</f>
        <v/>
      </c>
      <c r="P227" s="9" t="str">
        <f t="shared" ref="P227" si="215">IF(AND($Y$226=""),"",IF(AND(N227=""),"",ROUND(N227*$X$227%,0)))</f>
        <v/>
      </c>
      <c r="Q227" s="9" t="str">
        <f>IF(AND($Y$226=""),"",IF(AND(C227=""),"",IF(AND(O227=""),"",SUM(O227,P227))))</f>
        <v/>
      </c>
      <c r="R227" s="9" t="str">
        <f t="shared" ref="R227:R228" si="216">IF(AND(N227=""),"",IF(AND(Q227=""),"",N227-Q227))</f>
        <v/>
      </c>
      <c r="S227" s="20"/>
      <c r="X227" s="4" t="str">
        <f>IF(ISNA(VLOOKUP($Y$226,Master!A$8:N$127,7,FALSE)),"",VLOOKUP($Y$226,Master!A$8:AH$127,7,FALSE))</f>
        <v/>
      </c>
    </row>
    <row r="228" spans="1:27" ht="21" customHeight="1">
      <c r="A228" s="8">
        <v>3</v>
      </c>
      <c r="B228" s="23" t="str">
        <f>IFERROR(DATE(YEAR(B227),MONTH(B227)+1,DAY(B227)),"")</f>
        <v/>
      </c>
      <c r="C228" s="9" t="str">
        <f>IF(AND($Y$226=""),"",C227)</f>
        <v/>
      </c>
      <c r="D228" s="9" t="str">
        <f>IF(AND(C228=""),"",IF(AND($Y$226=""),"",ROUND(C228*Master!C$5%,0)))</f>
        <v/>
      </c>
      <c r="E228" s="9" t="str">
        <f>IF(AND(C228=""),"",IF(AND($Y$226=""),"",ROUND(C228*Master!H$5%,0)))</f>
        <v/>
      </c>
      <c r="F228" s="9" t="str">
        <f t="shared" si="208"/>
        <v/>
      </c>
      <c r="G228" s="9" t="str">
        <f>IF(AND($Y$226=""),"",G227)</f>
        <v/>
      </c>
      <c r="H228" s="9" t="str">
        <f>IF(AND(G228=""),"",IF(AND($Y$226=""),"",ROUND(G228*Master!C$4%,0)))</f>
        <v/>
      </c>
      <c r="I228" s="9" t="str">
        <f>IF(AND(G228=""),"",IF(AND($Y$226=""),"",ROUND(G228*Master!H$4%,0)))</f>
        <v/>
      </c>
      <c r="J228" s="9" t="str">
        <f t="shared" si="209"/>
        <v/>
      </c>
      <c r="K228" s="9" t="str">
        <f t="shared" si="210"/>
        <v/>
      </c>
      <c r="L228" s="9" t="str">
        <f t="shared" si="211"/>
        <v/>
      </c>
      <c r="M228" s="9" t="str">
        <f t="shared" si="212"/>
        <v/>
      </c>
      <c r="N228" s="9" t="str">
        <f t="shared" si="213"/>
        <v/>
      </c>
      <c r="O228" s="9" t="str">
        <f t="shared" si="214"/>
        <v/>
      </c>
      <c r="P228" s="9" t="str">
        <f>IF(AND($Y$226=""),"",IF(AND(N228=""),"",ROUND(N228*$X$227%,0)))</f>
        <v/>
      </c>
      <c r="Q228" s="9" t="str">
        <f>IF(AND($Y$226=""),"",IF(AND(C228=""),"",IF(AND(O228=""),"",SUM(O228,P228))))</f>
        <v/>
      </c>
      <c r="R228" s="9" t="str">
        <f t="shared" si="216"/>
        <v/>
      </c>
      <c r="S228" s="20"/>
    </row>
    <row r="229" spans="1:27" ht="30.75" customHeight="1">
      <c r="A229" s="108" t="s">
        <v>9</v>
      </c>
      <c r="B229" s="109"/>
      <c r="C229" s="64" t="str">
        <f t="shared" ref="C229:R229" si="217">IF(AND($Y$226=""),"",SUM(C226:C228))</f>
        <v/>
      </c>
      <c r="D229" s="64" t="str">
        <f t="shared" si="217"/>
        <v/>
      </c>
      <c r="E229" s="64" t="str">
        <f t="shared" si="217"/>
        <v/>
      </c>
      <c r="F229" s="64" t="str">
        <f t="shared" si="217"/>
        <v/>
      </c>
      <c r="G229" s="64" t="str">
        <f t="shared" si="217"/>
        <v/>
      </c>
      <c r="H229" s="64" t="str">
        <f t="shared" si="217"/>
        <v/>
      </c>
      <c r="I229" s="64" t="str">
        <f t="shared" si="217"/>
        <v/>
      </c>
      <c r="J229" s="64" t="str">
        <f t="shared" si="217"/>
        <v/>
      </c>
      <c r="K229" s="64" t="str">
        <f t="shared" si="217"/>
        <v/>
      </c>
      <c r="L229" s="64" t="str">
        <f t="shared" si="217"/>
        <v/>
      </c>
      <c r="M229" s="64" t="str">
        <f t="shared" si="217"/>
        <v/>
      </c>
      <c r="N229" s="64" t="str">
        <f t="shared" si="217"/>
        <v/>
      </c>
      <c r="O229" s="64" t="str">
        <f t="shared" si="217"/>
        <v/>
      </c>
      <c r="P229" s="64" t="str">
        <f t="shared" si="217"/>
        <v/>
      </c>
      <c r="Q229" s="64" t="str">
        <f t="shared" si="217"/>
        <v/>
      </c>
      <c r="R229" s="64" t="str">
        <f t="shared" si="217"/>
        <v/>
      </c>
      <c r="S229" s="50"/>
    </row>
    <row r="230" spans="1:27" ht="30.75" customHeight="1">
      <c r="A230" s="75"/>
      <c r="B230" s="75"/>
      <c r="C230" s="76"/>
      <c r="D230" s="76"/>
      <c r="E230" s="76"/>
      <c r="F230" s="76"/>
      <c r="G230" s="76"/>
      <c r="H230" s="76"/>
      <c r="I230" s="76"/>
      <c r="J230" s="76"/>
      <c r="K230" s="76"/>
      <c r="L230" s="76"/>
      <c r="M230" s="76"/>
      <c r="N230" s="76"/>
      <c r="O230" s="76"/>
      <c r="P230" s="76"/>
      <c r="Q230" s="76"/>
      <c r="R230" s="76"/>
      <c r="S230" s="77"/>
    </row>
    <row r="231" spans="1:27" ht="18.75">
      <c r="A231" s="21"/>
      <c r="B231" s="59"/>
      <c r="C231" s="59"/>
      <c r="D231" s="59"/>
      <c r="E231" s="59"/>
      <c r="F231" s="59"/>
      <c r="G231" s="59"/>
      <c r="H231" s="60"/>
      <c r="I231" s="60"/>
      <c r="J231" s="60"/>
      <c r="K231" s="68"/>
      <c r="L231" s="68"/>
      <c r="M231" s="68"/>
      <c r="N231" s="68"/>
      <c r="O231" s="107" t="s">
        <v>55</v>
      </c>
      <c r="P231" s="107"/>
      <c r="Q231" s="107"/>
      <c r="R231" s="107"/>
      <c r="S231" s="107"/>
    </row>
    <row r="232" spans="1:27" ht="18.75">
      <c r="A232" s="1"/>
      <c r="B232" s="24" t="s">
        <v>19</v>
      </c>
      <c r="C232" s="118"/>
      <c r="D232" s="118"/>
      <c r="E232" s="118"/>
      <c r="F232" s="118"/>
      <c r="G232" s="118"/>
      <c r="H232" s="25"/>
      <c r="I232" s="121" t="s">
        <v>20</v>
      </c>
      <c r="J232" s="121"/>
      <c r="K232" s="120"/>
      <c r="L232" s="120"/>
      <c r="M232" s="120"/>
      <c r="O232" s="107"/>
      <c r="P232" s="107"/>
      <c r="Q232" s="107"/>
      <c r="R232" s="107"/>
      <c r="S232" s="107"/>
    </row>
    <row r="233" spans="1:27" ht="18.75">
      <c r="A233" s="1"/>
      <c r="B233" s="119" t="s">
        <v>21</v>
      </c>
      <c r="C233" s="119"/>
      <c r="D233" s="119"/>
      <c r="E233" s="119"/>
      <c r="F233" s="119"/>
      <c r="G233" s="119"/>
      <c r="H233" s="119"/>
      <c r="I233" s="27"/>
      <c r="J233" s="26"/>
      <c r="K233" s="26"/>
      <c r="L233" s="26"/>
      <c r="M233" s="26"/>
    </row>
    <row r="234" spans="1:27" ht="18.75">
      <c r="A234" s="22">
        <v>1</v>
      </c>
      <c r="B234" s="117" t="s">
        <v>22</v>
      </c>
      <c r="C234" s="117"/>
      <c r="D234" s="117"/>
      <c r="E234" s="117"/>
      <c r="F234" s="117"/>
      <c r="G234" s="117"/>
      <c r="H234" s="117"/>
      <c r="I234" s="28"/>
      <c r="J234" s="26"/>
      <c r="K234" s="26"/>
      <c r="L234" s="26"/>
      <c r="M234" s="26"/>
    </row>
    <row r="235" spans="1:27" ht="18.75">
      <c r="A235" s="2">
        <v>2</v>
      </c>
      <c r="B235" s="117" t="s">
        <v>23</v>
      </c>
      <c r="C235" s="117"/>
      <c r="D235" s="117"/>
      <c r="E235" s="117"/>
      <c r="F235" s="117"/>
      <c r="G235" s="115"/>
      <c r="H235" s="115"/>
      <c r="I235" s="115"/>
      <c r="J235" s="115"/>
      <c r="K235" s="115"/>
      <c r="L235" s="115"/>
      <c r="M235" s="115"/>
    </row>
    <row r="236" spans="1:27" ht="18.75">
      <c r="A236" s="3">
        <v>3</v>
      </c>
      <c r="B236" s="117" t="s">
        <v>24</v>
      </c>
      <c r="C236" s="117"/>
      <c r="D236" s="117"/>
      <c r="E236" s="29"/>
      <c r="F236" s="28"/>
      <c r="G236" s="28"/>
      <c r="H236" s="30"/>
      <c r="I236" s="31"/>
      <c r="J236" s="26"/>
      <c r="K236" s="26"/>
      <c r="L236" s="26"/>
      <c r="M236" s="26"/>
    </row>
    <row r="237" spans="1:27" ht="15.75">
      <c r="O237" s="107" t="s">
        <v>55</v>
      </c>
      <c r="P237" s="107"/>
      <c r="Q237" s="107"/>
      <c r="R237" s="107"/>
      <c r="S237" s="107"/>
    </row>
    <row r="239" spans="1:27" ht="18" customHeight="1">
      <c r="A239" s="122" t="str">
        <f>A205</f>
        <v xml:space="preserve">DA (38%) Drawn Statement  </v>
      </c>
      <c r="B239" s="122"/>
      <c r="C239" s="122"/>
      <c r="D239" s="122"/>
      <c r="E239" s="122"/>
      <c r="F239" s="122"/>
      <c r="G239" s="122"/>
      <c r="H239" s="122"/>
      <c r="I239" s="122"/>
      <c r="J239" s="122"/>
      <c r="K239" s="122"/>
      <c r="L239" s="122"/>
      <c r="M239" s="122"/>
      <c r="N239" s="122"/>
      <c r="O239" s="122"/>
      <c r="P239" s="122"/>
      <c r="Q239" s="122"/>
      <c r="R239" s="122"/>
      <c r="S239" s="122"/>
      <c r="W239" s="4">
        <f>IF(ISNA(VLOOKUP($Y$3,Master!A$8:N$127,4,FALSE)),"",VLOOKUP($Y$3,Master!A$8:AH$127,4,FALSE))</f>
        <v>3</v>
      </c>
      <c r="X239" s="4" t="str">
        <f>IF(ISNA(VLOOKUP($Y$3,Master!A$8:N$127,6,FALSE)),"",VLOOKUP($Y$3,Master!A$8:AH$127,6,FALSE))</f>
        <v>GPF</v>
      </c>
      <c r="Y239" s="4" t="s">
        <v>58</v>
      </c>
      <c r="Z239" s="4" t="s">
        <v>18</v>
      </c>
      <c r="AA239" s="4" t="str">
        <f>IF(ISNA(VLOOKUP($Y$241,Master!A$8:N$127,7,FALSE)),"",VLOOKUP($Y$241,Master!A$8:AH$127,7,FALSE))</f>
        <v/>
      </c>
    </row>
    <row r="240" spans="1:27" ht="18">
      <c r="A240" s="114" t="str">
        <f>IF(AND(Master!C241=""),"",CONCATENATE("Office Of  ",Master!C241))</f>
        <v/>
      </c>
      <c r="B240" s="114"/>
      <c r="C240" s="114"/>
      <c r="D240" s="114"/>
      <c r="E240" s="114"/>
      <c r="F240" s="114"/>
      <c r="G240" s="114"/>
      <c r="H240" s="114"/>
      <c r="I240" s="114"/>
      <c r="J240" s="114"/>
      <c r="K240" s="114"/>
      <c r="L240" s="114"/>
      <c r="M240" s="114"/>
      <c r="N240" s="114"/>
      <c r="O240" s="114"/>
      <c r="P240" s="114"/>
      <c r="Q240" s="114"/>
      <c r="R240" s="114"/>
      <c r="S240" s="114"/>
      <c r="X240" s="4">
        <f>IF(ISNA(VLOOKUP($Y$3,Master!A$8:N$127,8,FALSE)),"",VLOOKUP($Y$3,Master!A$8:AH$127,8,FALSE))</f>
        <v>44743</v>
      </c>
      <c r="Y240" s="4" t="s">
        <v>56</v>
      </c>
    </row>
    <row r="241" spans="1:25" ht="18.75">
      <c r="E241" s="116" t="s">
        <v>10</v>
      </c>
      <c r="F241" s="116"/>
      <c r="G241" s="116"/>
      <c r="H241" s="116"/>
      <c r="I241" s="116"/>
      <c r="J241" s="115" t="str">
        <f>IF(ISNA(VLOOKUP($Y$241,Master!A$8:N$127,2,FALSE)),"",VLOOKUP($Y$241,Master!A$8:AH$127,2,FALSE))</f>
        <v/>
      </c>
      <c r="K241" s="115"/>
      <c r="L241" s="115"/>
      <c r="M241" s="115"/>
      <c r="N241" s="115"/>
      <c r="O241" s="61" t="s">
        <v>31</v>
      </c>
      <c r="P241" s="115" t="str">
        <f>IF(ISNA(VLOOKUP($Y$241,Master!A$8:N$127,3,FALSE)),"",VLOOKUP($Y$241,Master!A$8:AH$127,3,FALSE))</f>
        <v/>
      </c>
      <c r="Q241" s="115"/>
      <c r="R241" s="115"/>
      <c r="S241" s="115"/>
      <c r="X241" s="62" t="s">
        <v>62</v>
      </c>
      <c r="Y241" s="65" t="str">
        <f>IF(AND(Master!B29="",Master!E29=""),"",22)</f>
        <v/>
      </c>
    </row>
    <row r="242" spans="1:25" ht="8.25" customHeight="1">
      <c r="E242" s="19"/>
      <c r="F242" s="53"/>
      <c r="G242" s="22"/>
      <c r="H242" s="22"/>
      <c r="I242" s="22"/>
      <c r="J242" s="5"/>
      <c r="K242" s="5"/>
      <c r="L242" s="5"/>
      <c r="M242" s="5"/>
      <c r="N242" s="5"/>
      <c r="O242" s="6"/>
      <c r="P242" s="6"/>
    </row>
    <row r="243" spans="1:25" ht="24.75" customHeight="1">
      <c r="A243" s="110" t="s">
        <v>0</v>
      </c>
      <c r="B243" s="111" t="s">
        <v>3</v>
      </c>
      <c r="C243" s="112" t="s">
        <v>5</v>
      </c>
      <c r="D243" s="112"/>
      <c r="E243" s="112"/>
      <c r="F243" s="112"/>
      <c r="G243" s="112" t="s">
        <v>6</v>
      </c>
      <c r="H243" s="112"/>
      <c r="I243" s="112"/>
      <c r="J243" s="112"/>
      <c r="K243" s="112" t="s">
        <v>7</v>
      </c>
      <c r="L243" s="112"/>
      <c r="M243" s="112"/>
      <c r="N243" s="112"/>
      <c r="O243" s="97" t="s">
        <v>8</v>
      </c>
      <c r="P243" s="98"/>
      <c r="Q243" s="99"/>
      <c r="R243" s="105" t="s">
        <v>67</v>
      </c>
      <c r="S243" s="105" t="s">
        <v>50</v>
      </c>
    </row>
    <row r="244" spans="1:25" ht="69" customHeight="1">
      <c r="A244" s="110"/>
      <c r="B244" s="111"/>
      <c r="C244" s="55" t="s">
        <v>29</v>
      </c>
      <c r="D244" s="56" t="s">
        <v>1</v>
      </c>
      <c r="E244" s="57" t="s">
        <v>2</v>
      </c>
      <c r="F244" s="55" t="s">
        <v>59</v>
      </c>
      <c r="G244" s="55" t="s">
        <v>29</v>
      </c>
      <c r="H244" s="56" t="s">
        <v>1</v>
      </c>
      <c r="I244" s="57" t="s">
        <v>2</v>
      </c>
      <c r="J244" s="55" t="s">
        <v>60</v>
      </c>
      <c r="K244" s="55" t="s">
        <v>4</v>
      </c>
      <c r="L244" s="56" t="s">
        <v>1</v>
      </c>
      <c r="M244" s="57" t="s">
        <v>2</v>
      </c>
      <c r="N244" s="58" t="s">
        <v>61</v>
      </c>
      <c r="O244" s="54" t="s">
        <v>83</v>
      </c>
      <c r="P244" s="67" t="s">
        <v>51</v>
      </c>
      <c r="Q244" s="58" t="s">
        <v>66</v>
      </c>
      <c r="R244" s="105"/>
      <c r="S244" s="105"/>
    </row>
    <row r="245" spans="1:25" ht="18" customHeight="1">
      <c r="A245" s="7">
        <v>1</v>
      </c>
      <c r="B245" s="7">
        <v>2</v>
      </c>
      <c r="C245" s="7">
        <v>3</v>
      </c>
      <c r="D245" s="7">
        <v>4</v>
      </c>
      <c r="E245" s="7">
        <v>5</v>
      </c>
      <c r="F245" s="7">
        <v>6</v>
      </c>
      <c r="G245" s="7">
        <v>7</v>
      </c>
      <c r="H245" s="7">
        <v>8</v>
      </c>
      <c r="I245" s="7">
        <v>9</v>
      </c>
      <c r="J245" s="7">
        <v>10</v>
      </c>
      <c r="K245" s="7">
        <v>11</v>
      </c>
      <c r="L245" s="7">
        <v>12</v>
      </c>
      <c r="M245" s="7">
        <v>13</v>
      </c>
      <c r="N245" s="7">
        <v>14</v>
      </c>
      <c r="O245" s="7">
        <v>15</v>
      </c>
      <c r="P245" s="7">
        <v>17</v>
      </c>
      <c r="Q245" s="7">
        <v>18</v>
      </c>
      <c r="R245" s="7">
        <v>19</v>
      </c>
      <c r="S245" s="7">
        <v>20</v>
      </c>
    </row>
    <row r="246" spans="1:25" ht="21" customHeight="1">
      <c r="A246" s="8">
        <v>1</v>
      </c>
      <c r="B246" s="23" t="str">
        <f>IFERROR(IF(ISNA(VLOOKUP(Y241,Master!A$8:N$127,8,FALSE)),"",VLOOKUP($Y241,Master!A$8:AH$127,8,FALSE)),"")</f>
        <v/>
      </c>
      <c r="C246" s="9" t="str">
        <f>IF(ISNA(VLOOKUP(Y241,Master!A$8:N$127,5,FALSE)),"",VLOOKUP($Y$241,Master!A$8:AH$127,5,FALSE))</f>
        <v/>
      </c>
      <c r="D246" s="9" t="str">
        <f>IF(AND(C246=""),"",IF(AND($Y$241=""),"",ROUND(C246*Master!C$5%,0)))</f>
        <v/>
      </c>
      <c r="E246" s="9" t="str">
        <f>IF(AND(C246=""),"",IF(AND($Y$241=""),"",ROUND(C246*Master!H$5%,0)))</f>
        <v/>
      </c>
      <c r="F246" s="9" t="str">
        <f t="shared" ref="F246" si="218">IF(AND(C246=""),"",SUM(C246:E246))</f>
        <v/>
      </c>
      <c r="G246" s="9" t="str">
        <f>IF(ISNA(VLOOKUP($Y$241,Master!A$8:N$127,5,FALSE)),"",VLOOKUP($Y$241,Master!A$8:AH$127,5,FALSE))</f>
        <v/>
      </c>
      <c r="H246" s="9" t="str">
        <f>IF(AND(G246=""),"",IF(AND($Y$241=""),"",ROUND(G246*Master!C$4%,0)))</f>
        <v/>
      </c>
      <c r="I246" s="9" t="str">
        <f>IF(AND(G246=""),"",IF(AND($Y$241=""),"",ROUND(G246*Master!H$4%,0)))</f>
        <v/>
      </c>
      <c r="J246" s="9" t="str">
        <f t="shared" ref="J246:J247" si="219">IF(AND(C246=""),"",SUM(G246:I246))</f>
        <v/>
      </c>
      <c r="K246" s="9" t="str">
        <f t="shared" ref="K246:K248" si="220">IF(AND(C246=""),"",IF(AND(G246=""),"",C246-G246))</f>
        <v/>
      </c>
      <c r="L246" s="9" t="str">
        <f t="shared" ref="L246:L248" si="221">IF(AND(D246=""),"",IF(AND(H246=""),"",D246-H246))</f>
        <v/>
      </c>
      <c r="M246" s="9" t="str">
        <f t="shared" ref="M246:M247" si="222">IF(AND(E246=""),"",IF(AND(I246=""),"",E246-I246))</f>
        <v/>
      </c>
      <c r="N246" s="9" t="str">
        <f t="shared" ref="N246:N247" si="223">IF(AND(F246=""),"",IF(AND(J246=""),"",F246-J246))</f>
        <v/>
      </c>
      <c r="O246" s="9" t="str">
        <f>IF(AND(C246=""),"",N246-P246)</f>
        <v/>
      </c>
      <c r="P246" s="9" t="str">
        <f>IF(AND($Y$241=""),"",IF(AND(N246=""),"",ROUND(N246*AA$239%,0)))</f>
        <v/>
      </c>
      <c r="Q246" s="9" t="str">
        <f>IF(AND($Y$241=""),"",IF(AND(C246=""),"",IF(AND(O246=""),"",SUM(O246,P246))))</f>
        <v/>
      </c>
      <c r="R246" s="9" t="str">
        <f>IF(AND(N246=""),"",IF(AND(Q246=""),"",N246-Q246))</f>
        <v/>
      </c>
      <c r="S246" s="20"/>
    </row>
    <row r="247" spans="1:25" ht="21" customHeight="1">
      <c r="A247" s="8">
        <v>2</v>
      </c>
      <c r="B247" s="23" t="str">
        <f>IFERROR(DATE(YEAR(B246),MONTH(B246)+1,DAY(B246)),"")</f>
        <v/>
      </c>
      <c r="C247" s="9" t="str">
        <f>IF(AND($Y$241=""),"",C246)</f>
        <v/>
      </c>
      <c r="D247" s="9" t="str">
        <f>IF(AND(C247=""),"",IF(AND($Y$241=""),"",ROUND(C247*Master!C$5%,0)))</f>
        <v/>
      </c>
      <c r="E247" s="9" t="str">
        <f>IF(AND(C247=""),"",IF(AND($Y$241=""),"",ROUND(C247*Master!H$5%,0)))</f>
        <v/>
      </c>
      <c r="F247" s="9" t="str">
        <f>IF(AND(C247=""),"",SUM(C247:E247))</f>
        <v/>
      </c>
      <c r="G247" s="9" t="str">
        <f>IF(AND($Y$241=""),"",Arrear!C246)</f>
        <v/>
      </c>
      <c r="H247" s="9" t="str">
        <f>IF(AND(G247=""),"",IF(AND($Y$241=""),"",ROUND(G247*Master!C$4%,0)))</f>
        <v/>
      </c>
      <c r="I247" s="9" t="str">
        <f>IF(AND(G247=""),"",IF(AND($Y$241=""),"",ROUND(G247*Master!H$4%,0)))</f>
        <v/>
      </c>
      <c r="J247" s="9" t="str">
        <f t="shared" si="219"/>
        <v/>
      </c>
      <c r="K247" s="9" t="str">
        <f t="shared" si="220"/>
        <v/>
      </c>
      <c r="L247" s="9" t="str">
        <f t="shared" si="221"/>
        <v/>
      </c>
      <c r="M247" s="9" t="str">
        <f t="shared" si="222"/>
        <v/>
      </c>
      <c r="N247" s="9" t="str">
        <f t="shared" si="223"/>
        <v/>
      </c>
      <c r="O247" s="9" t="str">
        <f t="shared" ref="O247:O248" si="224">IF(AND(C247=""),"",N247-P247)</f>
        <v/>
      </c>
      <c r="P247" s="9" t="str">
        <f t="shared" ref="P247:P248" si="225">IF(AND($Y$241=""),"",IF(AND(N247=""),"",ROUND(N247*AA$239%,0)))</f>
        <v/>
      </c>
      <c r="Q247" s="9" t="str">
        <f>IF(AND($Y$241=""),"",IF(AND(C247=""),"",IF(AND(O247=""),"",SUM(O247,P247))))</f>
        <v/>
      </c>
      <c r="R247" s="9" t="str">
        <f t="shared" ref="R247:R248" si="226">IF(AND(N247=""),"",IF(AND(Q247=""),"",N247-Q247))</f>
        <v/>
      </c>
      <c r="S247" s="20"/>
    </row>
    <row r="248" spans="1:25" ht="21" customHeight="1">
      <c r="A248" s="8">
        <v>3</v>
      </c>
      <c r="B248" s="23" t="str">
        <f>IFERROR(DATE(YEAR(B247),MONTH(B247)+1,DAY(B247)),"")</f>
        <v/>
      </c>
      <c r="C248" s="9" t="str">
        <f>IF(AND($Y$241=""),"",C247)</f>
        <v/>
      </c>
      <c r="D248" s="9" t="str">
        <f>IF(AND(C248=""),"",IF(AND($Y$241=""),"",ROUND(C248*Master!C$5%,0)))</f>
        <v/>
      </c>
      <c r="E248" s="9" t="str">
        <f>IF(AND(C248=""),"",IF(AND($Y$241=""),"",ROUND(C248*Master!H$5%,0)))</f>
        <v/>
      </c>
      <c r="F248" s="9" t="str">
        <f t="shared" ref="F248" si="227">IF(AND(C248=""),"",SUM(C248:E248))</f>
        <v/>
      </c>
      <c r="G248" s="9" t="str">
        <f>IF(AND($Y$241=""),"",Arrear!C247)</f>
        <v/>
      </c>
      <c r="H248" s="9" t="str">
        <f>IF(AND(G248=""),"",IF(AND($Y$241=""),"",ROUND(G248*Master!C$4%,0)))</f>
        <v/>
      </c>
      <c r="I248" s="9" t="str">
        <f>IF(AND(G248=""),"",IF(AND($Y$241=""),"",ROUND(G248*Master!H$4%,0)))</f>
        <v/>
      </c>
      <c r="J248" s="9" t="str">
        <f>IF(AND(C248=""),"",SUM(G248:I248))</f>
        <v/>
      </c>
      <c r="K248" s="9" t="str">
        <f t="shared" si="220"/>
        <v/>
      </c>
      <c r="L248" s="9" t="str">
        <f t="shared" si="221"/>
        <v/>
      </c>
      <c r="M248" s="9" t="str">
        <f>IF(AND(E248=""),"",IF(AND(I248=""),"",E248-I248))</f>
        <v/>
      </c>
      <c r="N248" s="9" t="str">
        <f>IF(AND(F248=""),"",IF(AND(J248=""),"",F248-J248))</f>
        <v/>
      </c>
      <c r="O248" s="9" t="str">
        <f t="shared" si="224"/>
        <v/>
      </c>
      <c r="P248" s="9" t="str">
        <f t="shared" si="225"/>
        <v/>
      </c>
      <c r="Q248" s="9" t="str">
        <f>IF(AND($Y$241=""),"",IF(AND(C248=""),"",IF(AND(O248=""),"",SUM(O248,P248))))</f>
        <v/>
      </c>
      <c r="R248" s="9" t="str">
        <f t="shared" si="226"/>
        <v/>
      </c>
      <c r="S248" s="20"/>
    </row>
    <row r="249" spans="1:25" ht="23.25" customHeight="1">
      <c r="A249" s="108" t="s">
        <v>9</v>
      </c>
      <c r="B249" s="109"/>
      <c r="C249" s="64" t="str">
        <f t="shared" ref="C249:R249" si="228">IF(AND($Y$241=""),"",SUM(C246:C248))</f>
        <v/>
      </c>
      <c r="D249" s="64" t="str">
        <f t="shared" si="228"/>
        <v/>
      </c>
      <c r="E249" s="64" t="str">
        <f t="shared" si="228"/>
        <v/>
      </c>
      <c r="F249" s="64" t="str">
        <f t="shared" si="228"/>
        <v/>
      </c>
      <c r="G249" s="64" t="str">
        <f t="shared" si="228"/>
        <v/>
      </c>
      <c r="H249" s="64" t="str">
        <f t="shared" si="228"/>
        <v/>
      </c>
      <c r="I249" s="64" t="str">
        <f t="shared" si="228"/>
        <v/>
      </c>
      <c r="J249" s="64" t="str">
        <f t="shared" si="228"/>
        <v/>
      </c>
      <c r="K249" s="64" t="str">
        <f t="shared" si="228"/>
        <v/>
      </c>
      <c r="L249" s="64" t="str">
        <f t="shared" si="228"/>
        <v/>
      </c>
      <c r="M249" s="64" t="str">
        <f t="shared" si="228"/>
        <v/>
      </c>
      <c r="N249" s="64" t="str">
        <f t="shared" si="228"/>
        <v/>
      </c>
      <c r="O249" s="64" t="str">
        <f t="shared" si="228"/>
        <v/>
      </c>
      <c r="P249" s="64" t="str">
        <f t="shared" si="228"/>
        <v/>
      </c>
      <c r="Q249" s="64" t="str">
        <f t="shared" si="228"/>
        <v/>
      </c>
      <c r="R249" s="64" t="str">
        <f t="shared" si="228"/>
        <v/>
      </c>
      <c r="S249" s="50"/>
    </row>
    <row r="250" spans="1:25" ht="10.5" customHeight="1">
      <c r="A250" s="75"/>
      <c r="B250" s="75"/>
      <c r="C250" s="76"/>
      <c r="D250" s="76"/>
      <c r="E250" s="76"/>
      <c r="F250" s="76"/>
      <c r="G250" s="76"/>
      <c r="H250" s="76"/>
      <c r="I250" s="76"/>
      <c r="J250" s="76"/>
      <c r="K250" s="76"/>
      <c r="L250" s="76"/>
      <c r="M250" s="76"/>
      <c r="N250" s="76"/>
      <c r="O250" s="76"/>
      <c r="P250" s="76"/>
      <c r="Q250" s="76"/>
      <c r="R250" s="76"/>
      <c r="S250" s="77"/>
    </row>
    <row r="251" spans="1:25" ht="23.25" customHeight="1">
      <c r="E251" s="116" t="s">
        <v>10</v>
      </c>
      <c r="F251" s="116"/>
      <c r="G251" s="116"/>
      <c r="H251" s="116"/>
      <c r="I251" s="116"/>
      <c r="J251" s="115" t="str">
        <f>IF(ISNA(VLOOKUP($Y$253,Master!A$8:N$127,2,FALSE)),"",VLOOKUP($Y$253,Master!A$8:AH$127,2,FALSE))</f>
        <v/>
      </c>
      <c r="K251" s="115"/>
      <c r="L251" s="115"/>
      <c r="M251" s="115"/>
      <c r="N251" s="115"/>
      <c r="O251" s="61" t="s">
        <v>31</v>
      </c>
      <c r="P251" s="115" t="str">
        <f>IF(ISNA(VLOOKUP($Y$253,Master!A$8:N$127,3,FALSE)),"",VLOOKUP($Y$253,Master!A$8:AH$127,3,FALSE))</f>
        <v/>
      </c>
      <c r="Q251" s="115"/>
      <c r="R251" s="115"/>
      <c r="S251" s="115"/>
    </row>
    <row r="252" spans="1:25" ht="9" customHeight="1">
      <c r="E252" s="19"/>
      <c r="F252" s="53"/>
      <c r="G252" s="22"/>
      <c r="H252" s="22"/>
      <c r="I252" s="22"/>
      <c r="J252" s="5"/>
      <c r="K252" s="5"/>
      <c r="L252" s="5"/>
      <c r="M252" s="5"/>
      <c r="N252" s="5"/>
      <c r="O252" s="6"/>
      <c r="P252" s="6"/>
    </row>
    <row r="253" spans="1:25" ht="21" customHeight="1">
      <c r="A253" s="8">
        <v>1</v>
      </c>
      <c r="B253" s="23" t="str">
        <f>IFERROR(IF(ISNA(VLOOKUP(Y253,Master!A$8:N$127,8,FALSE)),"",VLOOKUP($Y253,Master!A$8:AH$127,8,FALSE)),"")</f>
        <v/>
      </c>
      <c r="C253" s="9" t="str">
        <f>IF(ISNA(VLOOKUP($Y$253,Master!A$8:N$127,5,FALSE)),"",VLOOKUP($Y$253,Master!A$8:AH$127,5,FALSE))</f>
        <v/>
      </c>
      <c r="D253" s="9" t="str">
        <f>IF(AND(C253=""),"",IF(AND($Y$253=""),"",ROUND(C253*Master!C$5%,0)))</f>
        <v/>
      </c>
      <c r="E253" s="9" t="str">
        <f>IF(AND(C253=""),"",IF(AND($Y$253=""),"",ROUND(C253*Master!H$5%,0)))</f>
        <v/>
      </c>
      <c r="F253" s="9" t="str">
        <f t="shared" ref="F253:F255" si="229">IF(AND(C253=""),"",SUM(C253:E253))</f>
        <v/>
      </c>
      <c r="G253" s="9" t="str">
        <f>IF(ISNA(VLOOKUP($Y$253,Master!A$8:N$127,5,FALSE)),"",VLOOKUP($Y$253,Master!A$8:AH$127,5,FALSE))</f>
        <v/>
      </c>
      <c r="H253" s="9" t="str">
        <f>IF(AND(G253=""),"",IF(AND($Y$253=""),"",ROUND(G253*Master!C$4%,0)))</f>
        <v/>
      </c>
      <c r="I253" s="9" t="str">
        <f>IF(AND(G253=""),"",IF(AND($Y$253=""),"",ROUND(G253*Master!H$4%,0)))</f>
        <v/>
      </c>
      <c r="J253" s="9" t="str">
        <f t="shared" ref="J253:J255" si="230">IF(AND(C253=""),"",SUM(G253:I253))</f>
        <v/>
      </c>
      <c r="K253" s="9" t="str">
        <f t="shared" ref="K253" si="231">IF(AND(C253=""),"",IF(AND(G253=""),"",C253-G253))</f>
        <v/>
      </c>
      <c r="L253" s="9" t="str">
        <f>IF(AND(D253=""),"",IF(AND(H253=""),"",D253-H253))</f>
        <v/>
      </c>
      <c r="M253" s="9" t="str">
        <f t="shared" ref="M253:M255" si="232">IF(AND(E253=""),"",IF(AND(I253=""),"",E253-I253))</f>
        <v/>
      </c>
      <c r="N253" s="9" t="str">
        <f t="shared" ref="N253:N255" si="233">IF(AND(F253=""),"",IF(AND(J253=""),"",F253-J253))</f>
        <v/>
      </c>
      <c r="O253" s="9" t="str">
        <f>IF(AND(C253=""),"",N253-P253)</f>
        <v/>
      </c>
      <c r="P253" s="9" t="str">
        <f>IF(AND($Y$253=""),"",IF(AND(N253=""),"",ROUND(N253*$X$254%,0)))</f>
        <v/>
      </c>
      <c r="Q253" s="9" t="str">
        <f>IF(AND($Y$253=""),"",IF(AND(C253=""),"",IF(AND(O253=""),"",SUM(O253,P253))))</f>
        <v/>
      </c>
      <c r="R253" s="9" t="str">
        <f>IF(AND(N253=""),"",IF(AND(Q253=""),"",N253-Q253))</f>
        <v/>
      </c>
      <c r="S253" s="20"/>
      <c r="X253" s="62" t="s">
        <v>62</v>
      </c>
      <c r="Y253" s="65" t="str">
        <f>IF(AND(Master!B30="",Master!E30=""),"",23)</f>
        <v/>
      </c>
    </row>
    <row r="254" spans="1:25" ht="21" customHeight="1">
      <c r="A254" s="8">
        <v>2</v>
      </c>
      <c r="B254" s="23" t="str">
        <f>IFERROR(DATE(YEAR(B253),MONTH(B253)+1,DAY(B253)),"")</f>
        <v/>
      </c>
      <c r="C254" s="9" t="str">
        <f>IF(AND($Y$253=""),"",C253)</f>
        <v/>
      </c>
      <c r="D254" s="9" t="str">
        <f>IF(AND(C254=""),"",IF(AND($Y$253=""),"",ROUND(C254*Master!C$5%,0)))</f>
        <v/>
      </c>
      <c r="E254" s="9" t="str">
        <f>IF(AND(C254=""),"",IF(AND($Y$253=""),"",ROUND(C254*Master!H$5%,0)))</f>
        <v/>
      </c>
      <c r="F254" s="9" t="str">
        <f t="shared" si="229"/>
        <v/>
      </c>
      <c r="G254" s="9" t="str">
        <f>IF(AND($Y$253=""),"",G253)</f>
        <v/>
      </c>
      <c r="H254" s="9" t="str">
        <f>IF(AND(G254=""),"",IF(AND($Y$253=""),"",ROUND(G254*Master!C$4%,0)))</f>
        <v/>
      </c>
      <c r="I254" s="9" t="str">
        <f>IF(AND(G254=""),"",IF(AND($Y$253=""),"",ROUND(G254*Master!H$4%,0)))</f>
        <v/>
      </c>
      <c r="J254" s="9" t="str">
        <f t="shared" si="230"/>
        <v/>
      </c>
      <c r="K254" s="9" t="str">
        <f>IF(AND(C254=""),"",IF(AND(G254=""),"",C254-G254))</f>
        <v/>
      </c>
      <c r="L254" s="9" t="str">
        <f t="shared" ref="L254:L255" si="234">IF(AND(D254=""),"",IF(AND(H254=""),"",D254-H254))</f>
        <v/>
      </c>
      <c r="M254" s="9" t="str">
        <f t="shared" si="232"/>
        <v/>
      </c>
      <c r="N254" s="9" t="str">
        <f t="shared" si="233"/>
        <v/>
      </c>
      <c r="O254" s="9" t="str">
        <f t="shared" ref="O254:O255" si="235">IF(AND(C254=""),"",N254-P254)</f>
        <v/>
      </c>
      <c r="P254" s="9" t="str">
        <f t="shared" ref="P254:P255" si="236">IF(AND($Y$253=""),"",IF(AND(N254=""),"",ROUND(N254*$X$254%,0)))</f>
        <v/>
      </c>
      <c r="Q254" s="9" t="str">
        <f>IF(AND($Y$253=""),"",IF(AND(C254=""),"",IF(AND(O254=""),"",SUM(O254,P254))))</f>
        <v/>
      </c>
      <c r="R254" s="9" t="str">
        <f t="shared" ref="R254:R255" si="237">IF(AND(N254=""),"",IF(AND(Q254=""),"",N254-Q254))</f>
        <v/>
      </c>
      <c r="S254" s="20"/>
      <c r="X254" s="4" t="str">
        <f>IF(ISNA(VLOOKUP($Y$253,Master!A$8:N$127,7,FALSE)),"",VLOOKUP($Y$253,Master!A$8:AH$127,7,FALSE))</f>
        <v/>
      </c>
    </row>
    <row r="255" spans="1:25" ht="21" customHeight="1">
      <c r="A255" s="8">
        <v>3</v>
      </c>
      <c r="B255" s="23" t="str">
        <f>IFERROR(DATE(YEAR(B254),MONTH(B254)+1,DAY(B254)),"")</f>
        <v/>
      </c>
      <c r="C255" s="9" t="str">
        <f>IF(AND($Y$253=""),"",C254)</f>
        <v/>
      </c>
      <c r="D255" s="9" t="str">
        <f>IF(AND(C255=""),"",IF(AND($Y$253=""),"",ROUND(C255*Master!C$5%,0)))</f>
        <v/>
      </c>
      <c r="E255" s="9" t="str">
        <f>IF(AND(C255=""),"",IF(AND($Y$253=""),"",ROUND(C255*Master!H$5%,0)))</f>
        <v/>
      </c>
      <c r="F255" s="9" t="str">
        <f t="shared" si="229"/>
        <v/>
      </c>
      <c r="G255" s="9" t="str">
        <f>IF(AND($Y$253=""),"",G254)</f>
        <v/>
      </c>
      <c r="H255" s="9" t="str">
        <f>IF(AND(G255=""),"",IF(AND($Y$253=""),"",ROUND(G255*Master!C$4%,0)))</f>
        <v/>
      </c>
      <c r="I255" s="9" t="str">
        <f>IF(AND(G255=""),"",IF(AND($Y$253=""),"",ROUND(G255*Master!H$4%,0)))</f>
        <v/>
      </c>
      <c r="J255" s="9" t="str">
        <f t="shared" si="230"/>
        <v/>
      </c>
      <c r="K255" s="9" t="str">
        <f t="shared" ref="K255" si="238">IF(AND(C255=""),"",IF(AND(G255=""),"",C255-G255))</f>
        <v/>
      </c>
      <c r="L255" s="9" t="str">
        <f t="shared" si="234"/>
        <v/>
      </c>
      <c r="M255" s="9" t="str">
        <f t="shared" si="232"/>
        <v/>
      </c>
      <c r="N255" s="9" t="str">
        <f t="shared" si="233"/>
        <v/>
      </c>
      <c r="O255" s="9" t="str">
        <f t="shared" si="235"/>
        <v/>
      </c>
      <c r="P255" s="9" t="str">
        <f t="shared" si="236"/>
        <v/>
      </c>
      <c r="Q255" s="9" t="str">
        <f>IF(AND($Y$253=""),"",IF(AND(C255=""),"",IF(AND(O255=""),"",SUM(O255,P255))))</f>
        <v/>
      </c>
      <c r="R255" s="9" t="str">
        <f t="shared" si="237"/>
        <v/>
      </c>
      <c r="S255" s="20"/>
    </row>
    <row r="256" spans="1:25" ht="30.75" customHeight="1">
      <c r="A256" s="108" t="s">
        <v>9</v>
      </c>
      <c r="B256" s="109"/>
      <c r="C256" s="64" t="str">
        <f t="shared" ref="C256:R256" si="239">IF(AND($Y$253=""),"",SUM(C253:C255))</f>
        <v/>
      </c>
      <c r="D256" s="64" t="str">
        <f t="shared" si="239"/>
        <v/>
      </c>
      <c r="E256" s="64" t="str">
        <f t="shared" si="239"/>
        <v/>
      </c>
      <c r="F256" s="64" t="str">
        <f t="shared" si="239"/>
        <v/>
      </c>
      <c r="G256" s="64" t="str">
        <f t="shared" si="239"/>
        <v/>
      </c>
      <c r="H256" s="64" t="str">
        <f t="shared" si="239"/>
        <v/>
      </c>
      <c r="I256" s="64" t="str">
        <f t="shared" si="239"/>
        <v/>
      </c>
      <c r="J256" s="64" t="str">
        <f t="shared" si="239"/>
        <v/>
      </c>
      <c r="K256" s="64" t="str">
        <f t="shared" si="239"/>
        <v/>
      </c>
      <c r="L256" s="64" t="str">
        <f t="shared" si="239"/>
        <v/>
      </c>
      <c r="M256" s="64" t="str">
        <f t="shared" si="239"/>
        <v/>
      </c>
      <c r="N256" s="64" t="str">
        <f t="shared" si="239"/>
        <v/>
      </c>
      <c r="O256" s="64" t="str">
        <f t="shared" si="239"/>
        <v/>
      </c>
      <c r="P256" s="64" t="str">
        <f t="shared" si="239"/>
        <v/>
      </c>
      <c r="Q256" s="64" t="str">
        <f t="shared" si="239"/>
        <v/>
      </c>
      <c r="R256" s="64" t="str">
        <f t="shared" si="239"/>
        <v/>
      </c>
      <c r="S256" s="50"/>
    </row>
    <row r="257" spans="1:25" ht="11.25" customHeight="1">
      <c r="A257" s="75"/>
      <c r="B257" s="75"/>
      <c r="C257" s="76"/>
      <c r="D257" s="76"/>
      <c r="E257" s="76"/>
      <c r="F257" s="76"/>
      <c r="G257" s="76"/>
      <c r="H257" s="76"/>
      <c r="I257" s="76"/>
      <c r="J257" s="76"/>
      <c r="K257" s="76"/>
      <c r="L257" s="76"/>
      <c r="M257" s="76"/>
      <c r="N257" s="76"/>
      <c r="O257" s="76"/>
      <c r="P257" s="76"/>
      <c r="Q257" s="76"/>
      <c r="R257" s="76"/>
      <c r="S257" s="77"/>
    </row>
    <row r="258" spans="1:25" ht="23.25" customHeight="1">
      <c r="E258" s="116" t="s">
        <v>10</v>
      </c>
      <c r="F258" s="116"/>
      <c r="G258" s="116"/>
      <c r="H258" s="116"/>
      <c r="I258" s="116"/>
      <c r="J258" s="115" t="str">
        <f>IF(ISNA(VLOOKUP($Y$260,Master!A$8:N$127,2,FALSE)),"",VLOOKUP($Y$260,Master!A$8:AH$127,2,FALSE))</f>
        <v/>
      </c>
      <c r="K258" s="115"/>
      <c r="L258" s="115"/>
      <c r="M258" s="115"/>
      <c r="N258" s="115"/>
      <c r="O258" s="61" t="s">
        <v>31</v>
      </c>
      <c r="P258" s="115" t="str">
        <f>IF(ISNA(VLOOKUP($Y$260,Master!A$8:N$127,3,FALSE)),"",VLOOKUP($Y$260,Master!A$8:AH$127,3,FALSE))</f>
        <v/>
      </c>
      <c r="Q258" s="115"/>
      <c r="R258" s="115"/>
      <c r="S258" s="115"/>
    </row>
    <row r="259" spans="1:25" ht="9" customHeight="1">
      <c r="E259" s="19"/>
      <c r="F259" s="53"/>
      <c r="G259" s="22"/>
      <c r="H259" s="22"/>
      <c r="I259" s="22"/>
      <c r="J259" s="5"/>
      <c r="K259" s="5"/>
      <c r="L259" s="5"/>
      <c r="M259" s="5"/>
      <c r="N259" s="5"/>
      <c r="O259" s="6"/>
      <c r="P259" s="6"/>
    </row>
    <row r="260" spans="1:25" ht="21" customHeight="1">
      <c r="A260" s="8">
        <v>1</v>
      </c>
      <c r="B260" s="23" t="str">
        <f>IFERROR(IF(ISNA(VLOOKUP(Y260,Master!A$8:N$127,8,FALSE)),"",VLOOKUP($Y260,Master!A$8:AH$127,8,FALSE)),"")</f>
        <v/>
      </c>
      <c r="C260" s="9" t="str">
        <f>IF(ISNA(VLOOKUP($Y$260,Master!A$8:N$127,5,FALSE)),"",VLOOKUP($Y$260,Master!A$8:AH$127,5,FALSE))</f>
        <v/>
      </c>
      <c r="D260" s="9" t="str">
        <f>IF(AND(C260=""),"",IF(AND($Y$260=""),"",ROUND(C260*Master!C$5%,0)))</f>
        <v/>
      </c>
      <c r="E260" s="9" t="str">
        <f>IF(AND(C260=""),"",IF(AND($Y$260=""),"",ROUND(C260*Master!H$5%,0)))</f>
        <v/>
      </c>
      <c r="F260" s="9" t="str">
        <f t="shared" ref="F260:F262" si="240">IF(AND(C260=""),"",SUM(C260:E260))</f>
        <v/>
      </c>
      <c r="G260" s="9" t="str">
        <f>IF(ISNA(VLOOKUP($Y$260,Master!A$8:N$127,5,FALSE)),"",VLOOKUP($Y$260,Master!A$8:AH$127,5,FALSE))</f>
        <v/>
      </c>
      <c r="H260" s="9" t="str">
        <f>IF(AND(G260=""),"",IF(AND($Y$260=""),"",ROUND(G260*Master!C$4%,0)))</f>
        <v/>
      </c>
      <c r="I260" s="9" t="str">
        <f>IF(AND(G260=""),"",IF(AND($Y$260=""),"",ROUND(G260*Master!H$4%,0)))</f>
        <v/>
      </c>
      <c r="J260" s="9" t="str">
        <f t="shared" ref="J260:J262" si="241">IF(AND(C260=""),"",SUM(G260:I260))</f>
        <v/>
      </c>
      <c r="K260" s="9" t="str">
        <f t="shared" ref="K260:K262" si="242">IF(AND(C260=""),"",IF(AND(G260=""),"",C260-G260))</f>
        <v/>
      </c>
      <c r="L260" s="9" t="str">
        <f t="shared" ref="L260:L262" si="243">IF(AND(D260=""),"",IF(AND(H260=""),"",D260-H260))</f>
        <v/>
      </c>
      <c r="M260" s="9" t="str">
        <f t="shared" ref="M260:M262" si="244">IF(AND(E260=""),"",IF(AND(I260=""),"",E260-I260))</f>
        <v/>
      </c>
      <c r="N260" s="9" t="str">
        <f t="shared" ref="N260:N262" si="245">IF(AND(F260=""),"",IF(AND(J260=""),"",F260-J260))</f>
        <v/>
      </c>
      <c r="O260" s="9" t="str">
        <f>IF(AND(C260=""),"",N260-P260)</f>
        <v/>
      </c>
      <c r="P260" s="9" t="str">
        <f>IF(AND($Y$260=""),"",IF(AND(N260=""),"",ROUND(N260*$X$261%,0)))</f>
        <v/>
      </c>
      <c r="Q260" s="9" t="str">
        <f>IF(AND($Y$260=""),"",IF(AND(C260=""),"",IF(AND(O260=""),"",SUM(O260,P260))))</f>
        <v/>
      </c>
      <c r="R260" s="9" t="str">
        <f>IF(AND(N260=""),"",IF(AND(Q260=""),"",N260-Q260))</f>
        <v/>
      </c>
      <c r="S260" s="20"/>
      <c r="X260" s="62" t="s">
        <v>62</v>
      </c>
      <c r="Y260" s="65" t="str">
        <f>IF(AND(Master!B31="",Master!E31=""),"",24)</f>
        <v/>
      </c>
    </row>
    <row r="261" spans="1:25" ht="21" customHeight="1">
      <c r="A261" s="8">
        <v>2</v>
      </c>
      <c r="B261" s="23" t="str">
        <f>IFERROR(DATE(YEAR(B260),MONTH(B260)+1,DAY(B260)),"")</f>
        <v/>
      </c>
      <c r="C261" s="9" t="str">
        <f>IF(AND($Y$260=""),"",C260)</f>
        <v/>
      </c>
      <c r="D261" s="9" t="str">
        <f>IF(AND(C261=""),"",IF(AND($Y$260=""),"",ROUND(C261*Master!C$5%,0)))</f>
        <v/>
      </c>
      <c r="E261" s="9" t="str">
        <f>IF(AND(C261=""),"",IF(AND($Y$260=""),"",ROUND(C261*Master!H$5%,0)))</f>
        <v/>
      </c>
      <c r="F261" s="9" t="str">
        <f t="shared" si="240"/>
        <v/>
      </c>
      <c r="G261" s="9" t="str">
        <f>IF(AND($Y$260=""),"",G260)</f>
        <v/>
      </c>
      <c r="H261" s="9" t="str">
        <f>IF(AND(G261=""),"",IF(AND($Y$260=""),"",ROUND(G261*Master!C$4%,0)))</f>
        <v/>
      </c>
      <c r="I261" s="9" t="str">
        <f>IF(AND(G261=""),"",IF(AND($Y$260=""),"",ROUND(G261*Master!H$4%,0)))</f>
        <v/>
      </c>
      <c r="J261" s="9" t="str">
        <f t="shared" si="241"/>
        <v/>
      </c>
      <c r="K261" s="9" t="str">
        <f t="shared" si="242"/>
        <v/>
      </c>
      <c r="L261" s="9" t="str">
        <f t="shared" si="243"/>
        <v/>
      </c>
      <c r="M261" s="9" t="str">
        <f t="shared" si="244"/>
        <v/>
      </c>
      <c r="N261" s="9" t="str">
        <f t="shared" si="245"/>
        <v/>
      </c>
      <c r="O261" s="9" t="str">
        <f t="shared" ref="O261:O262" si="246">IF(AND(C261=""),"",N261-P261)</f>
        <v/>
      </c>
      <c r="P261" s="9" t="str">
        <f t="shared" ref="P261:P262" si="247">IF(AND($Y$260=""),"",IF(AND(N261=""),"",ROUND(N261*$X$261%,0)))</f>
        <v/>
      </c>
      <c r="Q261" s="9" t="str">
        <f>IF(AND($Y$260=""),"",IF(AND(C261=""),"",IF(AND(O261=""),"",SUM(O261,P261))))</f>
        <v/>
      </c>
      <c r="R261" s="9" t="str">
        <f t="shared" ref="R261:R262" si="248">IF(AND(N261=""),"",IF(AND(Q261=""),"",N261-Q261))</f>
        <v/>
      </c>
      <c r="S261" s="20"/>
      <c r="X261" s="4" t="str">
        <f>IF(ISNA(VLOOKUP($Y$260,Master!A$8:N$127,7,FALSE)),"",VLOOKUP($Y$260,Master!A$8:AH$127,7,FALSE))</f>
        <v/>
      </c>
    </row>
    <row r="262" spans="1:25" ht="21" customHeight="1">
      <c r="A262" s="8">
        <v>3</v>
      </c>
      <c r="B262" s="23" t="str">
        <f>IFERROR(DATE(YEAR(B261),MONTH(B261)+1,DAY(B261)),"")</f>
        <v/>
      </c>
      <c r="C262" s="9" t="str">
        <f>IF(AND($Y$260=""),"",C261)</f>
        <v/>
      </c>
      <c r="D262" s="9" t="str">
        <f>IF(AND(C262=""),"",IF(AND($Y$260=""),"",ROUND(C262*Master!C$5%,0)))</f>
        <v/>
      </c>
      <c r="E262" s="9" t="str">
        <f>IF(AND(C262=""),"",IF(AND($Y$260=""),"",ROUND(C262*Master!H$5%,0)))</f>
        <v/>
      </c>
      <c r="F262" s="9" t="str">
        <f t="shared" si="240"/>
        <v/>
      </c>
      <c r="G262" s="9" t="str">
        <f>IF(AND($Y$260=""),"",G261)</f>
        <v/>
      </c>
      <c r="H262" s="9" t="str">
        <f>IF(AND(G262=""),"",IF(AND($Y$260=""),"",ROUND(G262*Master!C$4%,0)))</f>
        <v/>
      </c>
      <c r="I262" s="9" t="str">
        <f>IF(AND(G262=""),"",IF(AND($Y$260=""),"",ROUND(G262*Master!H$4%,0)))</f>
        <v/>
      </c>
      <c r="J262" s="9" t="str">
        <f t="shared" si="241"/>
        <v/>
      </c>
      <c r="K262" s="9" t="str">
        <f t="shared" si="242"/>
        <v/>
      </c>
      <c r="L262" s="9" t="str">
        <f t="shared" si="243"/>
        <v/>
      </c>
      <c r="M262" s="9" t="str">
        <f t="shared" si="244"/>
        <v/>
      </c>
      <c r="N262" s="9" t="str">
        <f t="shared" si="245"/>
        <v/>
      </c>
      <c r="O262" s="9" t="str">
        <f t="shared" si="246"/>
        <v/>
      </c>
      <c r="P262" s="9" t="str">
        <f t="shared" si="247"/>
        <v/>
      </c>
      <c r="Q262" s="9" t="str">
        <f>IF(AND($Y$260=""),"",IF(AND(C262=""),"",IF(AND(O262=""),"",SUM(O262,P262))))</f>
        <v/>
      </c>
      <c r="R262" s="9" t="str">
        <f t="shared" si="248"/>
        <v/>
      </c>
      <c r="S262" s="20"/>
    </row>
    <row r="263" spans="1:25" ht="30.75" customHeight="1">
      <c r="A263" s="108" t="s">
        <v>9</v>
      </c>
      <c r="B263" s="109"/>
      <c r="C263" s="64" t="str">
        <f t="shared" ref="C263:R263" si="249">IF(AND($Y$260=""),"",SUM(C260:C262))</f>
        <v/>
      </c>
      <c r="D263" s="64" t="str">
        <f t="shared" si="249"/>
        <v/>
      </c>
      <c r="E263" s="64" t="str">
        <f t="shared" si="249"/>
        <v/>
      </c>
      <c r="F263" s="64" t="str">
        <f t="shared" si="249"/>
        <v/>
      </c>
      <c r="G263" s="64" t="str">
        <f t="shared" si="249"/>
        <v/>
      </c>
      <c r="H263" s="64" t="str">
        <f t="shared" si="249"/>
        <v/>
      </c>
      <c r="I263" s="64" t="str">
        <f t="shared" si="249"/>
        <v/>
      </c>
      <c r="J263" s="64" t="str">
        <f t="shared" si="249"/>
        <v/>
      </c>
      <c r="K263" s="64" t="str">
        <f t="shared" si="249"/>
        <v/>
      </c>
      <c r="L263" s="64" t="str">
        <f t="shared" si="249"/>
        <v/>
      </c>
      <c r="M263" s="64" t="str">
        <f t="shared" si="249"/>
        <v/>
      </c>
      <c r="N263" s="64" t="str">
        <f t="shared" si="249"/>
        <v/>
      </c>
      <c r="O263" s="64" t="str">
        <f t="shared" si="249"/>
        <v/>
      </c>
      <c r="P263" s="64" t="str">
        <f t="shared" si="249"/>
        <v/>
      </c>
      <c r="Q263" s="64" t="str">
        <f t="shared" si="249"/>
        <v/>
      </c>
      <c r="R263" s="64" t="str">
        <f t="shared" si="249"/>
        <v/>
      </c>
      <c r="S263" s="50"/>
    </row>
    <row r="264" spans="1:25" ht="30.75" customHeight="1">
      <c r="A264" s="75"/>
      <c r="B264" s="75"/>
      <c r="C264" s="76"/>
      <c r="D264" s="76"/>
      <c r="E264" s="76"/>
      <c r="F264" s="76"/>
      <c r="G264" s="76"/>
      <c r="H264" s="76"/>
      <c r="I264" s="76"/>
      <c r="J264" s="76"/>
      <c r="K264" s="76"/>
      <c r="L264" s="76"/>
      <c r="M264" s="76"/>
      <c r="N264" s="76"/>
      <c r="O264" s="76"/>
      <c r="P264" s="76"/>
      <c r="Q264" s="76"/>
      <c r="R264" s="76"/>
      <c r="S264" s="77"/>
    </row>
    <row r="265" spans="1:25" ht="18.75">
      <c r="A265" s="21"/>
      <c r="B265" s="59"/>
      <c r="C265" s="59"/>
      <c r="D265" s="59"/>
      <c r="E265" s="59"/>
      <c r="F265" s="59"/>
      <c r="G265" s="59"/>
      <c r="H265" s="60"/>
      <c r="I265" s="60"/>
      <c r="J265" s="60"/>
      <c r="K265" s="68"/>
      <c r="L265" s="68"/>
      <c r="M265" s="68"/>
      <c r="N265" s="68"/>
      <c r="O265" s="107" t="s">
        <v>55</v>
      </c>
      <c r="P265" s="107"/>
      <c r="Q265" s="107"/>
      <c r="R265" s="107"/>
      <c r="S265" s="107"/>
    </row>
    <row r="266" spans="1:25" ht="18.75">
      <c r="A266" s="1"/>
      <c r="B266" s="24" t="s">
        <v>19</v>
      </c>
      <c r="C266" s="118"/>
      <c r="D266" s="118"/>
      <c r="E266" s="118"/>
      <c r="F266" s="118"/>
      <c r="G266" s="118"/>
      <c r="H266" s="25"/>
      <c r="I266" s="121" t="s">
        <v>20</v>
      </c>
      <c r="J266" s="121"/>
      <c r="K266" s="120"/>
      <c r="L266" s="120"/>
      <c r="M266" s="120"/>
      <c r="O266" s="107"/>
      <c r="P266" s="107"/>
      <c r="Q266" s="107"/>
      <c r="R266" s="107"/>
      <c r="S266" s="107"/>
    </row>
    <row r="267" spans="1:25" ht="18.75">
      <c r="A267" s="1"/>
      <c r="B267" s="119" t="s">
        <v>21</v>
      </c>
      <c r="C267" s="119"/>
      <c r="D267" s="119"/>
      <c r="E267" s="119"/>
      <c r="F267" s="119"/>
      <c r="G267" s="119"/>
      <c r="H267" s="119"/>
      <c r="I267" s="27"/>
      <c r="J267" s="26"/>
      <c r="K267" s="26"/>
      <c r="L267" s="26"/>
      <c r="M267" s="26"/>
    </row>
    <row r="268" spans="1:25" ht="18.75">
      <c r="A268" s="22">
        <v>1</v>
      </c>
      <c r="B268" s="117" t="s">
        <v>22</v>
      </c>
      <c r="C268" s="117"/>
      <c r="D268" s="117"/>
      <c r="E268" s="117"/>
      <c r="F268" s="117"/>
      <c r="G268" s="117"/>
      <c r="H268" s="117"/>
      <c r="I268" s="28"/>
      <c r="J268" s="26"/>
      <c r="K268" s="26"/>
      <c r="L268" s="26"/>
      <c r="M268" s="26"/>
    </row>
    <row r="269" spans="1:25" ht="18.75">
      <c r="A269" s="2">
        <v>2</v>
      </c>
      <c r="B269" s="117" t="s">
        <v>23</v>
      </c>
      <c r="C269" s="117"/>
      <c r="D269" s="117"/>
      <c r="E269" s="117"/>
      <c r="F269" s="117"/>
      <c r="G269" s="115"/>
      <c r="H269" s="115"/>
      <c r="I269" s="115"/>
      <c r="J269" s="115"/>
      <c r="K269" s="115"/>
      <c r="L269" s="115"/>
      <c r="M269" s="115"/>
    </row>
    <row r="270" spans="1:25" ht="18.75">
      <c r="A270" s="3">
        <v>3</v>
      </c>
      <c r="B270" s="117" t="s">
        <v>24</v>
      </c>
      <c r="C270" s="117"/>
      <c r="D270" s="117"/>
      <c r="E270" s="29"/>
      <c r="F270" s="28"/>
      <c r="G270" s="28"/>
      <c r="H270" s="30"/>
      <c r="I270" s="31"/>
      <c r="J270" s="26"/>
      <c r="K270" s="26"/>
      <c r="L270" s="26"/>
      <c r="M270" s="26"/>
    </row>
    <row r="271" spans="1:25" ht="15.75">
      <c r="O271" s="107" t="s">
        <v>55</v>
      </c>
      <c r="P271" s="107"/>
      <c r="Q271" s="107"/>
      <c r="R271" s="107"/>
      <c r="S271" s="107"/>
    </row>
    <row r="273" spans="1:27" ht="18" customHeight="1">
      <c r="A273" s="122" t="str">
        <f>A239</f>
        <v xml:space="preserve">DA (38%) Drawn Statement  </v>
      </c>
      <c r="B273" s="122"/>
      <c r="C273" s="122"/>
      <c r="D273" s="122"/>
      <c r="E273" s="122"/>
      <c r="F273" s="122"/>
      <c r="G273" s="122"/>
      <c r="H273" s="122"/>
      <c r="I273" s="122"/>
      <c r="J273" s="122"/>
      <c r="K273" s="122"/>
      <c r="L273" s="122"/>
      <c r="M273" s="122"/>
      <c r="N273" s="122"/>
      <c r="O273" s="122"/>
      <c r="P273" s="122"/>
      <c r="Q273" s="122"/>
      <c r="R273" s="122"/>
      <c r="S273" s="122"/>
      <c r="W273" s="4">
        <f>IF(ISNA(VLOOKUP($Y$3,Master!A$8:N$127,4,FALSE)),"",VLOOKUP($Y$3,Master!A$8:AH$127,4,FALSE))</f>
        <v>3</v>
      </c>
      <c r="X273" s="4" t="str">
        <f>IF(ISNA(VLOOKUP($Y$3,Master!A$8:N$127,6,FALSE)),"",VLOOKUP($Y$3,Master!A$8:AH$127,6,FALSE))</f>
        <v>GPF</v>
      </c>
      <c r="Y273" s="4" t="s">
        <v>58</v>
      </c>
      <c r="Z273" s="4" t="s">
        <v>18</v>
      </c>
      <c r="AA273" s="4" t="str">
        <f>IF(ISNA(VLOOKUP($Y$275,Master!A$8:N$127,7,FALSE)),"",VLOOKUP($Y$275,Master!A$8:AH$127,7,FALSE))</f>
        <v/>
      </c>
    </row>
    <row r="274" spans="1:27" ht="18">
      <c r="A274" s="114" t="str">
        <f>IF(AND(Master!C275=""),"",CONCATENATE("Office Of  ",Master!C275))</f>
        <v/>
      </c>
      <c r="B274" s="114"/>
      <c r="C274" s="114"/>
      <c r="D274" s="114"/>
      <c r="E274" s="114"/>
      <c r="F274" s="114"/>
      <c r="G274" s="114"/>
      <c r="H274" s="114"/>
      <c r="I274" s="114"/>
      <c r="J274" s="114"/>
      <c r="K274" s="114"/>
      <c r="L274" s="114"/>
      <c r="M274" s="114"/>
      <c r="N274" s="114"/>
      <c r="O274" s="114"/>
      <c r="P274" s="114"/>
      <c r="Q274" s="114"/>
      <c r="R274" s="114"/>
      <c r="S274" s="114"/>
      <c r="X274" s="4">
        <f>IF(ISNA(VLOOKUP($Y$3,Master!A$8:N$127,8,FALSE)),"",VLOOKUP($Y$3,Master!A$8:AH$127,8,FALSE))</f>
        <v>44743</v>
      </c>
      <c r="Y274" s="4" t="s">
        <v>56</v>
      </c>
    </row>
    <row r="275" spans="1:27" ht="18.75">
      <c r="E275" s="116" t="s">
        <v>10</v>
      </c>
      <c r="F275" s="116"/>
      <c r="G275" s="116"/>
      <c r="H275" s="116"/>
      <c r="I275" s="116"/>
      <c r="J275" s="115" t="str">
        <f>IF(ISNA(VLOOKUP($Y$275,Master!A$8:N$127,2,FALSE)),"",VLOOKUP($Y$275,Master!A$8:AH$127,2,FALSE))</f>
        <v/>
      </c>
      <c r="K275" s="115"/>
      <c r="L275" s="115"/>
      <c r="M275" s="115"/>
      <c r="N275" s="115"/>
      <c r="O275" s="61" t="s">
        <v>31</v>
      </c>
      <c r="P275" s="115" t="str">
        <f>IF(ISNA(VLOOKUP($Y$275,Master!A$8:N$127,3,FALSE)),"",VLOOKUP($Y$275,Master!A$8:AH$127,3,FALSE))</f>
        <v/>
      </c>
      <c r="Q275" s="115"/>
      <c r="R275" s="115"/>
      <c r="S275" s="115"/>
      <c r="X275" s="62" t="s">
        <v>62</v>
      </c>
      <c r="Y275" s="65">
        <v>25</v>
      </c>
    </row>
    <row r="276" spans="1:27" ht="8.25" customHeight="1">
      <c r="E276" s="19"/>
      <c r="F276" s="53"/>
      <c r="G276" s="22"/>
      <c r="H276" s="22"/>
      <c r="I276" s="22"/>
      <c r="J276" s="5"/>
      <c r="K276" s="5"/>
      <c r="L276" s="5"/>
      <c r="M276" s="5"/>
      <c r="N276" s="5"/>
      <c r="O276" s="6"/>
      <c r="P276" s="6"/>
    </row>
    <row r="277" spans="1:27" ht="24.75" customHeight="1">
      <c r="A277" s="110" t="s">
        <v>0</v>
      </c>
      <c r="B277" s="111" t="s">
        <v>3</v>
      </c>
      <c r="C277" s="112" t="s">
        <v>5</v>
      </c>
      <c r="D277" s="112"/>
      <c r="E277" s="112"/>
      <c r="F277" s="112"/>
      <c r="G277" s="112" t="s">
        <v>6</v>
      </c>
      <c r="H277" s="112"/>
      <c r="I277" s="112"/>
      <c r="J277" s="112"/>
      <c r="K277" s="112" t="s">
        <v>7</v>
      </c>
      <c r="L277" s="112"/>
      <c r="M277" s="112"/>
      <c r="N277" s="112"/>
      <c r="O277" s="97" t="s">
        <v>8</v>
      </c>
      <c r="P277" s="98"/>
      <c r="Q277" s="99"/>
      <c r="R277" s="105" t="s">
        <v>67</v>
      </c>
      <c r="S277" s="105" t="s">
        <v>50</v>
      </c>
    </row>
    <row r="278" spans="1:27" ht="69" customHeight="1">
      <c r="A278" s="110"/>
      <c r="B278" s="111"/>
      <c r="C278" s="55" t="s">
        <v>29</v>
      </c>
      <c r="D278" s="56" t="s">
        <v>1</v>
      </c>
      <c r="E278" s="57" t="s">
        <v>2</v>
      </c>
      <c r="F278" s="55" t="s">
        <v>59</v>
      </c>
      <c r="G278" s="55" t="s">
        <v>29</v>
      </c>
      <c r="H278" s="56" t="s">
        <v>1</v>
      </c>
      <c r="I278" s="57" t="s">
        <v>2</v>
      </c>
      <c r="J278" s="55" t="s">
        <v>60</v>
      </c>
      <c r="K278" s="55" t="s">
        <v>4</v>
      </c>
      <c r="L278" s="56" t="s">
        <v>1</v>
      </c>
      <c r="M278" s="57" t="s">
        <v>2</v>
      </c>
      <c r="N278" s="58" t="s">
        <v>61</v>
      </c>
      <c r="O278" s="54" t="s">
        <v>83</v>
      </c>
      <c r="P278" s="67" t="s">
        <v>51</v>
      </c>
      <c r="Q278" s="58" t="s">
        <v>66</v>
      </c>
      <c r="R278" s="105"/>
      <c r="S278" s="105"/>
    </row>
    <row r="279" spans="1:27" ht="18" customHeight="1">
      <c r="A279" s="7">
        <v>1</v>
      </c>
      <c r="B279" s="7">
        <v>2</v>
      </c>
      <c r="C279" s="7">
        <v>3</v>
      </c>
      <c r="D279" s="7">
        <v>4</v>
      </c>
      <c r="E279" s="7">
        <v>5</v>
      </c>
      <c r="F279" s="7">
        <v>6</v>
      </c>
      <c r="G279" s="7">
        <v>7</v>
      </c>
      <c r="H279" s="7">
        <v>8</v>
      </c>
      <c r="I279" s="7">
        <v>9</v>
      </c>
      <c r="J279" s="7">
        <v>10</v>
      </c>
      <c r="K279" s="7">
        <v>11</v>
      </c>
      <c r="L279" s="7">
        <v>12</v>
      </c>
      <c r="M279" s="7">
        <v>13</v>
      </c>
      <c r="N279" s="7">
        <v>14</v>
      </c>
      <c r="O279" s="7">
        <v>15</v>
      </c>
      <c r="P279" s="7">
        <v>17</v>
      </c>
      <c r="Q279" s="7">
        <v>18</v>
      </c>
      <c r="R279" s="7">
        <v>19</v>
      </c>
      <c r="S279" s="7">
        <v>20</v>
      </c>
    </row>
    <row r="280" spans="1:27" ht="21" customHeight="1">
      <c r="A280" s="8">
        <v>1</v>
      </c>
      <c r="B280" s="23" t="str">
        <f>IFERROR(IF(ISNA(VLOOKUP(Y275,Master!A$8:N$127,8,FALSE)),"",VLOOKUP($Y275,Master!A$8:AH$127,8,FALSE)),"")</f>
        <v/>
      </c>
      <c r="C280" s="9" t="str">
        <f>IF(ISNA(VLOOKUP(Y275,Master!A$8:N$127,5,FALSE)),"",VLOOKUP($Y$275,Master!A$8:AH$127,5,FALSE))</f>
        <v/>
      </c>
      <c r="D280" s="9" t="str">
        <f>IF(AND(C280=""),"",IF(AND($Y$275=""),"",ROUND(C280*Master!C$5%,0)))</f>
        <v/>
      </c>
      <c r="E280" s="9" t="str">
        <f>IF(AND(C280=""),"",IF(AND($Y$275=""),"",ROUND(C280*Master!H$5%,0)))</f>
        <v/>
      </c>
      <c r="F280" s="9" t="str">
        <f t="shared" ref="F280" si="250">IF(AND(C280=""),"",SUM(C280:E280))</f>
        <v/>
      </c>
      <c r="G280" s="9" t="str">
        <f>IF(ISNA(VLOOKUP($Y$275,Master!A$8:N$127,5,FALSE)),"",VLOOKUP($Y$275,Master!A$8:AH$127,5,FALSE))</f>
        <v/>
      </c>
      <c r="H280" s="9" t="str">
        <f>IF(AND(G280=""),"",IF(AND($Y$275=""),"",ROUND(G280*Master!C$4%,0)))</f>
        <v/>
      </c>
      <c r="I280" s="9" t="str">
        <f>IF(AND(G280=""),"",IF(AND($Y$275=""),"",ROUND(G280*Master!H$4%,0)))</f>
        <v/>
      </c>
      <c r="J280" s="9" t="str">
        <f t="shared" ref="J280:J281" si="251">IF(AND(C280=""),"",SUM(G280:I280))</f>
        <v/>
      </c>
      <c r="K280" s="9" t="str">
        <f t="shared" ref="K280:K282" si="252">IF(AND(C280=""),"",IF(AND(G280=""),"",C280-G280))</f>
        <v/>
      </c>
      <c r="L280" s="9" t="str">
        <f t="shared" ref="L280:L282" si="253">IF(AND(D280=""),"",IF(AND(H280=""),"",D280-H280))</f>
        <v/>
      </c>
      <c r="M280" s="9" t="str">
        <f t="shared" ref="M280:M281" si="254">IF(AND(E280=""),"",IF(AND(I280=""),"",E280-I280))</f>
        <v/>
      </c>
      <c r="N280" s="9" t="str">
        <f t="shared" ref="N280:N281" si="255">IF(AND(F280=""),"",IF(AND(J280=""),"",F280-J280))</f>
        <v/>
      </c>
      <c r="O280" s="9" t="str">
        <f>IF(AND(C280=""),"",N280-P280)</f>
        <v/>
      </c>
      <c r="P280" s="9" t="str">
        <f>IF(AND($Y$275=""),"",IF(AND(N280=""),"",ROUND(N280*AA$1%,0)))</f>
        <v/>
      </c>
      <c r="Q280" s="9" t="str">
        <f>IF(AND($Y$275=""),"",IF(AND(C280=""),"",IF(AND(O280=""),"",SUM(O280,P280))))</f>
        <v/>
      </c>
      <c r="R280" s="9" t="str">
        <f>IF(AND(N280=""),"",IF(AND(Q280=""),"",N280-Q280))</f>
        <v/>
      </c>
      <c r="S280" s="20"/>
    </row>
    <row r="281" spans="1:27" ht="21" customHeight="1">
      <c r="A281" s="8">
        <v>2</v>
      </c>
      <c r="B281" s="23" t="str">
        <f>IFERROR(DATE(YEAR(B280),MONTH(B280)+1,DAY(B280)),"")</f>
        <v/>
      </c>
      <c r="C281" s="9" t="str">
        <f>IF(AND($Y$275=""),"",C280)</f>
        <v/>
      </c>
      <c r="D281" s="9" t="str">
        <f>IF(AND(C281=""),"",IF(AND($Y$275=""),"",ROUND(C281*Master!C$5%,0)))</f>
        <v/>
      </c>
      <c r="E281" s="9" t="str">
        <f>IF(AND(C281=""),"",IF(AND($Y$275=""),"",ROUND(C281*Master!H$5%,0)))</f>
        <v/>
      </c>
      <c r="F281" s="9" t="str">
        <f>IF(AND(C281=""),"",SUM(C281:E281))</f>
        <v/>
      </c>
      <c r="G281" s="9" t="str">
        <f>IF(AND($Y$275=""),"",G280)</f>
        <v/>
      </c>
      <c r="H281" s="9" t="str">
        <f>IF(AND(G281=""),"",IF(AND($Y$275=""),"",ROUND(G281*Master!C$4%,0)))</f>
        <v/>
      </c>
      <c r="I281" s="9" t="str">
        <f>IF(AND(G281=""),"",IF(AND($Y$275=""),"",ROUND(G281*Master!H$4%,0)))</f>
        <v/>
      </c>
      <c r="J281" s="9" t="str">
        <f t="shared" si="251"/>
        <v/>
      </c>
      <c r="K281" s="9" t="str">
        <f t="shared" si="252"/>
        <v/>
      </c>
      <c r="L281" s="9" t="str">
        <f t="shared" si="253"/>
        <v/>
      </c>
      <c r="M281" s="9" t="str">
        <f t="shared" si="254"/>
        <v/>
      </c>
      <c r="N281" s="9" t="str">
        <f t="shared" si="255"/>
        <v/>
      </c>
      <c r="O281" s="9" t="str">
        <f t="shared" ref="O281:O282" si="256">IF(AND(C281=""),"",N281-P281)</f>
        <v/>
      </c>
      <c r="P281" s="9" t="str">
        <f>IF(AND($Y$275=""),"",IF(AND(N281=""),"",ROUND(N281*AA$1%,0)))</f>
        <v/>
      </c>
      <c r="Q281" s="9" t="str">
        <f>IF(AND($Y$275=""),"",IF(AND(C281=""),"",IF(AND(O281=""),"",SUM(O281,P281))))</f>
        <v/>
      </c>
      <c r="R281" s="9" t="str">
        <f t="shared" ref="R281:R282" si="257">IF(AND(N281=""),"",IF(AND(Q281=""),"",N281-Q281))</f>
        <v/>
      </c>
      <c r="S281" s="20"/>
    </row>
    <row r="282" spans="1:27" ht="21" customHeight="1">
      <c r="A282" s="8">
        <v>3</v>
      </c>
      <c r="B282" s="23" t="str">
        <f>IFERROR(DATE(YEAR(B281),MONTH(B281)+1,DAY(B281)),"")</f>
        <v/>
      </c>
      <c r="C282" s="9" t="str">
        <f>IF(AND($Y$275=""),"",C281)</f>
        <v/>
      </c>
      <c r="D282" s="9" t="str">
        <f>IF(AND(C282=""),"",IF(AND($Y$275=""),"",ROUND(C282*Master!C$5%,0)))</f>
        <v/>
      </c>
      <c r="E282" s="9" t="str">
        <f>IF(AND(C282=""),"",IF(AND($Y$275=""),"",ROUND(C282*Master!H$5%,0)))</f>
        <v/>
      </c>
      <c r="F282" s="9" t="str">
        <f t="shared" ref="F282" si="258">IF(AND(C282=""),"",SUM(C282:E282))</f>
        <v/>
      </c>
      <c r="G282" s="9" t="str">
        <f>IF(AND($Y$275=""),"",G281)</f>
        <v/>
      </c>
      <c r="H282" s="9" t="str">
        <f>IF(AND(G282=""),"",IF(AND($Y$275=""),"",ROUND(G282*Master!C$4%,0)))</f>
        <v/>
      </c>
      <c r="I282" s="9" t="str">
        <f>IF(AND(G282=""),"",IF(AND($Y$275=""),"",ROUND(G282*Master!H$4%,0)))</f>
        <v/>
      </c>
      <c r="J282" s="9" t="str">
        <f>IF(AND(C282=""),"",SUM(G282:I282))</f>
        <v/>
      </c>
      <c r="K282" s="9" t="str">
        <f t="shared" si="252"/>
        <v/>
      </c>
      <c r="L282" s="9" t="str">
        <f t="shared" si="253"/>
        <v/>
      </c>
      <c r="M282" s="9" t="str">
        <f>IF(AND(E282=""),"",IF(AND(I282=""),"",E282-I282))</f>
        <v/>
      </c>
      <c r="N282" s="9" t="str">
        <f>IF(AND(F282=""),"",IF(AND(J282=""),"",F282-J282))</f>
        <v/>
      </c>
      <c r="O282" s="9" t="str">
        <f t="shared" si="256"/>
        <v/>
      </c>
      <c r="P282" s="9" t="str">
        <f>IF(AND($Y$275=""),"",IF(AND(N282=""),"",ROUND(N282*AA$1%,0)))</f>
        <v/>
      </c>
      <c r="Q282" s="9" t="str">
        <f>IF(AND($Y$275=""),"",IF(AND(C282=""),"",IF(AND(O282=""),"",SUM(O282,P282))))</f>
        <v/>
      </c>
      <c r="R282" s="9" t="str">
        <f t="shared" si="257"/>
        <v/>
      </c>
      <c r="S282" s="20"/>
    </row>
    <row r="283" spans="1:27" ht="23.25" customHeight="1">
      <c r="A283" s="108" t="s">
        <v>9</v>
      </c>
      <c r="B283" s="109"/>
      <c r="C283" s="64">
        <f>IFERROR(IF(AND($Y$275=""),"",SUM(C280:C282)),"")</f>
        <v>0</v>
      </c>
      <c r="D283" s="64">
        <f t="shared" ref="D283:Q283" si="259">IFERROR(IF(AND($Y$275=""),"",SUM(D280:D282)),"")</f>
        <v>0</v>
      </c>
      <c r="E283" s="64">
        <f t="shared" si="259"/>
        <v>0</v>
      </c>
      <c r="F283" s="64">
        <f t="shared" si="259"/>
        <v>0</v>
      </c>
      <c r="G283" s="64">
        <f t="shared" si="259"/>
        <v>0</v>
      </c>
      <c r="H283" s="64">
        <f t="shared" si="259"/>
        <v>0</v>
      </c>
      <c r="I283" s="64">
        <f t="shared" si="259"/>
        <v>0</v>
      </c>
      <c r="J283" s="64">
        <f t="shared" si="259"/>
        <v>0</v>
      </c>
      <c r="K283" s="64">
        <f t="shared" si="259"/>
        <v>0</v>
      </c>
      <c r="L283" s="64">
        <f t="shared" si="259"/>
        <v>0</v>
      </c>
      <c r="M283" s="64">
        <f t="shared" si="259"/>
        <v>0</v>
      </c>
      <c r="N283" s="64">
        <f t="shared" si="259"/>
        <v>0</v>
      </c>
      <c r="O283" s="64">
        <f t="shared" si="259"/>
        <v>0</v>
      </c>
      <c r="P283" s="64">
        <f t="shared" si="259"/>
        <v>0</v>
      </c>
      <c r="Q283" s="64">
        <f t="shared" si="259"/>
        <v>0</v>
      </c>
      <c r="R283" s="64">
        <f>IFERROR(IF(AND($Y$275=""),"",SUM(R280:R282)),"")</f>
        <v>0</v>
      </c>
      <c r="S283" s="50"/>
    </row>
    <row r="284" spans="1:27" ht="10.5" customHeight="1">
      <c r="A284" s="75"/>
      <c r="B284" s="75"/>
      <c r="C284" s="76"/>
      <c r="D284" s="76"/>
      <c r="E284" s="76"/>
      <c r="F284" s="76"/>
      <c r="G284" s="76"/>
      <c r="H284" s="76"/>
      <c r="I284" s="76"/>
      <c r="J284" s="76"/>
      <c r="K284" s="76"/>
      <c r="L284" s="76"/>
      <c r="M284" s="76"/>
      <c r="N284" s="76"/>
      <c r="O284" s="76"/>
      <c r="P284" s="76"/>
      <c r="Q284" s="76"/>
      <c r="R284" s="76"/>
      <c r="S284" s="77"/>
    </row>
    <row r="285" spans="1:27" ht="23.25" customHeight="1">
      <c r="E285" s="116" t="s">
        <v>10</v>
      </c>
      <c r="F285" s="116"/>
      <c r="G285" s="116"/>
      <c r="H285" s="116"/>
      <c r="I285" s="116"/>
      <c r="J285" s="115" t="str">
        <f>IF(ISNA(VLOOKUP($Y$287,Master!A$8:N$127,2,FALSE)),"",VLOOKUP($Y$287,Master!A$8:AH$127,2,FALSE))</f>
        <v/>
      </c>
      <c r="K285" s="115"/>
      <c r="L285" s="115"/>
      <c r="M285" s="115"/>
      <c r="N285" s="115"/>
      <c r="O285" s="61" t="s">
        <v>31</v>
      </c>
      <c r="P285" s="115" t="str">
        <f>IF(ISNA(VLOOKUP($Y$287,Master!A$8:N$127,3,FALSE)),"",VLOOKUP($Y$287,Master!A$8:AH$127,3,FALSE))</f>
        <v/>
      </c>
      <c r="Q285" s="115"/>
      <c r="R285" s="115"/>
      <c r="S285" s="115"/>
    </row>
    <row r="286" spans="1:27" ht="9" customHeight="1">
      <c r="E286" s="19"/>
      <c r="F286" s="53"/>
      <c r="G286" s="22"/>
      <c r="H286" s="22"/>
      <c r="I286" s="22"/>
      <c r="J286" s="5"/>
      <c r="K286" s="5"/>
      <c r="L286" s="5"/>
      <c r="M286" s="5"/>
      <c r="N286" s="5"/>
      <c r="O286" s="6"/>
      <c r="P286" s="6"/>
    </row>
    <row r="287" spans="1:27" ht="21" customHeight="1">
      <c r="A287" s="8">
        <v>1</v>
      </c>
      <c r="B287" s="23" t="str">
        <f>IFERROR(IF(ISNA(VLOOKUP(Y287,Master!A$8:N$127,8,FALSE)),"",VLOOKUP($Y287,Master!A$8:AH$127,8,FALSE)),"")</f>
        <v/>
      </c>
      <c r="C287" s="9" t="str">
        <f>IF(ISNA(VLOOKUP($Y$287,Master!A$8:N$127,5,FALSE)),"",VLOOKUP($Y$287,Master!A$8:AH$127,5,FALSE))</f>
        <v/>
      </c>
      <c r="D287" s="9" t="str">
        <f>IF(AND(C287=""),"",IF(AND($Y$287=""),"",ROUND(C287*Master!C$5%,0)))</f>
        <v/>
      </c>
      <c r="E287" s="9" t="str">
        <f>IF(AND(C287=""),"",IF(AND($Y$287=""),"",ROUND(C287*Master!H$5%,0)))</f>
        <v/>
      </c>
      <c r="F287" s="9" t="str">
        <f t="shared" ref="F287:F289" si="260">IF(AND(C287=""),"",SUM(C287:E287))</f>
        <v/>
      </c>
      <c r="G287" s="9" t="str">
        <f>IF(ISNA(VLOOKUP($Y$287,Master!A$8:N$127,5,FALSE)),"",VLOOKUP($Y$287,Master!A$8:AH$127,5,FALSE))</f>
        <v/>
      </c>
      <c r="H287" s="9" t="str">
        <f>IF(AND(G287=""),"",IF(AND($Y$287=""),"",ROUND(G287*Master!C$4%,0)))</f>
        <v/>
      </c>
      <c r="I287" s="9" t="str">
        <f>IF(AND(G287=""),"",IF(AND($Y$287=""),"",ROUND(G287*Master!H$4%,0)))</f>
        <v/>
      </c>
      <c r="J287" s="9" t="str">
        <f t="shared" ref="J287:J289" si="261">IF(AND(C287=""),"",SUM(G287:I287))</f>
        <v/>
      </c>
      <c r="K287" s="9" t="str">
        <f t="shared" ref="K287" si="262">IF(AND(C287=""),"",IF(AND(G287=""),"",C287-G287))</f>
        <v/>
      </c>
      <c r="L287" s="9" t="str">
        <f>IF(AND(D287=""),"",IF(AND(H287=""),"",D287-H287))</f>
        <v/>
      </c>
      <c r="M287" s="9" t="str">
        <f t="shared" ref="M287:M289" si="263">IF(AND(E287=""),"",IF(AND(I287=""),"",E287-I287))</f>
        <v/>
      </c>
      <c r="N287" s="9" t="str">
        <f t="shared" ref="N287:N289" si="264">IF(AND(F287=""),"",IF(AND(J287=""),"",F287-J287))</f>
        <v/>
      </c>
      <c r="O287" s="9" t="str">
        <f>IF(AND(C287=""),"",N287-P287)</f>
        <v/>
      </c>
      <c r="P287" s="9" t="str">
        <f>IF(AND($Y$287=""),"",IF(AND(N287=""),"",ROUND(N287*X$16%,0)))</f>
        <v/>
      </c>
      <c r="Q287" s="9" t="str">
        <f>IF(AND($Y$287=""),"",IF(AND(C287=""),"",IF(AND(O287=""),"",SUM(O287,P287))))</f>
        <v/>
      </c>
      <c r="R287" s="9" t="str">
        <f>IF(AND(N287=""),"",IF(AND(Q287=""),"",N287-Q287))</f>
        <v/>
      </c>
      <c r="S287" s="20"/>
      <c r="X287" s="62" t="s">
        <v>62</v>
      </c>
      <c r="Y287" s="65">
        <v>26</v>
      </c>
    </row>
    <row r="288" spans="1:27" ht="21" customHeight="1">
      <c r="A288" s="8">
        <v>2</v>
      </c>
      <c r="B288" s="23" t="str">
        <f>IFERROR(DATE(YEAR(B287),MONTH(B287)+1,DAY(B287)),"")</f>
        <v/>
      </c>
      <c r="C288" s="9" t="str">
        <f>IF(AND($Y$287=""),"",C287)</f>
        <v/>
      </c>
      <c r="D288" s="9" t="str">
        <f>IF(AND(C288=""),"",IF(AND($Y$287=""),"",ROUND(C288*Master!C$5%,0)))</f>
        <v/>
      </c>
      <c r="E288" s="9" t="str">
        <f>IF(AND(C288=""),"",IF(AND($Y$287=""),"",ROUND(C288*Master!H$5%,0)))</f>
        <v/>
      </c>
      <c r="F288" s="9" t="str">
        <f t="shared" si="260"/>
        <v/>
      </c>
      <c r="G288" s="9" t="str">
        <f>IF(AND($Y$287=""),"",G287)</f>
        <v/>
      </c>
      <c r="H288" s="9" t="str">
        <f>IF(AND(G288=""),"",IF(AND($Y$287=""),"",ROUND(G288*Master!C$4%,0)))</f>
        <v/>
      </c>
      <c r="I288" s="9" t="str">
        <f>IF(AND(G288=""),"",IF(AND($Y$287=""),"",ROUND(G288*Master!H$4%,0)))</f>
        <v/>
      </c>
      <c r="J288" s="9" t="str">
        <f t="shared" si="261"/>
        <v/>
      </c>
      <c r="K288" s="9" t="str">
        <f>IF(AND(C288=""),"",IF(AND(G288=""),"",C288-G288))</f>
        <v/>
      </c>
      <c r="L288" s="9" t="str">
        <f t="shared" ref="L288:L289" si="265">IF(AND(D288=""),"",IF(AND(H288=""),"",D288-H288))</f>
        <v/>
      </c>
      <c r="M288" s="9" t="str">
        <f t="shared" si="263"/>
        <v/>
      </c>
      <c r="N288" s="9" t="str">
        <f t="shared" si="264"/>
        <v/>
      </c>
      <c r="O288" s="9" t="str">
        <f t="shared" ref="O288:O289" si="266">IF(AND(C288=""),"",N288-P288)</f>
        <v/>
      </c>
      <c r="P288" s="9" t="str">
        <f>IF(AND($Y$287=""),"",IF(AND(N288=""),"",ROUND(N288*X$16%,0)))</f>
        <v/>
      </c>
      <c r="Q288" s="9" t="str">
        <f>IF(AND($Y$287=""),"",IF(AND(C288=""),"",IF(AND(O288=""),"",SUM(O288,P288))))</f>
        <v/>
      </c>
      <c r="R288" s="9" t="str">
        <f t="shared" ref="R288:R289" si="267">IF(AND(N288=""),"",IF(AND(Q288=""),"",N288-Q288))</f>
        <v/>
      </c>
      <c r="S288" s="20"/>
      <c r="X288" s="4" t="str">
        <f>IF(ISNA(VLOOKUP($Y$287,Master!A$8:N$127,7,FALSE)),"",VLOOKUP($Y$287,Master!A$8:AH$127,7,FALSE))</f>
        <v/>
      </c>
    </row>
    <row r="289" spans="1:25" ht="21" customHeight="1">
      <c r="A289" s="8">
        <v>3</v>
      </c>
      <c r="B289" s="23" t="str">
        <f>IFERROR(DATE(YEAR(B288),MONTH(B288)+1,DAY(B288)),"")</f>
        <v/>
      </c>
      <c r="C289" s="9" t="str">
        <f>IF(AND($Y$287=""),"",C288)</f>
        <v/>
      </c>
      <c r="D289" s="9" t="str">
        <f>IF(AND(C289=""),"",IF(AND($Y$287=""),"",ROUND(C289*Master!C$5%,0)))</f>
        <v/>
      </c>
      <c r="E289" s="9" t="str">
        <f>IF(AND(C289=""),"",IF(AND($Y$287=""),"",ROUND(C289*Master!H$5%,0)))</f>
        <v/>
      </c>
      <c r="F289" s="9" t="str">
        <f t="shared" si="260"/>
        <v/>
      </c>
      <c r="G289" s="9" t="str">
        <f>IF(AND($Y$287=""),"",G288)</f>
        <v/>
      </c>
      <c r="H289" s="9" t="str">
        <f>IF(AND(G289=""),"",IF(AND($Y$287=""),"",ROUND(G289*Master!C$4%,0)))</f>
        <v/>
      </c>
      <c r="I289" s="9" t="str">
        <f>IF(AND(G289=""),"",IF(AND($Y$287=""),"",ROUND(G289*Master!H$4%,0)))</f>
        <v/>
      </c>
      <c r="J289" s="9" t="str">
        <f t="shared" si="261"/>
        <v/>
      </c>
      <c r="K289" s="9" t="str">
        <f t="shared" ref="K289" si="268">IF(AND(C289=""),"",IF(AND(G289=""),"",C289-G289))</f>
        <v/>
      </c>
      <c r="L289" s="9" t="str">
        <f t="shared" si="265"/>
        <v/>
      </c>
      <c r="M289" s="9" t="str">
        <f t="shared" si="263"/>
        <v/>
      </c>
      <c r="N289" s="9" t="str">
        <f t="shared" si="264"/>
        <v/>
      </c>
      <c r="O289" s="9" t="str">
        <f t="shared" si="266"/>
        <v/>
      </c>
      <c r="P289" s="9" t="str">
        <f>IF(AND($Y$287=""),"",IF(AND(N289=""),"",ROUND(N289*X$16%,0)))</f>
        <v/>
      </c>
      <c r="Q289" s="9" t="str">
        <f>IF(AND($Y$287=""),"",IF(AND(C289=""),"",IF(AND(O289=""),"",SUM(O289,P289))))</f>
        <v/>
      </c>
      <c r="R289" s="9" t="str">
        <f t="shared" si="267"/>
        <v/>
      </c>
      <c r="S289" s="20"/>
    </row>
    <row r="290" spans="1:25" ht="30.75" customHeight="1">
      <c r="A290" s="108" t="s">
        <v>9</v>
      </c>
      <c r="B290" s="109"/>
      <c r="C290" s="64">
        <f t="shared" ref="C290:R290" si="269">IF(AND($Y$287=""),"",SUM(C287:C289))</f>
        <v>0</v>
      </c>
      <c r="D290" s="64">
        <f t="shared" si="269"/>
        <v>0</v>
      </c>
      <c r="E290" s="64">
        <f t="shared" si="269"/>
        <v>0</v>
      </c>
      <c r="F290" s="64">
        <f t="shared" si="269"/>
        <v>0</v>
      </c>
      <c r="G290" s="64">
        <f t="shared" si="269"/>
        <v>0</v>
      </c>
      <c r="H290" s="64">
        <f t="shared" si="269"/>
        <v>0</v>
      </c>
      <c r="I290" s="64">
        <f t="shared" si="269"/>
        <v>0</v>
      </c>
      <c r="J290" s="64">
        <f t="shared" si="269"/>
        <v>0</v>
      </c>
      <c r="K290" s="64">
        <f t="shared" si="269"/>
        <v>0</v>
      </c>
      <c r="L290" s="64">
        <f t="shared" si="269"/>
        <v>0</v>
      </c>
      <c r="M290" s="64">
        <f t="shared" si="269"/>
        <v>0</v>
      </c>
      <c r="N290" s="64">
        <f t="shared" si="269"/>
        <v>0</v>
      </c>
      <c r="O290" s="64">
        <f t="shared" si="269"/>
        <v>0</v>
      </c>
      <c r="P290" s="64">
        <f t="shared" si="269"/>
        <v>0</v>
      </c>
      <c r="Q290" s="64">
        <f t="shared" si="269"/>
        <v>0</v>
      </c>
      <c r="R290" s="64">
        <f t="shared" si="269"/>
        <v>0</v>
      </c>
      <c r="S290" s="50"/>
    </row>
    <row r="291" spans="1:25" ht="11.25" customHeight="1">
      <c r="A291" s="75"/>
      <c r="B291" s="75"/>
      <c r="C291" s="76"/>
      <c r="D291" s="76"/>
      <c r="E291" s="76"/>
      <c r="F291" s="76"/>
      <c r="G291" s="76"/>
      <c r="H291" s="76"/>
      <c r="I291" s="76"/>
      <c r="J291" s="76"/>
      <c r="K291" s="76"/>
      <c r="L291" s="76"/>
      <c r="M291" s="76"/>
      <c r="N291" s="76"/>
      <c r="O291" s="76"/>
      <c r="P291" s="76"/>
      <c r="Q291" s="76"/>
      <c r="R291" s="76"/>
      <c r="S291" s="77"/>
    </row>
    <row r="292" spans="1:25" ht="23.25" customHeight="1">
      <c r="E292" s="116" t="s">
        <v>10</v>
      </c>
      <c r="F292" s="116"/>
      <c r="G292" s="116"/>
      <c r="H292" s="116"/>
      <c r="I292" s="116"/>
      <c r="J292" s="115" t="str">
        <f>IF(ISNA(VLOOKUP($Y$294,Master!A$8:N$127,2,FALSE)),"",VLOOKUP($Y$294,Master!A$8:AH$127,2,FALSE))</f>
        <v/>
      </c>
      <c r="K292" s="115"/>
      <c r="L292" s="115"/>
      <c r="M292" s="115"/>
      <c r="N292" s="115"/>
      <c r="O292" s="61" t="s">
        <v>31</v>
      </c>
      <c r="P292" s="115" t="str">
        <f>IF(ISNA(VLOOKUP($Y$294,Master!A$8:N$127,3,FALSE)),"",VLOOKUP($Y$294,Master!A$8:AH$127,3,FALSE))</f>
        <v/>
      </c>
      <c r="Q292" s="115"/>
      <c r="R292" s="115"/>
      <c r="S292" s="115"/>
    </row>
    <row r="293" spans="1:25" ht="9" customHeight="1">
      <c r="E293" s="19"/>
      <c r="F293" s="53"/>
      <c r="G293" s="22"/>
      <c r="H293" s="22"/>
      <c r="I293" s="22"/>
      <c r="J293" s="5"/>
      <c r="K293" s="5"/>
      <c r="L293" s="5"/>
      <c r="M293" s="5"/>
      <c r="N293" s="5"/>
      <c r="O293" s="6"/>
      <c r="P293" s="6"/>
    </row>
    <row r="294" spans="1:25" ht="21" customHeight="1">
      <c r="A294" s="8">
        <v>1</v>
      </c>
      <c r="B294" s="23" t="str">
        <f>IFERROR(IF(ISNA(VLOOKUP(Y294,Master!A$8:N$127,8,FALSE)),"",VLOOKUP($Y294,Master!A$8:AH$127,8,FALSE)),"")</f>
        <v/>
      </c>
      <c r="C294" s="9" t="str">
        <f>IF(ISNA(VLOOKUP($Y$294,Master!A$8:N$127,5,FALSE)),"",VLOOKUP($Y$294,Master!A$8:AH$127,5,FALSE))</f>
        <v/>
      </c>
      <c r="D294" s="9" t="str">
        <f>IF(AND(C294=""),"",IF(AND($Y$294=""),"",ROUND(C294*Master!C$5%,0)))</f>
        <v/>
      </c>
      <c r="E294" s="9" t="str">
        <f>IF(AND(C294=""),"",IF(AND($Y$294=""),"",ROUND(C294*Master!H$5%,0)))</f>
        <v/>
      </c>
      <c r="F294" s="9" t="str">
        <f t="shared" ref="F294:F296" si="270">IF(AND(C294=""),"",SUM(C294:E294))</f>
        <v/>
      </c>
      <c r="G294" s="9" t="str">
        <f>IF(ISNA(VLOOKUP($Y$294,Master!A$8:N$127,5,FALSE)),"",VLOOKUP($Y$294,Master!A$8:AH$127,5,FALSE))</f>
        <v/>
      </c>
      <c r="H294" s="9" t="str">
        <f>IF(AND(G294=""),"",IF(AND($Y$294=""),"",ROUND(G294*Master!C$4%,0)))</f>
        <v/>
      </c>
      <c r="I294" s="9" t="str">
        <f>IF(AND(G294=""),"",IF(AND($Y$294=""),"",ROUND(G294*Master!H$4%,0)))</f>
        <v/>
      </c>
      <c r="J294" s="9" t="str">
        <f t="shared" ref="J294:J296" si="271">IF(AND(C294=""),"",SUM(G294:I294))</f>
        <v/>
      </c>
      <c r="K294" s="9" t="str">
        <f t="shared" ref="K294:K296" si="272">IF(AND(C294=""),"",IF(AND(G294=""),"",C294-G294))</f>
        <v/>
      </c>
      <c r="L294" s="9" t="str">
        <f t="shared" ref="L294:L296" si="273">IF(AND(D294=""),"",IF(AND(H294=""),"",D294-H294))</f>
        <v/>
      </c>
      <c r="M294" s="9" t="str">
        <f t="shared" ref="M294:M296" si="274">IF(AND(E294=""),"",IF(AND(I294=""),"",E294-I294))</f>
        <v/>
      </c>
      <c r="N294" s="9" t="str">
        <f t="shared" ref="N294:N296" si="275">IF(AND(F294=""),"",IF(AND(J294=""),"",F294-J294))</f>
        <v/>
      </c>
      <c r="O294" s="9" t="str">
        <f>IF(AND(C294=""),"",N294-P294)</f>
        <v/>
      </c>
      <c r="P294" s="9" t="str">
        <f>IF(AND($Y$294=""),"",IF(AND(N294=""),"",ROUND(N294*AA$1%,0)))</f>
        <v/>
      </c>
      <c r="Q294" s="9" t="str">
        <f>IF(AND($Y$294=""),"",IF(AND(C294=""),"",IF(AND(O294=""),"",SUM(O294,P294))))</f>
        <v/>
      </c>
      <c r="R294" s="9" t="str">
        <f>IF(AND(N294=""),"",IF(AND(Q294=""),"",N294-Q294))</f>
        <v/>
      </c>
      <c r="S294" s="20"/>
      <c r="X294" s="62" t="s">
        <v>62</v>
      </c>
      <c r="Y294" s="65">
        <v>27</v>
      </c>
    </row>
    <row r="295" spans="1:25" ht="21" customHeight="1">
      <c r="A295" s="8">
        <v>2</v>
      </c>
      <c r="B295" s="23" t="str">
        <f>IFERROR(DATE(YEAR(B294),MONTH(B294)+1,DAY(B294)),"")</f>
        <v/>
      </c>
      <c r="C295" s="9" t="str">
        <f>IF(AND($Y$294=""),"",C294)</f>
        <v/>
      </c>
      <c r="D295" s="9" t="str">
        <f>IF(AND(C295=""),"",IF(AND($Y$294=""),"",ROUND(C295*Master!C$5%,0)))</f>
        <v/>
      </c>
      <c r="E295" s="9" t="str">
        <f>IF(AND(C295=""),"",IF(AND($Y$294=""),"",ROUND(C295*Master!H$5%,0)))</f>
        <v/>
      </c>
      <c r="F295" s="9" t="str">
        <f t="shared" si="270"/>
        <v/>
      </c>
      <c r="G295" s="9" t="str">
        <f>IF(AND($Y$294=""),"",G294)</f>
        <v/>
      </c>
      <c r="H295" s="9" t="str">
        <f>IF(AND(G295=""),"",IF(AND($Y$294=""),"",ROUND(G295*Master!C$4%,0)))</f>
        <v/>
      </c>
      <c r="I295" s="9" t="str">
        <f>IF(AND(G295=""),"",IF(AND($Y$294=""),"",ROUND(G295*Master!H$4%,0)))</f>
        <v/>
      </c>
      <c r="J295" s="9" t="str">
        <f t="shared" si="271"/>
        <v/>
      </c>
      <c r="K295" s="9" t="str">
        <f t="shared" si="272"/>
        <v/>
      </c>
      <c r="L295" s="9" t="str">
        <f t="shared" si="273"/>
        <v/>
      </c>
      <c r="M295" s="9" t="str">
        <f t="shared" si="274"/>
        <v/>
      </c>
      <c r="N295" s="9" t="str">
        <f t="shared" si="275"/>
        <v/>
      </c>
      <c r="O295" s="9" t="str">
        <f t="shared" ref="O295:O296" si="276">IF(AND(C295=""),"",N295-P295)</f>
        <v/>
      </c>
      <c r="P295" s="9" t="str">
        <f>IF(AND($Y$294=""),"",IF(AND(N295=""),"",ROUND(N295*AA$1%,0)))</f>
        <v/>
      </c>
      <c r="Q295" s="9" t="str">
        <f>IF(AND($Y$294=""),"",IF(AND(C295=""),"",IF(AND(O295=""),"",SUM(O295,P295))))</f>
        <v/>
      </c>
      <c r="R295" s="9" t="str">
        <f t="shared" ref="R295:R296" si="277">IF(AND(N295=""),"",IF(AND(Q295=""),"",N295-Q295))</f>
        <v/>
      </c>
      <c r="S295" s="20"/>
      <c r="X295" s="4" t="str">
        <f>IF(ISNA(VLOOKUP($Y$294,Master!A$8:N$127,7,FALSE)),"",VLOOKUP($Y$294,Master!A$8:AH$127,7,FALSE))</f>
        <v/>
      </c>
    </row>
    <row r="296" spans="1:25" ht="21" customHeight="1">
      <c r="A296" s="8">
        <v>3</v>
      </c>
      <c r="B296" s="23" t="str">
        <f>IFERROR(DATE(YEAR(B295),MONTH(B295)+1,DAY(B295)),"")</f>
        <v/>
      </c>
      <c r="C296" s="9" t="str">
        <f>IF(AND($Y$294=""),"",C295)</f>
        <v/>
      </c>
      <c r="D296" s="9" t="str">
        <f>IF(AND(C296=""),"",IF(AND($Y$294=""),"",ROUND(C296*Master!C$5%,0)))</f>
        <v/>
      </c>
      <c r="E296" s="9" t="str">
        <f>IF(AND(C296=""),"",IF(AND($Y$294=""),"",ROUND(C296*Master!H$5%,0)))</f>
        <v/>
      </c>
      <c r="F296" s="9" t="str">
        <f t="shared" si="270"/>
        <v/>
      </c>
      <c r="G296" s="9" t="str">
        <f>IF(AND($Y$294=""),"",G295)</f>
        <v/>
      </c>
      <c r="H296" s="9" t="str">
        <f>IF(AND(G296=""),"",IF(AND($Y$294=""),"",ROUND(G296*Master!C$4%,0)))</f>
        <v/>
      </c>
      <c r="I296" s="9" t="str">
        <f>IF(AND(G296=""),"",IF(AND($Y$294=""),"",ROUND(G296*Master!H$4%,0)))</f>
        <v/>
      </c>
      <c r="J296" s="9" t="str">
        <f t="shared" si="271"/>
        <v/>
      </c>
      <c r="K296" s="9" t="str">
        <f t="shared" si="272"/>
        <v/>
      </c>
      <c r="L296" s="9" t="str">
        <f t="shared" si="273"/>
        <v/>
      </c>
      <c r="M296" s="9" t="str">
        <f t="shared" si="274"/>
        <v/>
      </c>
      <c r="N296" s="9" t="str">
        <f t="shared" si="275"/>
        <v/>
      </c>
      <c r="O296" s="9" t="str">
        <f t="shared" si="276"/>
        <v/>
      </c>
      <c r="P296" s="9" t="str">
        <f>IF(AND($Y$294=""),"",IF(AND(N296=""),"",ROUND(N296*AA$1%,0)))</f>
        <v/>
      </c>
      <c r="Q296" s="9" t="str">
        <f>IF(AND($Y$294=""),"",IF(AND(C296=""),"",IF(AND(O296=""),"",SUM(O296,P296))))</f>
        <v/>
      </c>
      <c r="R296" s="9" t="str">
        <f t="shared" si="277"/>
        <v/>
      </c>
      <c r="S296" s="20"/>
    </row>
    <row r="297" spans="1:25" ht="30.75" customHeight="1">
      <c r="A297" s="108" t="s">
        <v>9</v>
      </c>
      <c r="B297" s="109"/>
      <c r="C297" s="64">
        <f t="shared" ref="C297:R297" si="278">IF(AND($Y$294=""),"",SUM(C294:C296))</f>
        <v>0</v>
      </c>
      <c r="D297" s="64">
        <f t="shared" si="278"/>
        <v>0</v>
      </c>
      <c r="E297" s="64">
        <f t="shared" si="278"/>
        <v>0</v>
      </c>
      <c r="F297" s="64">
        <f t="shared" si="278"/>
        <v>0</v>
      </c>
      <c r="G297" s="64">
        <f t="shared" si="278"/>
        <v>0</v>
      </c>
      <c r="H297" s="64">
        <f t="shared" si="278"/>
        <v>0</v>
      </c>
      <c r="I297" s="64">
        <f t="shared" si="278"/>
        <v>0</v>
      </c>
      <c r="J297" s="64">
        <f t="shared" si="278"/>
        <v>0</v>
      </c>
      <c r="K297" s="64">
        <f t="shared" si="278"/>
        <v>0</v>
      </c>
      <c r="L297" s="64">
        <f t="shared" si="278"/>
        <v>0</v>
      </c>
      <c r="M297" s="64">
        <f t="shared" si="278"/>
        <v>0</v>
      </c>
      <c r="N297" s="64">
        <f t="shared" si="278"/>
        <v>0</v>
      </c>
      <c r="O297" s="64">
        <f t="shared" si="278"/>
        <v>0</v>
      </c>
      <c r="P297" s="64">
        <f t="shared" si="278"/>
        <v>0</v>
      </c>
      <c r="Q297" s="64">
        <f t="shared" si="278"/>
        <v>0</v>
      </c>
      <c r="R297" s="64">
        <f t="shared" si="278"/>
        <v>0</v>
      </c>
      <c r="S297" s="50"/>
    </row>
    <row r="298" spans="1:25" ht="30.75" customHeight="1">
      <c r="A298" s="75"/>
      <c r="B298" s="75"/>
      <c r="C298" s="76"/>
      <c r="D298" s="76"/>
      <c r="E298" s="76"/>
      <c r="F298" s="76"/>
      <c r="G298" s="76"/>
      <c r="H298" s="76"/>
      <c r="I298" s="76"/>
      <c r="J298" s="76"/>
      <c r="K298" s="76"/>
      <c r="L298" s="76"/>
      <c r="M298" s="76"/>
      <c r="N298" s="76"/>
      <c r="O298" s="76"/>
      <c r="P298" s="76"/>
      <c r="Q298" s="76"/>
      <c r="R298" s="76"/>
      <c r="S298" s="77"/>
    </row>
    <row r="299" spans="1:25" ht="18.75">
      <c r="A299" s="21"/>
      <c r="B299" s="59"/>
      <c r="C299" s="59"/>
      <c r="D299" s="59"/>
      <c r="E299" s="59"/>
      <c r="F299" s="59"/>
      <c r="G299" s="59"/>
      <c r="H299" s="60"/>
      <c r="I299" s="60"/>
      <c r="J299" s="60"/>
      <c r="K299" s="68"/>
      <c r="L299" s="68"/>
      <c r="M299" s="68"/>
      <c r="N299" s="68"/>
      <c r="O299" s="107" t="s">
        <v>55</v>
      </c>
      <c r="P299" s="107"/>
      <c r="Q299" s="107"/>
      <c r="R299" s="107"/>
      <c r="S299" s="107"/>
    </row>
    <row r="300" spans="1:25" ht="18.75">
      <c r="A300" s="1"/>
      <c r="B300" s="24" t="s">
        <v>19</v>
      </c>
      <c r="C300" s="118"/>
      <c r="D300" s="118"/>
      <c r="E300" s="118"/>
      <c r="F300" s="118"/>
      <c r="G300" s="118"/>
      <c r="H300" s="25"/>
      <c r="I300" s="121" t="s">
        <v>20</v>
      </c>
      <c r="J300" s="121"/>
      <c r="K300" s="120"/>
      <c r="L300" s="120"/>
      <c r="M300" s="120"/>
      <c r="O300" s="107"/>
      <c r="P300" s="107"/>
      <c r="Q300" s="107"/>
      <c r="R300" s="107"/>
      <c r="S300" s="107"/>
    </row>
    <row r="301" spans="1:25" ht="18.75">
      <c r="A301" s="1"/>
      <c r="B301" s="119" t="s">
        <v>21</v>
      </c>
      <c r="C301" s="119"/>
      <c r="D301" s="119"/>
      <c r="E301" s="119"/>
      <c r="F301" s="119"/>
      <c r="G301" s="119"/>
      <c r="H301" s="119"/>
      <c r="I301" s="27"/>
      <c r="J301" s="26"/>
      <c r="K301" s="26"/>
      <c r="L301" s="26"/>
      <c r="M301" s="26"/>
    </row>
    <row r="302" spans="1:25" ht="18.75">
      <c r="A302" s="22">
        <v>1</v>
      </c>
      <c r="B302" s="117" t="s">
        <v>22</v>
      </c>
      <c r="C302" s="117"/>
      <c r="D302" s="117"/>
      <c r="E302" s="117"/>
      <c r="F302" s="117"/>
      <c r="G302" s="117"/>
      <c r="H302" s="117"/>
      <c r="I302" s="28"/>
      <c r="J302" s="26"/>
      <c r="K302" s="26"/>
      <c r="L302" s="26"/>
      <c r="M302" s="26"/>
    </row>
    <row r="303" spans="1:25" ht="18.75">
      <c r="A303" s="2">
        <v>2</v>
      </c>
      <c r="B303" s="117" t="s">
        <v>23</v>
      </c>
      <c r="C303" s="117"/>
      <c r="D303" s="117"/>
      <c r="E303" s="117"/>
      <c r="F303" s="117"/>
      <c r="G303" s="115"/>
      <c r="H303" s="115"/>
      <c r="I303" s="115"/>
      <c r="J303" s="115"/>
      <c r="K303" s="115"/>
      <c r="L303" s="115"/>
      <c r="M303" s="115"/>
    </row>
    <row r="304" spans="1:25" ht="18.75">
      <c r="A304" s="3">
        <v>3</v>
      </c>
      <c r="B304" s="117" t="s">
        <v>24</v>
      </c>
      <c r="C304" s="117"/>
      <c r="D304" s="117"/>
      <c r="E304" s="29"/>
      <c r="F304" s="28"/>
      <c r="G304" s="28"/>
      <c r="H304" s="30"/>
      <c r="I304" s="31"/>
      <c r="J304" s="26"/>
      <c r="K304" s="26"/>
      <c r="L304" s="26"/>
      <c r="M304" s="26"/>
    </row>
    <row r="305" spans="1:27" ht="15.75">
      <c r="O305" s="107" t="s">
        <v>55</v>
      </c>
      <c r="P305" s="107"/>
      <c r="Q305" s="107"/>
      <c r="R305" s="107"/>
      <c r="S305" s="107"/>
    </row>
    <row r="307" spans="1:27" ht="18" customHeight="1">
      <c r="A307" s="122" t="str">
        <f>A273</f>
        <v xml:space="preserve">DA (38%) Drawn Statement  </v>
      </c>
      <c r="B307" s="122"/>
      <c r="C307" s="122"/>
      <c r="D307" s="122"/>
      <c r="E307" s="122"/>
      <c r="F307" s="122"/>
      <c r="G307" s="122"/>
      <c r="H307" s="122"/>
      <c r="I307" s="122"/>
      <c r="J307" s="122"/>
      <c r="K307" s="122"/>
      <c r="L307" s="122"/>
      <c r="M307" s="122"/>
      <c r="N307" s="122"/>
      <c r="O307" s="122"/>
      <c r="P307" s="122"/>
      <c r="Q307" s="122"/>
      <c r="R307" s="122"/>
      <c r="S307" s="122"/>
      <c r="W307" s="4">
        <f>IF(ISNA(VLOOKUP($Y$3,Master!A$8:N$127,4,FALSE)),"",VLOOKUP($Y$3,Master!A$8:AH$127,4,FALSE))</f>
        <v>3</v>
      </c>
      <c r="X307" s="4" t="str">
        <f>IF(ISNA(VLOOKUP($Y$3,Master!A$8:N$127,6,FALSE)),"",VLOOKUP($Y$3,Master!A$8:AH$127,6,FALSE))</f>
        <v>GPF</v>
      </c>
      <c r="Y307" s="4" t="s">
        <v>58</v>
      </c>
      <c r="Z307" s="4" t="s">
        <v>18</v>
      </c>
      <c r="AA307" s="4" t="str">
        <f>IF(ISNA(VLOOKUP($Y$309,Master!A$8:N$127,7,FALSE)),"",VLOOKUP($Y$309,Master!A$8:AH$127,7,FALSE))</f>
        <v/>
      </c>
    </row>
    <row r="308" spans="1:27" ht="18">
      <c r="A308" s="114" t="str">
        <f>IF(AND(Master!C309=""),"",CONCATENATE("Office Of  ",Master!C309))</f>
        <v/>
      </c>
      <c r="B308" s="114"/>
      <c r="C308" s="114"/>
      <c r="D308" s="114"/>
      <c r="E308" s="114"/>
      <c r="F308" s="114"/>
      <c r="G308" s="114"/>
      <c r="H308" s="114"/>
      <c r="I308" s="114"/>
      <c r="J308" s="114"/>
      <c r="K308" s="114"/>
      <c r="L308" s="114"/>
      <c r="M308" s="114"/>
      <c r="N308" s="114"/>
      <c r="O308" s="114"/>
      <c r="P308" s="114"/>
      <c r="Q308" s="114"/>
      <c r="R308" s="114"/>
      <c r="S308" s="114"/>
      <c r="X308" s="4">
        <f>IF(ISNA(VLOOKUP($Y$3,Master!A$8:N$127,8,FALSE)),"",VLOOKUP($Y$3,Master!A$8:AH$127,8,FALSE))</f>
        <v>44743</v>
      </c>
      <c r="Y308" s="4" t="s">
        <v>56</v>
      </c>
    </row>
    <row r="309" spans="1:27" ht="18.75">
      <c r="E309" s="116" t="s">
        <v>10</v>
      </c>
      <c r="F309" s="116"/>
      <c r="G309" s="116"/>
      <c r="H309" s="116"/>
      <c r="I309" s="116"/>
      <c r="J309" s="115" t="str">
        <f>IF(ISNA(VLOOKUP($Y$309,Master!A$8:N$127,2,FALSE)),"",VLOOKUP($Y$309,Master!A$8:AH$127,2,FALSE))</f>
        <v/>
      </c>
      <c r="K309" s="115"/>
      <c r="L309" s="115"/>
      <c r="M309" s="115"/>
      <c r="N309" s="115"/>
      <c r="O309" s="61" t="s">
        <v>31</v>
      </c>
      <c r="P309" s="115" t="str">
        <f>IF(ISNA(VLOOKUP($Y$309,Master!A$8:N$127,3,FALSE)),"",VLOOKUP($Y$309,Master!A$8:AH$127,3,FALSE))</f>
        <v/>
      </c>
      <c r="Q309" s="115"/>
      <c r="R309" s="115"/>
      <c r="S309" s="115"/>
      <c r="X309" s="62" t="s">
        <v>62</v>
      </c>
      <c r="Y309" s="65">
        <v>28</v>
      </c>
    </row>
    <row r="310" spans="1:27" ht="8.25" customHeight="1">
      <c r="E310" s="19"/>
      <c r="F310" s="53"/>
      <c r="G310" s="22"/>
      <c r="H310" s="22"/>
      <c r="I310" s="22"/>
      <c r="J310" s="5"/>
      <c r="K310" s="5"/>
      <c r="L310" s="5"/>
      <c r="M310" s="5"/>
      <c r="N310" s="5"/>
      <c r="O310" s="6"/>
      <c r="P310" s="6"/>
    </row>
    <row r="311" spans="1:27" ht="24.75" customHeight="1">
      <c r="A311" s="110" t="s">
        <v>0</v>
      </c>
      <c r="B311" s="111" t="s">
        <v>3</v>
      </c>
      <c r="C311" s="112" t="s">
        <v>5</v>
      </c>
      <c r="D311" s="112"/>
      <c r="E311" s="112"/>
      <c r="F311" s="112"/>
      <c r="G311" s="112" t="s">
        <v>6</v>
      </c>
      <c r="H311" s="112"/>
      <c r="I311" s="112"/>
      <c r="J311" s="112"/>
      <c r="K311" s="112" t="s">
        <v>7</v>
      </c>
      <c r="L311" s="112"/>
      <c r="M311" s="112"/>
      <c r="N311" s="112"/>
      <c r="O311" s="97" t="s">
        <v>8</v>
      </c>
      <c r="P311" s="98"/>
      <c r="Q311" s="99"/>
      <c r="R311" s="105" t="s">
        <v>67</v>
      </c>
      <c r="S311" s="105" t="s">
        <v>50</v>
      </c>
    </row>
    <row r="312" spans="1:27" ht="69" customHeight="1">
      <c r="A312" s="110"/>
      <c r="B312" s="111"/>
      <c r="C312" s="55" t="s">
        <v>29</v>
      </c>
      <c r="D312" s="56" t="s">
        <v>1</v>
      </c>
      <c r="E312" s="57" t="s">
        <v>2</v>
      </c>
      <c r="F312" s="55" t="s">
        <v>59</v>
      </c>
      <c r="G312" s="55" t="s">
        <v>29</v>
      </c>
      <c r="H312" s="56" t="s">
        <v>1</v>
      </c>
      <c r="I312" s="57" t="s">
        <v>2</v>
      </c>
      <c r="J312" s="55" t="s">
        <v>60</v>
      </c>
      <c r="K312" s="55" t="s">
        <v>4</v>
      </c>
      <c r="L312" s="56" t="s">
        <v>1</v>
      </c>
      <c r="M312" s="57" t="s">
        <v>2</v>
      </c>
      <c r="N312" s="58" t="s">
        <v>61</v>
      </c>
      <c r="O312" s="54" t="s">
        <v>83</v>
      </c>
      <c r="P312" s="67" t="s">
        <v>51</v>
      </c>
      <c r="Q312" s="58" t="s">
        <v>66</v>
      </c>
      <c r="R312" s="105"/>
      <c r="S312" s="105"/>
    </row>
    <row r="313" spans="1:27" ht="18" customHeight="1">
      <c r="A313" s="7">
        <v>1</v>
      </c>
      <c r="B313" s="7">
        <v>2</v>
      </c>
      <c r="C313" s="7">
        <v>3</v>
      </c>
      <c r="D313" s="7">
        <v>4</v>
      </c>
      <c r="E313" s="7">
        <v>5</v>
      </c>
      <c r="F313" s="7">
        <v>6</v>
      </c>
      <c r="G313" s="7">
        <v>7</v>
      </c>
      <c r="H313" s="7">
        <v>8</v>
      </c>
      <c r="I313" s="7">
        <v>9</v>
      </c>
      <c r="J313" s="7">
        <v>10</v>
      </c>
      <c r="K313" s="7">
        <v>11</v>
      </c>
      <c r="L313" s="7">
        <v>12</v>
      </c>
      <c r="M313" s="7">
        <v>13</v>
      </c>
      <c r="N313" s="7">
        <v>14</v>
      </c>
      <c r="O313" s="7">
        <v>15</v>
      </c>
      <c r="P313" s="7">
        <v>17</v>
      </c>
      <c r="Q313" s="7">
        <v>18</v>
      </c>
      <c r="R313" s="7">
        <v>19</v>
      </c>
      <c r="S313" s="7">
        <v>20</v>
      </c>
    </row>
    <row r="314" spans="1:27" ht="21" customHeight="1">
      <c r="A314" s="8">
        <v>1</v>
      </c>
      <c r="B314" s="23" t="str">
        <f>IFERROR(IF(ISNA(VLOOKUP(Y309,Master!A$8:N$127,8,FALSE)),"",VLOOKUP($Y309,Master!A$8:AH$127,8,FALSE)),"")</f>
        <v/>
      </c>
      <c r="C314" s="9" t="str">
        <f>IF(ISNA(VLOOKUP(Y309,Master!A$8:N$127,5,FALSE)),"",VLOOKUP($Y$309,Master!A$8:AH$127,5,FALSE))</f>
        <v/>
      </c>
      <c r="D314" s="9" t="str">
        <f>IF(AND(C314=""),"",IF(AND($Y$309=""),"",ROUND(C314*Master!C$5%,0)))</f>
        <v/>
      </c>
      <c r="E314" s="9" t="str">
        <f>IF(AND(C314=""),"",IF(AND($Y$309=""),"",ROUND(C314*Master!H$5%,0)))</f>
        <v/>
      </c>
      <c r="F314" s="9" t="str">
        <f t="shared" ref="F314" si="279">IF(AND(C314=""),"",SUM(C314:E314))</f>
        <v/>
      </c>
      <c r="G314" s="9" t="str">
        <f>IF(ISNA(VLOOKUP($Y$309,Master!A$8:N$127,5,FALSE)),"",VLOOKUP($Y$309,Master!A$8:AH$127,5,FALSE))</f>
        <v/>
      </c>
      <c r="H314" s="9" t="str">
        <f>IF(AND(G314=""),"",IF(AND($Y$309=""),"",ROUND(G314*Master!C$4%,0)))</f>
        <v/>
      </c>
      <c r="I314" s="9" t="str">
        <f>IF(AND(G314=""),"",IF(AND($Y$309=""),"",ROUND(G314*Master!H$4%,0)))</f>
        <v/>
      </c>
      <c r="J314" s="9" t="str">
        <f t="shared" ref="J314:J315" si="280">IF(AND(C314=""),"",SUM(G314:I314))</f>
        <v/>
      </c>
      <c r="K314" s="9" t="str">
        <f t="shared" ref="K314:K316" si="281">IF(AND(C314=""),"",IF(AND(G314=""),"",C314-G314))</f>
        <v/>
      </c>
      <c r="L314" s="9" t="str">
        <f t="shared" ref="L314:L316" si="282">IF(AND(D314=""),"",IF(AND(H314=""),"",D314-H314))</f>
        <v/>
      </c>
      <c r="M314" s="9" t="str">
        <f t="shared" ref="M314:M315" si="283">IF(AND(E314=""),"",IF(AND(I314=""),"",E314-I314))</f>
        <v/>
      </c>
      <c r="N314" s="9" t="str">
        <f t="shared" ref="N314:N315" si="284">IF(AND(F314=""),"",IF(AND(J314=""),"",F314-J314))</f>
        <v/>
      </c>
      <c r="O314" s="9" t="str">
        <f>IF(AND(C314=""),"",N314-P314)</f>
        <v/>
      </c>
      <c r="P314" s="9" t="str">
        <f>IF(AND($Y$309=""),"",IF(AND(N314=""),"",ROUND(N314*AA$1%,0)))</f>
        <v/>
      </c>
      <c r="Q314" s="9" t="str">
        <f>IF(AND($Y$309=""),"",IF(AND(C314=""),"",IF(AND(O314=""),"",SUM(O314,P314))))</f>
        <v/>
      </c>
      <c r="R314" s="9" t="str">
        <f>IF(AND(N314=""),"",IF(AND(Q314=""),"",N314-Q314))</f>
        <v/>
      </c>
      <c r="S314" s="20"/>
    </row>
    <row r="315" spans="1:27" ht="21" customHeight="1">
      <c r="A315" s="8">
        <v>2</v>
      </c>
      <c r="B315" s="23" t="str">
        <f>IFERROR(DATE(YEAR(B314),MONTH(B314)+1,DAY(B314)),"")</f>
        <v/>
      </c>
      <c r="C315" s="9" t="str">
        <f>IF(AND($Y$309=""),"",C314)</f>
        <v/>
      </c>
      <c r="D315" s="9" t="str">
        <f>IF(AND(C315=""),"",IF(AND($Y$309=""),"",ROUND(C315*Master!C$5%,0)))</f>
        <v/>
      </c>
      <c r="E315" s="9" t="str">
        <f>IF(AND(C315=""),"",IF(AND($Y$309=""),"",ROUND(C315*Master!H$5%,0)))</f>
        <v/>
      </c>
      <c r="F315" s="9" t="str">
        <f>IF(AND(C315=""),"",SUM(C315:E315))</f>
        <v/>
      </c>
      <c r="G315" s="9" t="str">
        <f>IF(AND($Y$309=""),"",G314)</f>
        <v/>
      </c>
      <c r="H315" s="9" t="str">
        <f>IF(AND(G315=""),"",IF(AND($Y$309=""),"",ROUND(G315*Master!C$4%,0)))</f>
        <v/>
      </c>
      <c r="I315" s="9" t="str">
        <f>IF(AND(G315=""),"",IF(AND($Y$309=""),"",ROUND(G315*Master!H$4%,0)))</f>
        <v/>
      </c>
      <c r="J315" s="9" t="str">
        <f t="shared" si="280"/>
        <v/>
      </c>
      <c r="K315" s="9" t="str">
        <f t="shared" si="281"/>
        <v/>
      </c>
      <c r="L315" s="9" t="str">
        <f t="shared" si="282"/>
        <v/>
      </c>
      <c r="M315" s="9" t="str">
        <f t="shared" si="283"/>
        <v/>
      </c>
      <c r="N315" s="9" t="str">
        <f t="shared" si="284"/>
        <v/>
      </c>
      <c r="O315" s="9" t="str">
        <f t="shared" ref="O315:O316" si="285">IF(AND(C315=""),"",N315-P315)</f>
        <v/>
      </c>
      <c r="P315" s="9" t="str">
        <f>IF(AND($Y$309=""),"",IF(AND(N315=""),"",ROUND(N315*AA$1%,0)))</f>
        <v/>
      </c>
      <c r="Q315" s="9" t="str">
        <f>IF(AND($Y$309=""),"",IF(AND(C315=""),"",IF(AND(O315=""),"",SUM(O315,P315))))</f>
        <v/>
      </c>
      <c r="R315" s="9" t="str">
        <f t="shared" ref="R315:R316" si="286">IF(AND(N315=""),"",IF(AND(Q315=""),"",N315-Q315))</f>
        <v/>
      </c>
      <c r="S315" s="20"/>
    </row>
    <row r="316" spans="1:27" ht="21" customHeight="1">
      <c r="A316" s="8">
        <v>3</v>
      </c>
      <c r="B316" s="23" t="str">
        <f>IFERROR(DATE(YEAR(B315),MONTH(B315)+1,DAY(B315)),"")</f>
        <v/>
      </c>
      <c r="C316" s="9" t="str">
        <f>IF(AND($Y$309=""),"",C315)</f>
        <v/>
      </c>
      <c r="D316" s="9" t="str">
        <f>IF(AND(C316=""),"",IF(AND($Y$309=""),"",ROUND(C316*Master!C$5%,0)))</f>
        <v/>
      </c>
      <c r="E316" s="9" t="str">
        <f>IF(AND(C316=""),"",IF(AND($Y$309=""),"",ROUND(C316*Master!H$5%,0)))</f>
        <v/>
      </c>
      <c r="F316" s="9" t="str">
        <f t="shared" ref="F316" si="287">IF(AND(C316=""),"",SUM(C316:E316))</f>
        <v/>
      </c>
      <c r="G316" s="9" t="str">
        <f>IF(AND($Y$309=""),"",G315)</f>
        <v/>
      </c>
      <c r="H316" s="9" t="str">
        <f>IF(AND(G316=""),"",IF(AND($Y$309=""),"",ROUND(G316*Master!C$4%,0)))</f>
        <v/>
      </c>
      <c r="I316" s="9" t="str">
        <f>IF(AND(G316=""),"",IF(AND($Y$309=""),"",ROUND(G316*Master!H$4%,0)))</f>
        <v/>
      </c>
      <c r="J316" s="9" t="str">
        <f>IF(AND(C316=""),"",SUM(G316:I316))</f>
        <v/>
      </c>
      <c r="K316" s="9" t="str">
        <f t="shared" si="281"/>
        <v/>
      </c>
      <c r="L316" s="9" t="str">
        <f t="shared" si="282"/>
        <v/>
      </c>
      <c r="M316" s="9" t="str">
        <f>IF(AND(E316=""),"",IF(AND(I316=""),"",E316-I316))</f>
        <v/>
      </c>
      <c r="N316" s="9" t="str">
        <f>IF(AND(F316=""),"",IF(AND(J316=""),"",F316-J316))</f>
        <v/>
      </c>
      <c r="O316" s="9" t="str">
        <f t="shared" si="285"/>
        <v/>
      </c>
      <c r="P316" s="9" t="str">
        <f>IF(AND($Y$309=""),"",IF(AND(N316=""),"",ROUND(N316*AA$1%,0)))</f>
        <v/>
      </c>
      <c r="Q316" s="9" t="str">
        <f>IF(AND($Y$309=""),"",IF(AND(C316=""),"",IF(AND(O316=""),"",SUM(O316,P316))))</f>
        <v/>
      </c>
      <c r="R316" s="9" t="str">
        <f t="shared" si="286"/>
        <v/>
      </c>
      <c r="S316" s="20"/>
    </row>
    <row r="317" spans="1:27" ht="23.25" customHeight="1">
      <c r="A317" s="108" t="s">
        <v>9</v>
      </c>
      <c r="B317" s="109"/>
      <c r="C317" s="64">
        <f t="shared" ref="C317:R317" si="288">IF(AND($Y$309=""),"",SUM(C314:C316))</f>
        <v>0</v>
      </c>
      <c r="D317" s="64">
        <f t="shared" si="288"/>
        <v>0</v>
      </c>
      <c r="E317" s="64">
        <f t="shared" si="288"/>
        <v>0</v>
      </c>
      <c r="F317" s="64">
        <f t="shared" si="288"/>
        <v>0</v>
      </c>
      <c r="G317" s="64">
        <f t="shared" si="288"/>
        <v>0</v>
      </c>
      <c r="H317" s="64">
        <f t="shared" si="288"/>
        <v>0</v>
      </c>
      <c r="I317" s="64">
        <f t="shared" si="288"/>
        <v>0</v>
      </c>
      <c r="J317" s="64">
        <f t="shared" si="288"/>
        <v>0</v>
      </c>
      <c r="K317" s="64">
        <f t="shared" si="288"/>
        <v>0</v>
      </c>
      <c r="L317" s="64">
        <f t="shared" si="288"/>
        <v>0</v>
      </c>
      <c r="M317" s="64">
        <f t="shared" si="288"/>
        <v>0</v>
      </c>
      <c r="N317" s="64">
        <f t="shared" si="288"/>
        <v>0</v>
      </c>
      <c r="O317" s="64">
        <f t="shared" si="288"/>
        <v>0</v>
      </c>
      <c r="P317" s="64">
        <f t="shared" si="288"/>
        <v>0</v>
      </c>
      <c r="Q317" s="64">
        <f t="shared" si="288"/>
        <v>0</v>
      </c>
      <c r="R317" s="64">
        <f t="shared" si="288"/>
        <v>0</v>
      </c>
      <c r="S317" s="50"/>
    </row>
    <row r="318" spans="1:27" ht="10.5" customHeight="1">
      <c r="A318" s="75"/>
      <c r="B318" s="75"/>
      <c r="C318" s="76"/>
      <c r="D318" s="76"/>
      <c r="E318" s="76"/>
      <c r="F318" s="76"/>
      <c r="G318" s="76"/>
      <c r="H318" s="76"/>
      <c r="I318" s="76"/>
      <c r="J318" s="76"/>
      <c r="K318" s="76"/>
      <c r="L318" s="76"/>
      <c r="M318" s="76"/>
      <c r="N318" s="76"/>
      <c r="O318" s="76"/>
      <c r="P318" s="76"/>
      <c r="Q318" s="76"/>
      <c r="R318" s="76"/>
      <c r="S318" s="77"/>
    </row>
    <row r="319" spans="1:27" ht="23.25" customHeight="1">
      <c r="E319" s="116" t="s">
        <v>10</v>
      </c>
      <c r="F319" s="116"/>
      <c r="G319" s="116"/>
      <c r="H319" s="116"/>
      <c r="I319" s="116"/>
      <c r="J319" s="115" t="str">
        <f>IF(ISNA(VLOOKUP($Y$321,Master!A$8:N$127,2,FALSE)),"",VLOOKUP($Y$321,Master!A$8:AH$127,2,FALSE))</f>
        <v/>
      </c>
      <c r="K319" s="115"/>
      <c r="L319" s="115"/>
      <c r="M319" s="115"/>
      <c r="N319" s="115"/>
      <c r="O319" s="61" t="s">
        <v>31</v>
      </c>
      <c r="P319" s="115" t="str">
        <f>IF(ISNA(VLOOKUP($Y$321,Master!A$8:N$127,3,FALSE)),"",VLOOKUP($Y$321,Master!A$8:AH$127,3,FALSE))</f>
        <v/>
      </c>
      <c r="Q319" s="115"/>
      <c r="R319" s="115"/>
      <c r="S319" s="115"/>
    </row>
    <row r="320" spans="1:27" ht="9" customHeight="1">
      <c r="E320" s="19"/>
      <c r="F320" s="53"/>
      <c r="G320" s="22"/>
      <c r="H320" s="22"/>
      <c r="I320" s="22"/>
      <c r="J320" s="5"/>
      <c r="K320" s="5"/>
      <c r="L320" s="5"/>
      <c r="M320" s="5"/>
      <c r="N320" s="5"/>
      <c r="O320" s="6"/>
      <c r="P320" s="6"/>
    </row>
    <row r="321" spans="1:25" ht="21" customHeight="1">
      <c r="A321" s="8">
        <v>1</v>
      </c>
      <c r="B321" s="23" t="str">
        <f>IFERROR(IF(ISNA(VLOOKUP(Y321,Master!A$8:N$127,8,FALSE)),"",VLOOKUP($Y321,Master!A$8:AH$127,8,FALSE)),"")</f>
        <v/>
      </c>
      <c r="C321" s="9" t="str">
        <f>IF(ISNA(VLOOKUP($Y$321,Master!A$8:N$127,5,FALSE)),"",VLOOKUP($Y$321,Master!A$8:AH$127,5,FALSE))</f>
        <v/>
      </c>
      <c r="D321" s="9" t="str">
        <f>IF(AND(C321=""),"",IF(AND($Y$321=""),"",ROUND(C321*Master!C$5%,0)))</f>
        <v/>
      </c>
      <c r="E321" s="9" t="str">
        <f>IF(AND(C321=""),"",IF(AND($Y$321=""),"",ROUND(C321*Master!H$5%,0)))</f>
        <v/>
      </c>
      <c r="F321" s="9" t="str">
        <f t="shared" ref="F321:F323" si="289">IF(AND(C321=""),"",SUM(C321:E321))</f>
        <v/>
      </c>
      <c r="G321" s="9" t="str">
        <f>IF(ISNA(VLOOKUP($Y$321,Master!A$8:N$127,5,FALSE)),"",VLOOKUP($Y$321,Master!A$8:AH$127,5,FALSE))</f>
        <v/>
      </c>
      <c r="H321" s="9" t="str">
        <f>IF(AND(G321=""),"",IF(AND($Y$321=""),"",ROUND(G321*Master!C$4%,0)))</f>
        <v/>
      </c>
      <c r="I321" s="9" t="str">
        <f>IF(AND(G321=""),"",IF(AND($Y$321=""),"",ROUND(G321*Master!H$4%,0)))</f>
        <v/>
      </c>
      <c r="J321" s="9" t="str">
        <f t="shared" ref="J321:J323" si="290">IF(AND(C321=""),"",SUM(G321:I321))</f>
        <v/>
      </c>
      <c r="K321" s="9" t="str">
        <f t="shared" ref="K321" si="291">IF(AND(C321=""),"",IF(AND(G321=""),"",C321-G321))</f>
        <v/>
      </c>
      <c r="L321" s="9" t="str">
        <f>IF(AND(D321=""),"",IF(AND(H321=""),"",D321-H321))</f>
        <v/>
      </c>
      <c r="M321" s="9" t="str">
        <f t="shared" ref="M321:M323" si="292">IF(AND(E321=""),"",IF(AND(I321=""),"",E321-I321))</f>
        <v/>
      </c>
      <c r="N321" s="9" t="str">
        <f t="shared" ref="N321:N323" si="293">IF(AND(F321=""),"",IF(AND(J321=""),"",F321-J321))</f>
        <v/>
      </c>
      <c r="O321" s="9" t="str">
        <f>IF(AND(C321=""),"",N321-P321)</f>
        <v/>
      </c>
      <c r="P321" s="9" t="str">
        <f>IF(AND($Y$321=""),"",IF(AND(N321=""),"",ROUND(N321*X$16%,0)))</f>
        <v/>
      </c>
      <c r="Q321" s="9" t="str">
        <f>IF(AND($Y$321=""),"",IF(AND(C321=""),"",IF(AND(O321=""),"",SUM(O321,P321))))</f>
        <v/>
      </c>
      <c r="R321" s="9" t="str">
        <f>IF(AND(N321=""),"",IF(AND(Q321=""),"",N321-Q321))</f>
        <v/>
      </c>
      <c r="S321" s="20"/>
      <c r="X321" s="62" t="s">
        <v>62</v>
      </c>
      <c r="Y321" s="65">
        <v>29</v>
      </c>
    </row>
    <row r="322" spans="1:25" ht="21" customHeight="1">
      <c r="A322" s="8">
        <v>2</v>
      </c>
      <c r="B322" s="23" t="str">
        <f>IFERROR(DATE(YEAR(B321),MONTH(B321)+1,DAY(B321)),"")</f>
        <v/>
      </c>
      <c r="C322" s="9" t="str">
        <f>IF(AND($Y$321=""),"",C321)</f>
        <v/>
      </c>
      <c r="D322" s="9" t="str">
        <f>IF(AND(C322=""),"",IF(AND($Y$321=""),"",ROUND(C322*Master!C$5%,0)))</f>
        <v/>
      </c>
      <c r="E322" s="9" t="str">
        <f>IF(AND(C322=""),"",IF(AND($Y$321=""),"",ROUND(C322*Master!H$5%,0)))</f>
        <v/>
      </c>
      <c r="F322" s="9" t="str">
        <f t="shared" si="289"/>
        <v/>
      </c>
      <c r="G322" s="9" t="str">
        <f>IF(AND($Y$321=""),"",G321)</f>
        <v/>
      </c>
      <c r="H322" s="9" t="str">
        <f>IF(AND(G322=""),"",IF(AND($Y$321=""),"",ROUND(G322*Master!C$4%,0)))</f>
        <v/>
      </c>
      <c r="I322" s="9" t="str">
        <f>IF(AND(G322=""),"",IF(AND($Y$321=""),"",ROUND(G322*Master!H$4%,0)))</f>
        <v/>
      </c>
      <c r="J322" s="9" t="str">
        <f t="shared" si="290"/>
        <v/>
      </c>
      <c r="K322" s="9" t="str">
        <f>IF(AND(C322=""),"",IF(AND(G322=""),"",C322-G322))</f>
        <v/>
      </c>
      <c r="L322" s="9" t="str">
        <f t="shared" ref="L322:L323" si="294">IF(AND(D322=""),"",IF(AND(H322=""),"",D322-H322))</f>
        <v/>
      </c>
      <c r="M322" s="9" t="str">
        <f t="shared" si="292"/>
        <v/>
      </c>
      <c r="N322" s="9" t="str">
        <f t="shared" si="293"/>
        <v/>
      </c>
      <c r="O322" s="9" t="str">
        <f t="shared" ref="O322:O323" si="295">IF(AND(C322=""),"",N322-P322)</f>
        <v/>
      </c>
      <c r="P322" s="9" t="str">
        <f>IF(AND($Y$321=""),"",IF(AND(N322=""),"",ROUND(N322*X$16%,0)))</f>
        <v/>
      </c>
      <c r="Q322" s="9" t="str">
        <f>IF(AND($Y$321=""),"",IF(AND(C322=""),"",IF(AND(O322=""),"",SUM(O322,P322))))</f>
        <v/>
      </c>
      <c r="R322" s="9" t="str">
        <f t="shared" ref="R322:R323" si="296">IF(AND(N322=""),"",IF(AND(Q322=""),"",N322-Q322))</f>
        <v/>
      </c>
      <c r="S322" s="20"/>
      <c r="X322" s="4" t="str">
        <f>IF(ISNA(VLOOKUP($Y$321,Master!A$8:N$127,7,FALSE)),"",VLOOKUP($Y$321,Master!A$8:AH$127,7,FALSE))</f>
        <v/>
      </c>
    </row>
    <row r="323" spans="1:25" ht="21" customHeight="1">
      <c r="A323" s="8">
        <v>3</v>
      </c>
      <c r="B323" s="23" t="str">
        <f>IFERROR(DATE(YEAR(B322),MONTH(B322)+1,DAY(B322)),"")</f>
        <v/>
      </c>
      <c r="C323" s="9" t="str">
        <f>IF(AND($Y$321=""),"",C322)</f>
        <v/>
      </c>
      <c r="D323" s="9" t="str">
        <f>IF(AND(C323=""),"",IF(AND($Y$321=""),"",ROUND(C323*Master!C$5%,0)))</f>
        <v/>
      </c>
      <c r="E323" s="9" t="str">
        <f>IF(AND(C323=""),"",IF(AND($Y$321=""),"",ROUND(C323*Master!H$5%,0)))</f>
        <v/>
      </c>
      <c r="F323" s="9" t="str">
        <f t="shared" si="289"/>
        <v/>
      </c>
      <c r="G323" s="9" t="str">
        <f>IF(AND($Y$321=""),"",G322)</f>
        <v/>
      </c>
      <c r="H323" s="9" t="str">
        <f>IF(AND(G323=""),"",IF(AND($Y$321=""),"",ROUND(G323*Master!C$4%,0)))</f>
        <v/>
      </c>
      <c r="I323" s="9" t="str">
        <f>IF(AND(G323=""),"",IF(AND($Y$321=""),"",ROUND(G323*Master!H$4%,0)))</f>
        <v/>
      </c>
      <c r="J323" s="9" t="str">
        <f t="shared" si="290"/>
        <v/>
      </c>
      <c r="K323" s="9" t="str">
        <f t="shared" ref="K323" si="297">IF(AND(C323=""),"",IF(AND(G323=""),"",C323-G323))</f>
        <v/>
      </c>
      <c r="L323" s="9" t="str">
        <f t="shared" si="294"/>
        <v/>
      </c>
      <c r="M323" s="9" t="str">
        <f t="shared" si="292"/>
        <v/>
      </c>
      <c r="N323" s="9" t="str">
        <f t="shared" si="293"/>
        <v/>
      </c>
      <c r="O323" s="9" t="str">
        <f t="shared" si="295"/>
        <v/>
      </c>
      <c r="P323" s="9" t="str">
        <f>IF(AND($Y$321=""),"",IF(AND(N323=""),"",ROUND(N323*X$16%,0)))</f>
        <v/>
      </c>
      <c r="Q323" s="9" t="str">
        <f>IF(AND($Y$321=""),"",IF(AND(C323=""),"",IF(AND(O323=""),"",SUM(O323,P323))))</f>
        <v/>
      </c>
      <c r="R323" s="9" t="str">
        <f t="shared" si="296"/>
        <v/>
      </c>
      <c r="S323" s="20"/>
    </row>
    <row r="324" spans="1:25" ht="30.75" customHeight="1">
      <c r="A324" s="108" t="s">
        <v>9</v>
      </c>
      <c r="B324" s="109"/>
      <c r="C324" s="64">
        <f t="shared" ref="C324:R324" si="298">IF(AND($Y$321=""),"",SUM(C321:C323))</f>
        <v>0</v>
      </c>
      <c r="D324" s="64">
        <f t="shared" si="298"/>
        <v>0</v>
      </c>
      <c r="E324" s="64">
        <f t="shared" si="298"/>
        <v>0</v>
      </c>
      <c r="F324" s="64">
        <f t="shared" si="298"/>
        <v>0</v>
      </c>
      <c r="G324" s="64">
        <f t="shared" si="298"/>
        <v>0</v>
      </c>
      <c r="H324" s="64">
        <f t="shared" si="298"/>
        <v>0</v>
      </c>
      <c r="I324" s="64">
        <f t="shared" si="298"/>
        <v>0</v>
      </c>
      <c r="J324" s="64">
        <f t="shared" si="298"/>
        <v>0</v>
      </c>
      <c r="K324" s="64">
        <f t="shared" si="298"/>
        <v>0</v>
      </c>
      <c r="L324" s="64">
        <f t="shared" si="298"/>
        <v>0</v>
      </c>
      <c r="M324" s="64">
        <f t="shared" si="298"/>
        <v>0</v>
      </c>
      <c r="N324" s="64">
        <f t="shared" si="298"/>
        <v>0</v>
      </c>
      <c r="O324" s="64">
        <f t="shared" si="298"/>
        <v>0</v>
      </c>
      <c r="P324" s="64">
        <f t="shared" si="298"/>
        <v>0</v>
      </c>
      <c r="Q324" s="64">
        <f t="shared" si="298"/>
        <v>0</v>
      </c>
      <c r="R324" s="64">
        <f t="shared" si="298"/>
        <v>0</v>
      </c>
      <c r="S324" s="50"/>
    </row>
    <row r="325" spans="1:25" ht="11.25" customHeight="1">
      <c r="A325" s="75"/>
      <c r="B325" s="75"/>
      <c r="C325" s="76"/>
      <c r="D325" s="76"/>
      <c r="E325" s="76"/>
      <c r="F325" s="76"/>
      <c r="G325" s="76"/>
      <c r="H325" s="76"/>
      <c r="I325" s="76"/>
      <c r="J325" s="76"/>
      <c r="K325" s="76"/>
      <c r="L325" s="76"/>
      <c r="M325" s="76"/>
      <c r="N325" s="76"/>
      <c r="O325" s="76"/>
      <c r="P325" s="76"/>
      <c r="Q325" s="76"/>
      <c r="R325" s="76"/>
      <c r="S325" s="77"/>
    </row>
    <row r="326" spans="1:25" ht="23.25" customHeight="1">
      <c r="E326" s="116" t="s">
        <v>10</v>
      </c>
      <c r="F326" s="116"/>
      <c r="G326" s="116"/>
      <c r="H326" s="116"/>
      <c r="I326" s="116"/>
      <c r="J326" s="115" t="str">
        <f>IF(ISNA(VLOOKUP($Y$328,Master!A$8:N$127,2,FALSE)),"",VLOOKUP($Y$328,Master!A$8:AH$127,2,FALSE))</f>
        <v/>
      </c>
      <c r="K326" s="115"/>
      <c r="L326" s="115"/>
      <c r="M326" s="115"/>
      <c r="N326" s="115"/>
      <c r="O326" s="61" t="s">
        <v>31</v>
      </c>
      <c r="P326" s="115" t="str">
        <f>IF(ISNA(VLOOKUP($Y$328,Master!A$8:N$127,3,FALSE)),"",VLOOKUP($Y$328,Master!A$8:AH$127,3,FALSE))</f>
        <v/>
      </c>
      <c r="Q326" s="115"/>
      <c r="R326" s="115"/>
      <c r="S326" s="115"/>
    </row>
    <row r="327" spans="1:25" ht="9" customHeight="1">
      <c r="E327" s="19"/>
      <c r="F327" s="53"/>
      <c r="G327" s="22"/>
      <c r="H327" s="22"/>
      <c r="I327" s="22"/>
      <c r="J327" s="5"/>
      <c r="K327" s="5"/>
      <c r="L327" s="5"/>
      <c r="M327" s="5"/>
      <c r="N327" s="5"/>
      <c r="O327" s="6"/>
      <c r="P327" s="6"/>
    </row>
    <row r="328" spans="1:25" ht="21" customHeight="1">
      <c r="A328" s="8">
        <v>1</v>
      </c>
      <c r="B328" s="23" t="str">
        <f>IFERROR(IF(ISNA(VLOOKUP(Y328,Master!A$8:N$127,8,FALSE)),"",VLOOKUP($Y328,Master!A$8:AH$127,8,FALSE)),"")</f>
        <v/>
      </c>
      <c r="C328" s="9" t="str">
        <f>IF(ISNA(VLOOKUP($Y$328,Master!A$8:N$127,5,FALSE)),"",VLOOKUP($Y$328,Master!A$8:AH$127,5,FALSE))</f>
        <v/>
      </c>
      <c r="D328" s="9" t="str">
        <f>IF(AND(C328=""),"",IF(AND($Y$328=""),"",ROUND(C328*Master!C$5%,0)))</f>
        <v/>
      </c>
      <c r="E328" s="9" t="str">
        <f>IF(AND(C328=""),"",IF(AND($Y$328=""),"",ROUND(C328*Master!H$5%,0)))</f>
        <v/>
      </c>
      <c r="F328" s="9" t="str">
        <f t="shared" ref="F328:F330" si="299">IF(AND(C328=""),"",SUM(C328:E328))</f>
        <v/>
      </c>
      <c r="G328" s="9" t="str">
        <f>IF(ISNA(VLOOKUP($Y$328,Master!A$8:N$127,5,FALSE)),"",VLOOKUP($Y$328,Master!A$8:AH$127,5,FALSE))</f>
        <v/>
      </c>
      <c r="H328" s="9" t="str">
        <f>IF(AND(G328=""),"",IF(AND($Y$328=""),"",ROUND(G328*Master!C$4%,0)))</f>
        <v/>
      </c>
      <c r="I328" s="9" t="str">
        <f>IF(AND(G328=""),"",IF(AND($Y$328=""),"",ROUND(G328*Master!H$4%,0)))</f>
        <v/>
      </c>
      <c r="J328" s="9" t="str">
        <f t="shared" ref="J328:J330" si="300">IF(AND(C328=""),"",SUM(G328:I328))</f>
        <v/>
      </c>
      <c r="K328" s="9" t="str">
        <f t="shared" ref="K328:K330" si="301">IF(AND(C328=""),"",IF(AND(G328=""),"",C328-G328))</f>
        <v/>
      </c>
      <c r="L328" s="9" t="str">
        <f t="shared" ref="L328:L330" si="302">IF(AND(D328=""),"",IF(AND(H328=""),"",D328-H328))</f>
        <v/>
      </c>
      <c r="M328" s="9" t="str">
        <f t="shared" ref="M328:M330" si="303">IF(AND(E328=""),"",IF(AND(I328=""),"",E328-I328))</f>
        <v/>
      </c>
      <c r="N328" s="9" t="str">
        <f t="shared" ref="N328:N330" si="304">IF(AND(F328=""),"",IF(AND(J328=""),"",F328-J328))</f>
        <v/>
      </c>
      <c r="O328" s="9" t="str">
        <f>IF(AND(C328=""),"",N328-P328)</f>
        <v/>
      </c>
      <c r="P328" s="9" t="str">
        <f>IF(AND($Y$328=""),"",IF(AND(N328=""),"",ROUND(N328*AA$1%,0)))</f>
        <v/>
      </c>
      <c r="Q328" s="9" t="str">
        <f>IF(AND($Y$328=""),"",IF(AND(C328=""),"",IF(AND(O328=""),"",SUM(O328,P328))))</f>
        <v/>
      </c>
      <c r="R328" s="9" t="str">
        <f>IF(AND(N328=""),"",IF(AND(Q328=""),"",N328-Q328))</f>
        <v/>
      </c>
      <c r="S328" s="20"/>
      <c r="X328" s="62" t="s">
        <v>62</v>
      </c>
      <c r="Y328" s="65">
        <v>30</v>
      </c>
    </row>
    <row r="329" spans="1:25" ht="21" customHeight="1">
      <c r="A329" s="8">
        <v>2</v>
      </c>
      <c r="B329" s="23" t="str">
        <f>IFERROR(DATE(YEAR(B328),MONTH(B328)+1,DAY(B328)),"")</f>
        <v/>
      </c>
      <c r="C329" s="9" t="str">
        <f>IF(AND($Y$328=""),"",C328)</f>
        <v/>
      </c>
      <c r="D329" s="9" t="str">
        <f>IF(AND(C329=""),"",IF(AND($Y$328=""),"",ROUND(C329*Master!C$5%,0)))</f>
        <v/>
      </c>
      <c r="E329" s="9" t="str">
        <f>IF(AND(C329=""),"",IF(AND($Y$328=""),"",ROUND(C329*Master!H$5%,0)))</f>
        <v/>
      </c>
      <c r="F329" s="9" t="str">
        <f t="shared" si="299"/>
        <v/>
      </c>
      <c r="G329" s="9" t="str">
        <f>IF(AND($Y$328=""),"",G328)</f>
        <v/>
      </c>
      <c r="H329" s="9" t="str">
        <f>IF(AND(G329=""),"",IF(AND($Y$328=""),"",ROUND(G329*Master!C$4%,0)))</f>
        <v/>
      </c>
      <c r="I329" s="9" t="str">
        <f>IF(AND(G329=""),"",IF(AND($Y$328=""),"",ROUND(G329*Master!H$4%,0)))</f>
        <v/>
      </c>
      <c r="J329" s="9" t="str">
        <f t="shared" si="300"/>
        <v/>
      </c>
      <c r="K329" s="9" t="str">
        <f t="shared" si="301"/>
        <v/>
      </c>
      <c r="L329" s="9" t="str">
        <f t="shared" si="302"/>
        <v/>
      </c>
      <c r="M329" s="9" t="str">
        <f t="shared" si="303"/>
        <v/>
      </c>
      <c r="N329" s="9" t="str">
        <f t="shared" si="304"/>
        <v/>
      </c>
      <c r="O329" s="9" t="str">
        <f t="shared" ref="O329:O330" si="305">IF(AND(C329=""),"",N329-P329)</f>
        <v/>
      </c>
      <c r="P329" s="9" t="str">
        <f>IF(AND($Y$328=""),"",IF(AND(N329=""),"",ROUND(N329*AA$1%,0)))</f>
        <v/>
      </c>
      <c r="Q329" s="9" t="str">
        <f>IF(AND($Y$328=""),"",IF(AND(C329=""),"",IF(AND(O329=""),"",SUM(O329,P329))))</f>
        <v/>
      </c>
      <c r="R329" s="9" t="str">
        <f t="shared" ref="R329:R330" si="306">IF(AND(N329=""),"",IF(AND(Q329=""),"",N329-Q329))</f>
        <v/>
      </c>
      <c r="S329" s="20"/>
      <c r="X329" s="4" t="str">
        <f>IF(ISNA(VLOOKUP($Y$328,Master!A$8:N$127,7,FALSE)),"",VLOOKUP($Y$328,Master!A$8:AH$127,7,FALSE))</f>
        <v/>
      </c>
    </row>
    <row r="330" spans="1:25" ht="21" customHeight="1">
      <c r="A330" s="8">
        <v>3</v>
      </c>
      <c r="B330" s="23" t="str">
        <f>IFERROR(DATE(YEAR(B329),MONTH(B329)+1,DAY(B329)),"")</f>
        <v/>
      </c>
      <c r="C330" s="9" t="str">
        <f>IF(AND($Y$328=""),"",C329)</f>
        <v/>
      </c>
      <c r="D330" s="9" t="str">
        <f>IF(AND(C330=""),"",IF(AND($Y$328=""),"",ROUND(C330*Master!C$5%,0)))</f>
        <v/>
      </c>
      <c r="E330" s="9" t="str">
        <f>IF(AND(C330=""),"",IF(AND($Y$328=""),"",ROUND(C330*Master!H$5%,0)))</f>
        <v/>
      </c>
      <c r="F330" s="9" t="str">
        <f t="shared" si="299"/>
        <v/>
      </c>
      <c r="G330" s="9" t="str">
        <f>IF(AND($Y$328=""),"",G329)</f>
        <v/>
      </c>
      <c r="H330" s="9" t="str">
        <f>IF(AND(G330=""),"",IF(AND($Y$328=""),"",ROUND(G330*Master!C$4%,0)))</f>
        <v/>
      </c>
      <c r="I330" s="9" t="str">
        <f>IF(AND(G330=""),"",IF(AND($Y$328=""),"",ROUND(G330*Master!H$4%,0)))</f>
        <v/>
      </c>
      <c r="J330" s="9" t="str">
        <f t="shared" si="300"/>
        <v/>
      </c>
      <c r="K330" s="9" t="str">
        <f t="shared" si="301"/>
        <v/>
      </c>
      <c r="L330" s="9" t="str">
        <f t="shared" si="302"/>
        <v/>
      </c>
      <c r="M330" s="9" t="str">
        <f t="shared" si="303"/>
        <v/>
      </c>
      <c r="N330" s="9" t="str">
        <f t="shared" si="304"/>
        <v/>
      </c>
      <c r="O330" s="9" t="str">
        <f t="shared" si="305"/>
        <v/>
      </c>
      <c r="P330" s="9" t="str">
        <f>IF(AND($Y$328=""),"",IF(AND(N330=""),"",ROUND(N330*AA$1%,0)))</f>
        <v/>
      </c>
      <c r="Q330" s="9" t="str">
        <f>IF(AND($Y$328=""),"",IF(AND(C330=""),"",IF(AND(O330=""),"",SUM(O330,P330))))</f>
        <v/>
      </c>
      <c r="R330" s="9" t="str">
        <f t="shared" si="306"/>
        <v/>
      </c>
      <c r="S330" s="20"/>
    </row>
    <row r="331" spans="1:25" ht="30.75" customHeight="1">
      <c r="A331" s="108" t="s">
        <v>9</v>
      </c>
      <c r="B331" s="109"/>
      <c r="C331" s="64">
        <f t="shared" ref="C331:R331" si="307">IF(AND($Y$328=""),"",SUM(C328:C330))</f>
        <v>0</v>
      </c>
      <c r="D331" s="64">
        <f t="shared" si="307"/>
        <v>0</v>
      </c>
      <c r="E331" s="64">
        <f t="shared" si="307"/>
        <v>0</v>
      </c>
      <c r="F331" s="64">
        <f t="shared" si="307"/>
        <v>0</v>
      </c>
      <c r="G331" s="64">
        <f t="shared" si="307"/>
        <v>0</v>
      </c>
      <c r="H331" s="64">
        <f t="shared" si="307"/>
        <v>0</v>
      </c>
      <c r="I331" s="64">
        <f t="shared" si="307"/>
        <v>0</v>
      </c>
      <c r="J331" s="64">
        <f t="shared" si="307"/>
        <v>0</v>
      </c>
      <c r="K331" s="64">
        <f t="shared" si="307"/>
        <v>0</v>
      </c>
      <c r="L331" s="64">
        <f t="shared" si="307"/>
        <v>0</v>
      </c>
      <c r="M331" s="64">
        <f t="shared" si="307"/>
        <v>0</v>
      </c>
      <c r="N331" s="64">
        <f t="shared" si="307"/>
        <v>0</v>
      </c>
      <c r="O331" s="64">
        <f t="shared" si="307"/>
        <v>0</v>
      </c>
      <c r="P331" s="64">
        <f t="shared" si="307"/>
        <v>0</v>
      </c>
      <c r="Q331" s="64">
        <f t="shared" si="307"/>
        <v>0</v>
      </c>
      <c r="R331" s="64">
        <f t="shared" si="307"/>
        <v>0</v>
      </c>
      <c r="S331" s="50"/>
    </row>
    <row r="332" spans="1:25" ht="30.75" customHeight="1">
      <c r="A332" s="75"/>
      <c r="B332" s="75"/>
      <c r="C332" s="76"/>
      <c r="D332" s="76"/>
      <c r="E332" s="76"/>
      <c r="F332" s="76"/>
      <c r="G332" s="76"/>
      <c r="H332" s="76"/>
      <c r="I332" s="76"/>
      <c r="J332" s="76"/>
      <c r="K332" s="76"/>
      <c r="L332" s="76"/>
      <c r="M332" s="76"/>
      <c r="N332" s="76"/>
      <c r="O332" s="76"/>
      <c r="P332" s="76"/>
      <c r="Q332" s="76"/>
      <c r="R332" s="76"/>
      <c r="S332" s="77"/>
    </row>
    <row r="333" spans="1:25" ht="18.75">
      <c r="A333" s="21"/>
      <c r="B333" s="59"/>
      <c r="C333" s="59"/>
      <c r="D333" s="59"/>
      <c r="E333" s="59"/>
      <c r="F333" s="59"/>
      <c r="G333" s="59"/>
      <c r="H333" s="60"/>
      <c r="I333" s="60"/>
      <c r="J333" s="60"/>
      <c r="K333" s="68"/>
      <c r="L333" s="68"/>
      <c r="M333" s="68"/>
      <c r="N333" s="68"/>
      <c r="O333" s="107" t="s">
        <v>55</v>
      </c>
      <c r="P333" s="107"/>
      <c r="Q333" s="107"/>
      <c r="R333" s="107"/>
      <c r="S333" s="107"/>
    </row>
    <row r="334" spans="1:25" ht="18.75">
      <c r="A334" s="1"/>
      <c r="B334" s="24" t="s">
        <v>19</v>
      </c>
      <c r="C334" s="118"/>
      <c r="D334" s="118"/>
      <c r="E334" s="118"/>
      <c r="F334" s="118"/>
      <c r="G334" s="118"/>
      <c r="H334" s="25"/>
      <c r="I334" s="121" t="s">
        <v>20</v>
      </c>
      <c r="J334" s="121"/>
      <c r="K334" s="120"/>
      <c r="L334" s="120"/>
      <c r="M334" s="120"/>
      <c r="O334" s="107"/>
      <c r="P334" s="107"/>
      <c r="Q334" s="107"/>
      <c r="R334" s="107"/>
      <c r="S334" s="107"/>
    </row>
    <row r="335" spans="1:25" ht="18.75">
      <c r="A335" s="1"/>
      <c r="B335" s="119" t="s">
        <v>21</v>
      </c>
      <c r="C335" s="119"/>
      <c r="D335" s="119"/>
      <c r="E335" s="119"/>
      <c r="F335" s="119"/>
      <c r="G335" s="119"/>
      <c r="H335" s="119"/>
      <c r="I335" s="27"/>
      <c r="J335" s="26"/>
      <c r="K335" s="26"/>
      <c r="L335" s="26"/>
      <c r="M335" s="26"/>
    </row>
    <row r="336" spans="1:25" ht="18.75">
      <c r="A336" s="22">
        <v>1</v>
      </c>
      <c r="B336" s="117" t="s">
        <v>22</v>
      </c>
      <c r="C336" s="117"/>
      <c r="D336" s="117"/>
      <c r="E336" s="117"/>
      <c r="F336" s="117"/>
      <c r="G336" s="117"/>
      <c r="H336" s="117"/>
      <c r="I336" s="28"/>
      <c r="J336" s="26"/>
      <c r="K336" s="26"/>
      <c r="L336" s="26"/>
      <c r="M336" s="26"/>
    </row>
    <row r="337" spans="1:27" ht="18.75">
      <c r="A337" s="2">
        <v>2</v>
      </c>
      <c r="B337" s="117" t="s">
        <v>23</v>
      </c>
      <c r="C337" s="117"/>
      <c r="D337" s="117"/>
      <c r="E337" s="117"/>
      <c r="F337" s="117"/>
      <c r="G337" s="115"/>
      <c r="H337" s="115"/>
      <c r="I337" s="115"/>
      <c r="J337" s="115"/>
      <c r="K337" s="115"/>
      <c r="L337" s="115"/>
      <c r="M337" s="115"/>
    </row>
    <row r="338" spans="1:27" ht="18.75">
      <c r="A338" s="3">
        <v>3</v>
      </c>
      <c r="B338" s="117" t="s">
        <v>24</v>
      </c>
      <c r="C338" s="117"/>
      <c r="D338" s="117"/>
      <c r="E338" s="29"/>
      <c r="F338" s="28"/>
      <c r="G338" s="28"/>
      <c r="H338" s="30"/>
      <c r="I338" s="31"/>
      <c r="J338" s="26"/>
      <c r="K338" s="26"/>
      <c r="L338" s="26"/>
      <c r="M338" s="26"/>
    </row>
    <row r="339" spans="1:27" ht="15.75">
      <c r="O339" s="107" t="s">
        <v>55</v>
      </c>
      <c r="P339" s="107"/>
      <c r="Q339" s="107"/>
      <c r="R339" s="107"/>
      <c r="S339" s="107"/>
    </row>
    <row r="341" spans="1:27" ht="18" customHeight="1">
      <c r="A341" s="122" t="str">
        <f>A307</f>
        <v xml:space="preserve">DA (38%) Drawn Statement  </v>
      </c>
      <c r="B341" s="122"/>
      <c r="C341" s="122"/>
      <c r="D341" s="122"/>
      <c r="E341" s="122"/>
      <c r="F341" s="122"/>
      <c r="G341" s="122"/>
      <c r="H341" s="122"/>
      <c r="I341" s="122"/>
      <c r="J341" s="122"/>
      <c r="K341" s="122"/>
      <c r="L341" s="122"/>
      <c r="M341" s="122"/>
      <c r="N341" s="122"/>
      <c r="O341" s="122"/>
      <c r="P341" s="122"/>
      <c r="Q341" s="122"/>
      <c r="R341" s="122"/>
      <c r="S341" s="122"/>
      <c r="W341" s="4">
        <f>IF(ISNA(VLOOKUP($Y$3,Master!A$8:N$127,4,FALSE)),"",VLOOKUP($Y$3,Master!A$8:AH$127,4,FALSE))</f>
        <v>3</v>
      </c>
      <c r="X341" s="4" t="str">
        <f>IF(ISNA(VLOOKUP($Y$3,Master!A$8:N$127,6,FALSE)),"",VLOOKUP($Y$3,Master!A$8:AH$127,6,FALSE))</f>
        <v>GPF</v>
      </c>
      <c r="Y341" s="4" t="s">
        <v>58</v>
      </c>
      <c r="Z341" s="4" t="s">
        <v>18</v>
      </c>
      <c r="AA341" s="4" t="str">
        <f>IF(ISNA(VLOOKUP($Y$343,Master!A$8:N$127,7,FALSE)),"",VLOOKUP($Y$343,Master!A$8:AH$127,7,FALSE))</f>
        <v/>
      </c>
    </row>
    <row r="342" spans="1:27" ht="18">
      <c r="A342" s="114" t="str">
        <f>IF(AND(Master!C343=""),"",CONCATENATE("Office Of  ",Master!C343))</f>
        <v/>
      </c>
      <c r="B342" s="114"/>
      <c r="C342" s="114"/>
      <c r="D342" s="114"/>
      <c r="E342" s="114"/>
      <c r="F342" s="114"/>
      <c r="G342" s="114"/>
      <c r="H342" s="114"/>
      <c r="I342" s="114"/>
      <c r="J342" s="114"/>
      <c r="K342" s="114"/>
      <c r="L342" s="114"/>
      <c r="M342" s="114"/>
      <c r="N342" s="114"/>
      <c r="O342" s="114"/>
      <c r="P342" s="114"/>
      <c r="Q342" s="114"/>
      <c r="R342" s="114"/>
      <c r="S342" s="114"/>
      <c r="X342" s="4">
        <f>IF(ISNA(VLOOKUP($Y$3,Master!A$8:N$127,8,FALSE)),"",VLOOKUP($Y$3,Master!A$8:AH$127,8,FALSE))</f>
        <v>44743</v>
      </c>
      <c r="Y342" s="4" t="s">
        <v>56</v>
      </c>
    </row>
    <row r="343" spans="1:27" ht="18.75">
      <c r="E343" s="116" t="s">
        <v>10</v>
      </c>
      <c r="F343" s="116"/>
      <c r="G343" s="116"/>
      <c r="H343" s="116"/>
      <c r="I343" s="116"/>
      <c r="J343" s="115" t="str">
        <f>IF(ISNA(VLOOKUP($Y$343,Master!A$8:N$127,2,FALSE)),"",VLOOKUP($Y$343,Master!A$8:AH$127,2,FALSE))</f>
        <v/>
      </c>
      <c r="K343" s="115"/>
      <c r="L343" s="115"/>
      <c r="M343" s="115"/>
      <c r="N343" s="115"/>
      <c r="O343" s="61" t="s">
        <v>31</v>
      </c>
      <c r="P343" s="115" t="str">
        <f>IF(ISNA(VLOOKUP($Y$343,Master!A$8:N$127,3,FALSE)),"",VLOOKUP($Y$343,Master!A$8:AH$127,3,FALSE))</f>
        <v/>
      </c>
      <c r="Q343" s="115"/>
      <c r="R343" s="115"/>
      <c r="S343" s="115"/>
      <c r="X343" s="62" t="s">
        <v>62</v>
      </c>
      <c r="Y343" s="65">
        <v>31</v>
      </c>
    </row>
    <row r="344" spans="1:27" ht="8.25" customHeight="1">
      <c r="E344" s="19"/>
      <c r="F344" s="53"/>
      <c r="G344" s="22"/>
      <c r="H344" s="22"/>
      <c r="I344" s="22"/>
      <c r="J344" s="5"/>
      <c r="K344" s="5"/>
      <c r="L344" s="5"/>
      <c r="M344" s="5"/>
      <c r="N344" s="5"/>
      <c r="O344" s="6"/>
      <c r="P344" s="6"/>
    </row>
    <row r="345" spans="1:27" ht="24.75" customHeight="1">
      <c r="A345" s="110" t="s">
        <v>0</v>
      </c>
      <c r="B345" s="111" t="s">
        <v>3</v>
      </c>
      <c r="C345" s="112" t="s">
        <v>5</v>
      </c>
      <c r="D345" s="112"/>
      <c r="E345" s="112"/>
      <c r="F345" s="112"/>
      <c r="G345" s="112" t="s">
        <v>6</v>
      </c>
      <c r="H345" s="112"/>
      <c r="I345" s="112"/>
      <c r="J345" s="112"/>
      <c r="K345" s="112" t="s">
        <v>7</v>
      </c>
      <c r="L345" s="112"/>
      <c r="M345" s="112"/>
      <c r="N345" s="112"/>
      <c r="O345" s="97" t="s">
        <v>8</v>
      </c>
      <c r="P345" s="98"/>
      <c r="Q345" s="99"/>
      <c r="R345" s="105" t="s">
        <v>67</v>
      </c>
      <c r="S345" s="105" t="s">
        <v>50</v>
      </c>
    </row>
    <row r="346" spans="1:27" ht="69" customHeight="1">
      <c r="A346" s="110"/>
      <c r="B346" s="111"/>
      <c r="C346" s="55" t="s">
        <v>29</v>
      </c>
      <c r="D346" s="56" t="s">
        <v>1</v>
      </c>
      <c r="E346" s="57" t="s">
        <v>2</v>
      </c>
      <c r="F346" s="55" t="s">
        <v>59</v>
      </c>
      <c r="G346" s="55" t="s">
        <v>29</v>
      </c>
      <c r="H346" s="56" t="s">
        <v>1</v>
      </c>
      <c r="I346" s="57" t="s">
        <v>2</v>
      </c>
      <c r="J346" s="55" t="s">
        <v>60</v>
      </c>
      <c r="K346" s="55" t="s">
        <v>4</v>
      </c>
      <c r="L346" s="56" t="s">
        <v>1</v>
      </c>
      <c r="M346" s="57" t="s">
        <v>2</v>
      </c>
      <c r="N346" s="58" t="s">
        <v>61</v>
      </c>
      <c r="O346" s="54" t="s">
        <v>83</v>
      </c>
      <c r="P346" s="67" t="s">
        <v>51</v>
      </c>
      <c r="Q346" s="58" t="s">
        <v>66</v>
      </c>
      <c r="R346" s="105"/>
      <c r="S346" s="105"/>
    </row>
    <row r="347" spans="1:27" ht="18" customHeight="1">
      <c r="A347" s="7">
        <v>1</v>
      </c>
      <c r="B347" s="7">
        <v>2</v>
      </c>
      <c r="C347" s="7">
        <v>3</v>
      </c>
      <c r="D347" s="7">
        <v>4</v>
      </c>
      <c r="E347" s="7">
        <v>5</v>
      </c>
      <c r="F347" s="7">
        <v>6</v>
      </c>
      <c r="G347" s="7">
        <v>7</v>
      </c>
      <c r="H347" s="7">
        <v>8</v>
      </c>
      <c r="I347" s="7">
        <v>9</v>
      </c>
      <c r="J347" s="7">
        <v>10</v>
      </c>
      <c r="K347" s="7">
        <v>11</v>
      </c>
      <c r="L347" s="7">
        <v>12</v>
      </c>
      <c r="M347" s="7">
        <v>13</v>
      </c>
      <c r="N347" s="7">
        <v>14</v>
      </c>
      <c r="O347" s="7">
        <v>15</v>
      </c>
      <c r="P347" s="7">
        <v>17</v>
      </c>
      <c r="Q347" s="7">
        <v>18</v>
      </c>
      <c r="R347" s="7">
        <v>19</v>
      </c>
      <c r="S347" s="7">
        <v>20</v>
      </c>
    </row>
    <row r="348" spans="1:27" ht="21" customHeight="1">
      <c r="A348" s="8">
        <v>1</v>
      </c>
      <c r="B348" s="23" t="str">
        <f>IFERROR(IF(ISNA(VLOOKUP(Y343,Master!A$8:N$127,8,FALSE)),"",VLOOKUP($Y343,Master!A$8:AH$127,8,FALSE)),"")</f>
        <v/>
      </c>
      <c r="C348" s="9" t="str">
        <f>IF(ISNA(VLOOKUP(Y343,Master!A$8:N$127,5,FALSE)),"",VLOOKUP($Y$343,Master!A$8:AH$127,5,FALSE))</f>
        <v/>
      </c>
      <c r="D348" s="9" t="str">
        <f>IF(AND(C348=""),"",IF(AND($Y$343=""),"",ROUND(C348*Master!C$5%,0)))</f>
        <v/>
      </c>
      <c r="E348" s="9" t="str">
        <f>IF(AND(C348=""),"",IF(AND($Y$343=""),"",ROUND(C348*Master!H$5%,0)))</f>
        <v/>
      </c>
      <c r="F348" s="9" t="str">
        <f t="shared" ref="F348" si="308">IF(AND(C348=""),"",SUM(C348:E348))</f>
        <v/>
      </c>
      <c r="G348" s="9" t="str">
        <f>IF(ISNA(VLOOKUP($Y$343,Master!A$8:N$127,5,FALSE)),"",VLOOKUP($Y$343,Master!A$8:AH$127,5,FALSE))</f>
        <v/>
      </c>
      <c r="H348" s="9" t="str">
        <f>IF(AND(G348=""),"",IF(AND($Y$343=""),"",ROUND(G348*Master!C$4%,0)))</f>
        <v/>
      </c>
      <c r="I348" s="9" t="str">
        <f>IF(AND(G348=""),"",IF(AND($Y$343=""),"",ROUND(G348*Master!H$4%,0)))</f>
        <v/>
      </c>
      <c r="J348" s="9" t="str">
        <f t="shared" ref="J348:J349" si="309">IF(AND(C348=""),"",SUM(G348:I348))</f>
        <v/>
      </c>
      <c r="K348" s="9" t="str">
        <f t="shared" ref="K348:K350" si="310">IF(AND(C348=""),"",IF(AND(G348=""),"",C348-G348))</f>
        <v/>
      </c>
      <c r="L348" s="9" t="str">
        <f t="shared" ref="L348:L350" si="311">IF(AND(D348=""),"",IF(AND(H348=""),"",D348-H348))</f>
        <v/>
      </c>
      <c r="M348" s="9" t="str">
        <f t="shared" ref="M348:M349" si="312">IF(AND(E348=""),"",IF(AND(I348=""),"",E348-I348))</f>
        <v/>
      </c>
      <c r="N348" s="9" t="str">
        <f t="shared" ref="N348:N349" si="313">IF(AND(F348=""),"",IF(AND(J348=""),"",F348-J348))</f>
        <v/>
      </c>
      <c r="O348" s="9" t="str">
        <f>IF(AND(C348=""),"",N348-P348)</f>
        <v/>
      </c>
      <c r="P348" s="9" t="str">
        <f>IF(AND($Y$343=""),"",IF(AND(N348=""),"",ROUND(N348*AA$1%,0)))</f>
        <v/>
      </c>
      <c r="Q348" s="9" t="str">
        <f>IF(AND($Y$343=""),"",IF(AND(C348=""),"",IF(AND(O348=""),"",SUM(O348,P348))))</f>
        <v/>
      </c>
      <c r="R348" s="9" t="str">
        <f>IF(AND(N348=""),"",IF(AND(Q348=""),"",N348-Q348))</f>
        <v/>
      </c>
      <c r="S348" s="20"/>
    </row>
    <row r="349" spans="1:27" ht="21" customHeight="1">
      <c r="A349" s="8">
        <v>2</v>
      </c>
      <c r="B349" s="23" t="str">
        <f>IFERROR(DATE(YEAR(B348),MONTH(B348)+1,DAY(B348)),"")</f>
        <v/>
      </c>
      <c r="C349" s="9" t="str">
        <f>IF(AND($Y$343=""),"",C348)</f>
        <v/>
      </c>
      <c r="D349" s="9" t="str">
        <f>IF(AND(C349=""),"",IF(AND($Y$343=""),"",ROUND(C349*Master!C$5%,0)))</f>
        <v/>
      </c>
      <c r="E349" s="9" t="str">
        <f>IF(AND(C349=""),"",IF(AND($Y$343=""),"",ROUND(C349*Master!H$5%,0)))</f>
        <v/>
      </c>
      <c r="F349" s="9" t="str">
        <f>IF(AND(C349=""),"",SUM(C349:E349))</f>
        <v/>
      </c>
      <c r="G349" s="9" t="str">
        <f>IF(AND($Y$343=""),"",G348)</f>
        <v/>
      </c>
      <c r="H349" s="9" t="str">
        <f>IF(AND(G349=""),"",IF(AND($Y$343=""),"",ROUND(G349*Master!C$4%,0)))</f>
        <v/>
      </c>
      <c r="I349" s="9" t="str">
        <f>IF(AND(G349=""),"",IF(AND($Y$343=""),"",ROUND(G349*Master!H$4%,0)))</f>
        <v/>
      </c>
      <c r="J349" s="9" t="str">
        <f t="shared" si="309"/>
        <v/>
      </c>
      <c r="K349" s="9" t="str">
        <f t="shared" si="310"/>
        <v/>
      </c>
      <c r="L349" s="9" t="str">
        <f t="shared" si="311"/>
        <v/>
      </c>
      <c r="M349" s="9" t="str">
        <f t="shared" si="312"/>
        <v/>
      </c>
      <c r="N349" s="9" t="str">
        <f t="shared" si="313"/>
        <v/>
      </c>
      <c r="O349" s="9" t="str">
        <f t="shared" ref="O349:O350" si="314">IF(AND(C349=""),"",N349-P349)</f>
        <v/>
      </c>
      <c r="P349" s="9" t="str">
        <f>IF(AND($Y$343=""),"",IF(AND(N349=""),"",ROUND(N349*AA$1%,0)))</f>
        <v/>
      </c>
      <c r="Q349" s="9" t="str">
        <f>IF(AND($Y$343=""),"",IF(AND(C349=""),"",IF(AND(O349=""),"",SUM(O349,P349))))</f>
        <v/>
      </c>
      <c r="R349" s="9" t="str">
        <f t="shared" ref="R349:R350" si="315">IF(AND(N349=""),"",IF(AND(Q349=""),"",N349-Q349))</f>
        <v/>
      </c>
      <c r="S349" s="20"/>
    </row>
    <row r="350" spans="1:27" ht="21" customHeight="1">
      <c r="A350" s="8">
        <v>3</v>
      </c>
      <c r="B350" s="23" t="str">
        <f>IFERROR(DATE(YEAR(B349),MONTH(B349)+1,DAY(B349)),"")</f>
        <v/>
      </c>
      <c r="C350" s="9" t="str">
        <f>IF(AND($Y$343=""),"",C349)</f>
        <v/>
      </c>
      <c r="D350" s="9" t="str">
        <f>IF(AND(C350=""),"",IF(AND($Y$343=""),"",ROUND(C350*Master!C$5%,0)))</f>
        <v/>
      </c>
      <c r="E350" s="9" t="str">
        <f>IF(AND(C350=""),"",IF(AND($Y$343=""),"",ROUND(C350*Master!H$5%,0)))</f>
        <v/>
      </c>
      <c r="F350" s="9" t="str">
        <f t="shared" ref="F350" si="316">IF(AND(C350=""),"",SUM(C350:E350))</f>
        <v/>
      </c>
      <c r="G350" s="9" t="str">
        <f>IF(AND($Y$343=""),"",G349)</f>
        <v/>
      </c>
      <c r="H350" s="9" t="str">
        <f>IF(AND(G350=""),"",IF(AND($Y$343=""),"",ROUND(G350*Master!C$4%,0)))</f>
        <v/>
      </c>
      <c r="I350" s="9" t="str">
        <f>IF(AND(G350=""),"",IF(AND($Y$343=""),"",ROUND(G350*Master!H$4%,0)))</f>
        <v/>
      </c>
      <c r="J350" s="9" t="str">
        <f>IF(AND(C350=""),"",SUM(G350:I350))</f>
        <v/>
      </c>
      <c r="K350" s="9" t="str">
        <f t="shared" si="310"/>
        <v/>
      </c>
      <c r="L350" s="9" t="str">
        <f t="shared" si="311"/>
        <v/>
      </c>
      <c r="M350" s="9" t="str">
        <f>IF(AND(E350=""),"",IF(AND(I350=""),"",E350-I350))</f>
        <v/>
      </c>
      <c r="N350" s="9" t="str">
        <f>IF(AND(F350=""),"",IF(AND(J350=""),"",F350-J350))</f>
        <v/>
      </c>
      <c r="O350" s="9" t="str">
        <f t="shared" si="314"/>
        <v/>
      </c>
      <c r="P350" s="9" t="str">
        <f>IF(AND($Y$343=""),"",IF(AND(N350=""),"",ROUND(N350*AA$1%,0)))</f>
        <v/>
      </c>
      <c r="Q350" s="9" t="str">
        <f>IF(AND($Y$343=""),"",IF(AND(C350=""),"",IF(AND(O350=""),"",SUM(O350,P350))))</f>
        <v/>
      </c>
      <c r="R350" s="9" t="str">
        <f t="shared" si="315"/>
        <v/>
      </c>
      <c r="S350" s="20"/>
    </row>
    <row r="351" spans="1:27" ht="23.25" customHeight="1">
      <c r="A351" s="108" t="s">
        <v>9</v>
      </c>
      <c r="B351" s="109"/>
      <c r="C351" s="64">
        <f t="shared" ref="C351:R351" si="317">IF(AND($Y$343=""),"",SUM(C348:C350))</f>
        <v>0</v>
      </c>
      <c r="D351" s="64">
        <f t="shared" si="317"/>
        <v>0</v>
      </c>
      <c r="E351" s="64">
        <f t="shared" si="317"/>
        <v>0</v>
      </c>
      <c r="F351" s="64">
        <f t="shared" si="317"/>
        <v>0</v>
      </c>
      <c r="G351" s="64">
        <f t="shared" si="317"/>
        <v>0</v>
      </c>
      <c r="H351" s="64">
        <f t="shared" si="317"/>
        <v>0</v>
      </c>
      <c r="I351" s="64">
        <f t="shared" si="317"/>
        <v>0</v>
      </c>
      <c r="J351" s="64">
        <f t="shared" si="317"/>
        <v>0</v>
      </c>
      <c r="K351" s="64">
        <f t="shared" si="317"/>
        <v>0</v>
      </c>
      <c r="L351" s="64">
        <f t="shared" si="317"/>
        <v>0</v>
      </c>
      <c r="M351" s="64">
        <f t="shared" si="317"/>
        <v>0</v>
      </c>
      <c r="N351" s="64">
        <f t="shared" si="317"/>
        <v>0</v>
      </c>
      <c r="O351" s="64">
        <f t="shared" si="317"/>
        <v>0</v>
      </c>
      <c r="P351" s="64">
        <f t="shared" si="317"/>
        <v>0</v>
      </c>
      <c r="Q351" s="64">
        <f t="shared" si="317"/>
        <v>0</v>
      </c>
      <c r="R351" s="64">
        <f t="shared" si="317"/>
        <v>0</v>
      </c>
      <c r="S351" s="50"/>
    </row>
    <row r="352" spans="1:27" ht="10.5" customHeight="1">
      <c r="A352" s="75"/>
      <c r="B352" s="75"/>
      <c r="C352" s="76"/>
      <c r="D352" s="76"/>
      <c r="E352" s="76"/>
      <c r="F352" s="76"/>
      <c r="G352" s="76"/>
      <c r="H352" s="76"/>
      <c r="I352" s="76"/>
      <c r="J352" s="76"/>
      <c r="K352" s="76"/>
      <c r="L352" s="76"/>
      <c r="M352" s="76"/>
      <c r="N352" s="76"/>
      <c r="O352" s="76"/>
      <c r="P352" s="76"/>
      <c r="Q352" s="76"/>
      <c r="R352" s="76"/>
      <c r="S352" s="77"/>
    </row>
    <row r="353" spans="1:25" ht="23.25" customHeight="1">
      <c r="E353" s="116" t="s">
        <v>10</v>
      </c>
      <c r="F353" s="116"/>
      <c r="G353" s="116"/>
      <c r="H353" s="116"/>
      <c r="I353" s="116"/>
      <c r="J353" s="115" t="str">
        <f>IF(ISNA(VLOOKUP($Y$355,Master!A$8:N$127,2,FALSE)),"",VLOOKUP($Y$355,Master!A$8:AH$127,2,FALSE))</f>
        <v/>
      </c>
      <c r="K353" s="115"/>
      <c r="L353" s="115"/>
      <c r="M353" s="115"/>
      <c r="N353" s="115"/>
      <c r="O353" s="61" t="s">
        <v>31</v>
      </c>
      <c r="P353" s="115" t="str">
        <f>IF(ISNA(VLOOKUP($Y$355,Master!A$8:N$127,3,FALSE)),"",VLOOKUP($Y$355,Master!A$8:AH$127,3,FALSE))</f>
        <v/>
      </c>
      <c r="Q353" s="115"/>
      <c r="R353" s="115"/>
      <c r="S353" s="115"/>
    </row>
    <row r="354" spans="1:25" ht="9" customHeight="1">
      <c r="E354" s="19"/>
      <c r="F354" s="53"/>
      <c r="G354" s="22"/>
      <c r="H354" s="22"/>
      <c r="I354" s="22"/>
      <c r="J354" s="5"/>
      <c r="K354" s="5"/>
      <c r="L354" s="5"/>
      <c r="M354" s="5"/>
      <c r="N354" s="5"/>
      <c r="O354" s="6"/>
      <c r="P354" s="6"/>
    </row>
    <row r="355" spans="1:25" ht="21" customHeight="1">
      <c r="A355" s="8">
        <v>1</v>
      </c>
      <c r="B355" s="23" t="str">
        <f>IFERROR(IF(ISNA(VLOOKUP(Y355,Master!A$8:N$127,8,FALSE)),"",VLOOKUP($Y355,Master!A$8:AH$127,8,FALSE)),"")</f>
        <v/>
      </c>
      <c r="C355" s="9" t="str">
        <f>IF(ISNA(VLOOKUP($Y$355,Master!A$8:N$127,5,FALSE)),"",VLOOKUP($Y$355,Master!A$8:AH$127,5,FALSE))</f>
        <v/>
      </c>
      <c r="D355" s="9" t="str">
        <f>IF(AND(C355=""),"",IF(AND($Y$355=""),"",ROUND(C355*Master!C$5%,0)))</f>
        <v/>
      </c>
      <c r="E355" s="9" t="str">
        <f>IF(AND(C355=""),"",IF(AND($Y$355=""),"",ROUND(C355*Master!H$5%,0)))</f>
        <v/>
      </c>
      <c r="F355" s="9" t="str">
        <f t="shared" ref="F355:F357" si="318">IF(AND(C355=""),"",SUM(C355:E355))</f>
        <v/>
      </c>
      <c r="G355" s="9" t="str">
        <f>IF(ISNA(VLOOKUP($Y$355,Master!A$8:N$127,5,FALSE)),"",VLOOKUP($Y$355,Master!A$8:AH$127,5,FALSE))</f>
        <v/>
      </c>
      <c r="H355" s="9" t="str">
        <f>IF(AND(G355=""),"",IF(AND($Y$355=""),"",ROUND(G355*Master!C$4%,0)))</f>
        <v/>
      </c>
      <c r="I355" s="9" t="str">
        <f>IF(AND(G355=""),"",IF(AND($Y$355=""),"",ROUND(G355*Master!H$4%,0)))</f>
        <v/>
      </c>
      <c r="J355" s="9" t="str">
        <f t="shared" ref="J355:J357" si="319">IF(AND(C355=""),"",SUM(G355:I355))</f>
        <v/>
      </c>
      <c r="K355" s="9" t="str">
        <f t="shared" ref="K355" si="320">IF(AND(C355=""),"",IF(AND(G355=""),"",C355-G355))</f>
        <v/>
      </c>
      <c r="L355" s="9" t="str">
        <f>IF(AND(D355=""),"",IF(AND(H355=""),"",D355-H355))</f>
        <v/>
      </c>
      <c r="M355" s="9" t="str">
        <f t="shared" ref="M355:M357" si="321">IF(AND(E355=""),"",IF(AND(I355=""),"",E355-I355))</f>
        <v/>
      </c>
      <c r="N355" s="9" t="str">
        <f t="shared" ref="N355:N357" si="322">IF(AND(F355=""),"",IF(AND(J355=""),"",F355-J355))</f>
        <v/>
      </c>
      <c r="O355" s="9" t="str">
        <f>IF(AND(C355=""),"",N355-P355)</f>
        <v/>
      </c>
      <c r="P355" s="9" t="str">
        <f>IF(AND($Y$355=""),"",IF(AND(N355=""),"",ROUND(N355*X$16%,0)))</f>
        <v/>
      </c>
      <c r="Q355" s="9" t="str">
        <f>IF(AND($Y$355=""),"",IF(AND(C355=""),"",IF(AND(O355=""),"",SUM(O355,P355))))</f>
        <v/>
      </c>
      <c r="R355" s="9" t="str">
        <f>IF(AND(N355=""),"",IF(AND(Q355=""),"",N355-Q355))</f>
        <v/>
      </c>
      <c r="S355" s="20"/>
      <c r="X355" s="62" t="s">
        <v>62</v>
      </c>
      <c r="Y355" s="65">
        <v>32</v>
      </c>
    </row>
    <row r="356" spans="1:25" ht="21" customHeight="1">
      <c r="A356" s="8">
        <v>2</v>
      </c>
      <c r="B356" s="23" t="str">
        <f>IFERROR(DATE(YEAR(B355),MONTH(B355)+1,DAY(B355)),"")</f>
        <v/>
      </c>
      <c r="C356" s="9" t="str">
        <f>IF(AND($Y$355=""),"",C355)</f>
        <v/>
      </c>
      <c r="D356" s="9" t="str">
        <f>IF(AND(C356=""),"",IF(AND($Y$355=""),"",ROUND(C356*Master!C$5%,0)))</f>
        <v/>
      </c>
      <c r="E356" s="9" t="str">
        <f>IF(AND(C356=""),"",IF(AND($Y$355=""),"",ROUND(C356*Master!H$5%,0)))</f>
        <v/>
      </c>
      <c r="F356" s="9" t="str">
        <f t="shared" si="318"/>
        <v/>
      </c>
      <c r="G356" s="9" t="str">
        <f>IF(AND($Y$355=""),"",G355)</f>
        <v/>
      </c>
      <c r="H356" s="9" t="str">
        <f>IF(AND(G356=""),"",IF(AND($Y$355=""),"",ROUND(G356*Master!C$4%,0)))</f>
        <v/>
      </c>
      <c r="I356" s="9" t="str">
        <f>IF(AND(G356=""),"",IF(AND($Y$355=""),"",ROUND(G356*Master!H$4%,0)))</f>
        <v/>
      </c>
      <c r="J356" s="9" t="str">
        <f t="shared" si="319"/>
        <v/>
      </c>
      <c r="K356" s="9" t="str">
        <f>IF(AND(C356=""),"",IF(AND(G356=""),"",C356-G356))</f>
        <v/>
      </c>
      <c r="L356" s="9" t="str">
        <f t="shared" ref="L356:L357" si="323">IF(AND(D356=""),"",IF(AND(H356=""),"",D356-H356))</f>
        <v/>
      </c>
      <c r="M356" s="9" t="str">
        <f t="shared" si="321"/>
        <v/>
      </c>
      <c r="N356" s="9" t="str">
        <f t="shared" si="322"/>
        <v/>
      </c>
      <c r="O356" s="9" t="str">
        <f t="shared" ref="O356:O357" si="324">IF(AND(C356=""),"",N356-P356)</f>
        <v/>
      </c>
      <c r="P356" s="9" t="str">
        <f>IF(AND($Y$355=""),"",IF(AND(N356=""),"",ROUND(N356*X$16%,0)))</f>
        <v/>
      </c>
      <c r="Q356" s="9" t="str">
        <f>IF(AND($Y$355=""),"",IF(AND(C356=""),"",IF(AND(O356=""),"",SUM(O356,P356))))</f>
        <v/>
      </c>
      <c r="R356" s="9" t="str">
        <f t="shared" ref="R356:R357" si="325">IF(AND(N356=""),"",IF(AND(Q356=""),"",N356-Q356))</f>
        <v/>
      </c>
      <c r="S356" s="20"/>
      <c r="X356" s="4" t="str">
        <f>IF(ISNA(VLOOKUP($Y$355,Master!A$8:N$127,7,FALSE)),"",VLOOKUP($Y$355,Master!A$8:AH$127,7,FALSE))</f>
        <v/>
      </c>
    </row>
    <row r="357" spans="1:25" ht="21" customHeight="1">
      <c r="A357" s="8">
        <v>3</v>
      </c>
      <c r="B357" s="23" t="str">
        <f>IFERROR(DATE(YEAR(B356),MONTH(B356)+1,DAY(B356)),"")</f>
        <v/>
      </c>
      <c r="C357" s="9" t="str">
        <f>IF(AND($Y$355=""),"",C356)</f>
        <v/>
      </c>
      <c r="D357" s="9" t="str">
        <f>IF(AND(C357=""),"",IF(AND($Y$355=""),"",ROUND(C357*Master!C$5%,0)))</f>
        <v/>
      </c>
      <c r="E357" s="9" t="str">
        <f>IF(AND(C357=""),"",IF(AND($Y$355=""),"",ROUND(C357*Master!H$5%,0)))</f>
        <v/>
      </c>
      <c r="F357" s="9" t="str">
        <f t="shared" si="318"/>
        <v/>
      </c>
      <c r="G357" s="9" t="str">
        <f>IF(AND($Y$355=""),"",G356)</f>
        <v/>
      </c>
      <c r="H357" s="9" t="str">
        <f>IF(AND(G357=""),"",IF(AND($Y$355=""),"",ROUND(G357*Master!C$4%,0)))</f>
        <v/>
      </c>
      <c r="I357" s="9" t="str">
        <f>IF(AND(G357=""),"",IF(AND($Y$355=""),"",ROUND(G357*Master!H$4%,0)))</f>
        <v/>
      </c>
      <c r="J357" s="9" t="str">
        <f t="shared" si="319"/>
        <v/>
      </c>
      <c r="K357" s="9" t="str">
        <f t="shared" ref="K357" si="326">IF(AND(C357=""),"",IF(AND(G357=""),"",C357-G357))</f>
        <v/>
      </c>
      <c r="L357" s="9" t="str">
        <f t="shared" si="323"/>
        <v/>
      </c>
      <c r="M357" s="9" t="str">
        <f t="shared" si="321"/>
        <v/>
      </c>
      <c r="N357" s="9" t="str">
        <f t="shared" si="322"/>
        <v/>
      </c>
      <c r="O357" s="9" t="str">
        <f t="shared" si="324"/>
        <v/>
      </c>
      <c r="P357" s="9" t="str">
        <f>IF(AND($Y$355=""),"",IF(AND(N357=""),"",ROUND(N357*X$16%,0)))</f>
        <v/>
      </c>
      <c r="Q357" s="9" t="str">
        <f>IF(AND($Y$355=""),"",IF(AND(C357=""),"",IF(AND(O357=""),"",SUM(O357,P357))))</f>
        <v/>
      </c>
      <c r="R357" s="9" t="str">
        <f t="shared" si="325"/>
        <v/>
      </c>
      <c r="S357" s="20"/>
    </row>
    <row r="358" spans="1:25" ht="30.75" customHeight="1">
      <c r="A358" s="108" t="s">
        <v>9</v>
      </c>
      <c r="B358" s="109"/>
      <c r="C358" s="64">
        <f t="shared" ref="C358:R358" si="327">IF(AND($Y$355=""),"",SUM(C355:C357))</f>
        <v>0</v>
      </c>
      <c r="D358" s="64">
        <f t="shared" si="327"/>
        <v>0</v>
      </c>
      <c r="E358" s="64">
        <f t="shared" si="327"/>
        <v>0</v>
      </c>
      <c r="F358" s="64">
        <f t="shared" si="327"/>
        <v>0</v>
      </c>
      <c r="G358" s="64">
        <f t="shared" si="327"/>
        <v>0</v>
      </c>
      <c r="H358" s="64">
        <f t="shared" si="327"/>
        <v>0</v>
      </c>
      <c r="I358" s="64">
        <f t="shared" si="327"/>
        <v>0</v>
      </c>
      <c r="J358" s="64">
        <f t="shared" si="327"/>
        <v>0</v>
      </c>
      <c r="K358" s="64">
        <f t="shared" si="327"/>
        <v>0</v>
      </c>
      <c r="L358" s="64">
        <f t="shared" si="327"/>
        <v>0</v>
      </c>
      <c r="M358" s="64">
        <f t="shared" si="327"/>
        <v>0</v>
      </c>
      <c r="N358" s="64">
        <f t="shared" si="327"/>
        <v>0</v>
      </c>
      <c r="O358" s="64">
        <f t="shared" si="327"/>
        <v>0</v>
      </c>
      <c r="P358" s="64">
        <f t="shared" si="327"/>
        <v>0</v>
      </c>
      <c r="Q358" s="64">
        <f t="shared" si="327"/>
        <v>0</v>
      </c>
      <c r="R358" s="64">
        <f t="shared" si="327"/>
        <v>0</v>
      </c>
      <c r="S358" s="50"/>
    </row>
    <row r="359" spans="1:25" ht="11.25" customHeight="1">
      <c r="A359" s="75"/>
      <c r="B359" s="75"/>
      <c r="C359" s="76"/>
      <c r="D359" s="76"/>
      <c r="E359" s="76"/>
      <c r="F359" s="76"/>
      <c r="G359" s="76"/>
      <c r="H359" s="76"/>
      <c r="I359" s="76"/>
      <c r="J359" s="76"/>
      <c r="K359" s="76"/>
      <c r="L359" s="76"/>
      <c r="M359" s="76"/>
      <c r="N359" s="76"/>
      <c r="O359" s="76"/>
      <c r="P359" s="76"/>
      <c r="Q359" s="76"/>
      <c r="R359" s="76"/>
      <c r="S359" s="77"/>
    </row>
    <row r="360" spans="1:25" ht="23.25" customHeight="1">
      <c r="E360" s="116" t="s">
        <v>10</v>
      </c>
      <c r="F360" s="116"/>
      <c r="G360" s="116"/>
      <c r="H360" s="116"/>
      <c r="I360" s="116"/>
      <c r="J360" s="115" t="str">
        <f>IF(ISNA(VLOOKUP($Y$362,Master!A$8:N$127,2,FALSE)),"",VLOOKUP($Y$362,Master!A$8:AH$127,2,FALSE))</f>
        <v/>
      </c>
      <c r="K360" s="115"/>
      <c r="L360" s="115"/>
      <c r="M360" s="115"/>
      <c r="N360" s="115"/>
      <c r="O360" s="61" t="s">
        <v>31</v>
      </c>
      <c r="P360" s="115" t="str">
        <f>IF(ISNA(VLOOKUP($Y$362,Master!A$8:N$127,3,FALSE)),"",VLOOKUP($Y$362,Master!A$8:AH$127,3,FALSE))</f>
        <v/>
      </c>
      <c r="Q360" s="115"/>
      <c r="R360" s="115"/>
      <c r="S360" s="115"/>
    </row>
    <row r="361" spans="1:25" ht="9" customHeight="1">
      <c r="E361" s="19"/>
      <c r="F361" s="53"/>
      <c r="G361" s="22"/>
      <c r="H361" s="22"/>
      <c r="I361" s="22"/>
      <c r="J361" s="5"/>
      <c r="K361" s="5"/>
      <c r="L361" s="5"/>
      <c r="M361" s="5"/>
      <c r="N361" s="5"/>
      <c r="O361" s="6"/>
      <c r="P361" s="6"/>
    </row>
    <row r="362" spans="1:25" ht="21" customHeight="1">
      <c r="A362" s="8">
        <v>1</v>
      </c>
      <c r="B362" s="23" t="str">
        <f>IFERROR(IF(ISNA(VLOOKUP(Y362,Master!A$8:N$127,8,FALSE)),"",VLOOKUP($Y362,Master!A$8:AH$127,8,FALSE)),"")</f>
        <v/>
      </c>
      <c r="C362" s="9" t="str">
        <f>IF(ISNA(VLOOKUP($Y$362,Master!A$8:N$127,5,FALSE)),"",VLOOKUP($Y$362,Master!A$8:AH$127,5,FALSE))</f>
        <v/>
      </c>
      <c r="D362" s="9" t="str">
        <f>IF(AND(C362=""),"",IF(AND($Y$362=""),"",ROUND(C362*Master!C$5%,0)))</f>
        <v/>
      </c>
      <c r="E362" s="9" t="str">
        <f>IF(AND(C362=""),"",IF(AND($Y$362=""),"",ROUND(C362*Master!H$5%,0)))</f>
        <v/>
      </c>
      <c r="F362" s="9" t="str">
        <f t="shared" ref="F362:F364" si="328">IF(AND(C362=""),"",SUM(C362:E362))</f>
        <v/>
      </c>
      <c r="G362" s="9" t="str">
        <f>IF(ISNA(VLOOKUP($Y$362,Master!A$8:N$127,5,FALSE)),"",VLOOKUP($Y$362,Master!A$8:AH$127,5,FALSE))</f>
        <v/>
      </c>
      <c r="H362" s="9" t="str">
        <f>IF(AND(G362=""),"",IF(AND($Y$362=""),"",ROUND(G362*Master!C$4%,0)))</f>
        <v/>
      </c>
      <c r="I362" s="9" t="str">
        <f>IF(AND(G362=""),"",IF(AND($Y$362=""),"",ROUND(G362*Master!H$4%,0)))</f>
        <v/>
      </c>
      <c r="J362" s="9" t="str">
        <f t="shared" ref="J362:J364" si="329">IF(AND(C362=""),"",SUM(G362:I362))</f>
        <v/>
      </c>
      <c r="K362" s="9" t="str">
        <f t="shared" ref="K362:K364" si="330">IF(AND(C362=""),"",IF(AND(G362=""),"",C362-G362))</f>
        <v/>
      </c>
      <c r="L362" s="9" t="str">
        <f t="shared" ref="L362:L364" si="331">IF(AND(D362=""),"",IF(AND(H362=""),"",D362-H362))</f>
        <v/>
      </c>
      <c r="M362" s="9" t="str">
        <f t="shared" ref="M362:M364" si="332">IF(AND(E362=""),"",IF(AND(I362=""),"",E362-I362))</f>
        <v/>
      </c>
      <c r="N362" s="9" t="str">
        <f t="shared" ref="N362:N364" si="333">IF(AND(F362=""),"",IF(AND(J362=""),"",F362-J362))</f>
        <v/>
      </c>
      <c r="O362" s="9" t="str">
        <f>IF(AND(C362=""),"",N362-P362)</f>
        <v/>
      </c>
      <c r="P362" s="9" t="str">
        <f>IF(AND($Y$362=""),"",IF(AND(N362=""),"",ROUND(N362*AA$1%,0)))</f>
        <v/>
      </c>
      <c r="Q362" s="9" t="str">
        <f>IF(AND($Y$362=""),"",IF(AND(C362=""),"",IF(AND(O362=""),"",SUM(O362,P362))))</f>
        <v/>
      </c>
      <c r="R362" s="9" t="str">
        <f>IF(AND(N362=""),"",IF(AND(Q362=""),"",N362-Q362))</f>
        <v/>
      </c>
      <c r="S362" s="20"/>
      <c r="X362" s="62" t="s">
        <v>62</v>
      </c>
      <c r="Y362" s="65">
        <v>33</v>
      </c>
    </row>
    <row r="363" spans="1:25" ht="21" customHeight="1">
      <c r="A363" s="8">
        <v>2</v>
      </c>
      <c r="B363" s="23" t="str">
        <f>IFERROR(DATE(YEAR(B362),MONTH(B362)+1,DAY(B362)),"")</f>
        <v/>
      </c>
      <c r="C363" s="9" t="str">
        <f>IF(AND($Y$362=""),"",C362)</f>
        <v/>
      </c>
      <c r="D363" s="9" t="str">
        <f>IF(AND(C363=""),"",IF(AND($Y$362=""),"",ROUND(C363*Master!C$5%,0)))</f>
        <v/>
      </c>
      <c r="E363" s="9" t="str">
        <f>IF(AND(C363=""),"",IF(AND($Y$362=""),"",ROUND(C363*Master!H$5%,0)))</f>
        <v/>
      </c>
      <c r="F363" s="9" t="str">
        <f t="shared" si="328"/>
        <v/>
      </c>
      <c r="G363" s="9" t="str">
        <f>IF(AND($Y$362=""),"",G362)</f>
        <v/>
      </c>
      <c r="H363" s="9" t="str">
        <f>IF(AND(G363=""),"",IF(AND($Y$362=""),"",ROUND(G363*Master!C$4%,0)))</f>
        <v/>
      </c>
      <c r="I363" s="9" t="str">
        <f>IF(AND(G363=""),"",IF(AND($Y$362=""),"",ROUND(G363*Master!H$4%,0)))</f>
        <v/>
      </c>
      <c r="J363" s="9" t="str">
        <f t="shared" si="329"/>
        <v/>
      </c>
      <c r="K363" s="9" t="str">
        <f t="shared" si="330"/>
        <v/>
      </c>
      <c r="L363" s="9" t="str">
        <f t="shared" si="331"/>
        <v/>
      </c>
      <c r="M363" s="9" t="str">
        <f t="shared" si="332"/>
        <v/>
      </c>
      <c r="N363" s="9" t="str">
        <f t="shared" si="333"/>
        <v/>
      </c>
      <c r="O363" s="9" t="str">
        <f t="shared" ref="O363:O364" si="334">IF(AND(C363=""),"",N363-P363)</f>
        <v/>
      </c>
      <c r="P363" s="9" t="str">
        <f>IF(AND($Y$362=""),"",IF(AND(N363=""),"",ROUND(N363*AA$1%,0)))</f>
        <v/>
      </c>
      <c r="Q363" s="9" t="str">
        <f>IF(AND($Y$362=""),"",IF(AND(C363=""),"",IF(AND(O363=""),"",SUM(O363,P363))))</f>
        <v/>
      </c>
      <c r="R363" s="9" t="str">
        <f t="shared" ref="R363:R364" si="335">IF(AND(N363=""),"",IF(AND(Q363=""),"",N363-Q363))</f>
        <v/>
      </c>
      <c r="S363" s="20"/>
      <c r="X363" s="4" t="str">
        <f>IF(ISNA(VLOOKUP($Y$362,Master!A$8:N$127,7,FALSE)),"",VLOOKUP($Y$362,Master!A$8:AH$127,7,FALSE))</f>
        <v/>
      </c>
    </row>
    <row r="364" spans="1:25" ht="21" customHeight="1">
      <c r="A364" s="8">
        <v>3</v>
      </c>
      <c r="B364" s="23" t="str">
        <f>IFERROR(DATE(YEAR(B363),MONTH(B363)+1,DAY(B363)),"")</f>
        <v/>
      </c>
      <c r="C364" s="9" t="str">
        <f>IF(AND($Y$362=""),"",C363)</f>
        <v/>
      </c>
      <c r="D364" s="9" t="str">
        <f>IF(AND(C364=""),"",IF(AND($Y$362=""),"",ROUND(C364*Master!C$5%,0)))</f>
        <v/>
      </c>
      <c r="E364" s="9" t="str">
        <f>IF(AND(C364=""),"",IF(AND($Y$362=""),"",ROUND(C364*Master!H$5%,0)))</f>
        <v/>
      </c>
      <c r="F364" s="9" t="str">
        <f t="shared" si="328"/>
        <v/>
      </c>
      <c r="G364" s="9" t="str">
        <f>IF(AND($Y$362=""),"",G363)</f>
        <v/>
      </c>
      <c r="H364" s="9" t="str">
        <f>IF(AND(G364=""),"",IF(AND($Y$362=""),"",ROUND(G364*Master!C$4%,0)))</f>
        <v/>
      </c>
      <c r="I364" s="9" t="str">
        <f>IF(AND(G364=""),"",IF(AND($Y$362=""),"",ROUND(G364*Master!H$4%,0)))</f>
        <v/>
      </c>
      <c r="J364" s="9" t="str">
        <f t="shared" si="329"/>
        <v/>
      </c>
      <c r="K364" s="9" t="str">
        <f t="shared" si="330"/>
        <v/>
      </c>
      <c r="L364" s="9" t="str">
        <f t="shared" si="331"/>
        <v/>
      </c>
      <c r="M364" s="9" t="str">
        <f t="shared" si="332"/>
        <v/>
      </c>
      <c r="N364" s="9" t="str">
        <f t="shared" si="333"/>
        <v/>
      </c>
      <c r="O364" s="9" t="str">
        <f t="shared" si="334"/>
        <v/>
      </c>
      <c r="P364" s="9" t="str">
        <f>IF(AND($Y$362=""),"",IF(AND(N364=""),"",ROUND(N364*AA$1%,0)))</f>
        <v/>
      </c>
      <c r="Q364" s="9" t="str">
        <f>IF(AND($Y$362=""),"",IF(AND(C364=""),"",IF(AND(O364=""),"",SUM(O364,P364))))</f>
        <v/>
      </c>
      <c r="R364" s="9" t="str">
        <f t="shared" si="335"/>
        <v/>
      </c>
      <c r="S364" s="20"/>
    </row>
    <row r="365" spans="1:25" ht="30.75" customHeight="1">
      <c r="A365" s="108" t="s">
        <v>9</v>
      </c>
      <c r="B365" s="109"/>
      <c r="C365" s="64">
        <f t="shared" ref="C365:R365" si="336">IF(AND($Y$362=""),"",SUM(C362:C364))</f>
        <v>0</v>
      </c>
      <c r="D365" s="64">
        <f t="shared" si="336"/>
        <v>0</v>
      </c>
      <c r="E365" s="64">
        <f t="shared" si="336"/>
        <v>0</v>
      </c>
      <c r="F365" s="64">
        <f t="shared" si="336"/>
        <v>0</v>
      </c>
      <c r="G365" s="64">
        <f t="shared" si="336"/>
        <v>0</v>
      </c>
      <c r="H365" s="64">
        <f t="shared" si="336"/>
        <v>0</v>
      </c>
      <c r="I365" s="64">
        <f t="shared" si="336"/>
        <v>0</v>
      </c>
      <c r="J365" s="64">
        <f t="shared" si="336"/>
        <v>0</v>
      </c>
      <c r="K365" s="64">
        <f t="shared" si="336"/>
        <v>0</v>
      </c>
      <c r="L365" s="64">
        <f t="shared" si="336"/>
        <v>0</v>
      </c>
      <c r="M365" s="64">
        <f t="shared" si="336"/>
        <v>0</v>
      </c>
      <c r="N365" s="64">
        <f t="shared" si="336"/>
        <v>0</v>
      </c>
      <c r="O365" s="64">
        <f t="shared" si="336"/>
        <v>0</v>
      </c>
      <c r="P365" s="64">
        <f t="shared" si="336"/>
        <v>0</v>
      </c>
      <c r="Q365" s="64">
        <f t="shared" si="336"/>
        <v>0</v>
      </c>
      <c r="R365" s="64">
        <f t="shared" si="336"/>
        <v>0</v>
      </c>
      <c r="S365" s="50"/>
    </row>
    <row r="366" spans="1:25" ht="30.75" customHeight="1">
      <c r="A366" s="75"/>
      <c r="B366" s="75"/>
      <c r="C366" s="76"/>
      <c r="D366" s="76"/>
      <c r="E366" s="76"/>
      <c r="F366" s="76"/>
      <c r="G366" s="76"/>
      <c r="H366" s="76"/>
      <c r="I366" s="76"/>
      <c r="J366" s="76"/>
      <c r="K366" s="76"/>
      <c r="L366" s="76"/>
      <c r="M366" s="76"/>
      <c r="N366" s="76"/>
      <c r="O366" s="76"/>
      <c r="P366" s="76"/>
      <c r="Q366" s="76"/>
      <c r="R366" s="76"/>
      <c r="S366" s="77"/>
    </row>
    <row r="367" spans="1:25" ht="18.75">
      <c r="A367" s="21"/>
      <c r="B367" s="59"/>
      <c r="C367" s="59"/>
      <c r="D367" s="59"/>
      <c r="E367" s="59"/>
      <c r="F367" s="59"/>
      <c r="G367" s="59"/>
      <c r="H367" s="60"/>
      <c r="I367" s="60"/>
      <c r="J367" s="60"/>
      <c r="K367" s="68"/>
      <c r="L367" s="68"/>
      <c r="M367" s="68"/>
      <c r="N367" s="68"/>
      <c r="O367" s="107" t="s">
        <v>55</v>
      </c>
      <c r="P367" s="107"/>
      <c r="Q367" s="107"/>
      <c r="R367" s="107"/>
      <c r="S367" s="107"/>
    </row>
    <row r="368" spans="1:25" ht="18.75">
      <c r="A368" s="1"/>
      <c r="B368" s="24" t="s">
        <v>19</v>
      </c>
      <c r="C368" s="118"/>
      <c r="D368" s="118"/>
      <c r="E368" s="118"/>
      <c r="F368" s="118"/>
      <c r="G368" s="118"/>
      <c r="H368" s="25"/>
      <c r="I368" s="121" t="s">
        <v>20</v>
      </c>
      <c r="J368" s="121"/>
      <c r="K368" s="120"/>
      <c r="L368" s="120"/>
      <c r="M368" s="120"/>
      <c r="O368" s="107"/>
      <c r="P368" s="107"/>
      <c r="Q368" s="107"/>
      <c r="R368" s="107"/>
      <c r="S368" s="107"/>
    </row>
    <row r="369" spans="1:27" ht="18.75">
      <c r="A369" s="1"/>
      <c r="B369" s="119" t="s">
        <v>21</v>
      </c>
      <c r="C369" s="119"/>
      <c r="D369" s="119"/>
      <c r="E369" s="119"/>
      <c r="F369" s="119"/>
      <c r="G369" s="119"/>
      <c r="H369" s="119"/>
      <c r="I369" s="27"/>
      <c r="J369" s="26"/>
      <c r="K369" s="26"/>
      <c r="L369" s="26"/>
      <c r="M369" s="26"/>
    </row>
    <row r="370" spans="1:27" ht="18.75">
      <c r="A370" s="22">
        <v>1</v>
      </c>
      <c r="B370" s="117" t="s">
        <v>22</v>
      </c>
      <c r="C370" s="117"/>
      <c r="D370" s="117"/>
      <c r="E370" s="117"/>
      <c r="F370" s="117"/>
      <c r="G370" s="117"/>
      <c r="H370" s="117"/>
      <c r="I370" s="28"/>
      <c r="J370" s="26"/>
      <c r="K370" s="26"/>
      <c r="L370" s="26"/>
      <c r="M370" s="26"/>
    </row>
    <row r="371" spans="1:27" ht="18.75">
      <c r="A371" s="2">
        <v>2</v>
      </c>
      <c r="B371" s="117" t="s">
        <v>23</v>
      </c>
      <c r="C371" s="117"/>
      <c r="D371" s="117"/>
      <c r="E371" s="117"/>
      <c r="F371" s="117"/>
      <c r="G371" s="115"/>
      <c r="H371" s="115"/>
      <c r="I371" s="115"/>
      <c r="J371" s="115"/>
      <c r="K371" s="115"/>
      <c r="L371" s="115"/>
      <c r="M371" s="115"/>
    </row>
    <row r="372" spans="1:27" ht="18.75">
      <c r="A372" s="3">
        <v>3</v>
      </c>
      <c r="B372" s="117" t="s">
        <v>24</v>
      </c>
      <c r="C372" s="117"/>
      <c r="D372" s="117"/>
      <c r="E372" s="29"/>
      <c r="F372" s="28"/>
      <c r="G372" s="28"/>
      <c r="H372" s="30"/>
      <c r="I372" s="31"/>
      <c r="J372" s="26"/>
      <c r="K372" s="26"/>
      <c r="L372" s="26"/>
      <c r="M372" s="26"/>
    </row>
    <row r="373" spans="1:27" ht="15.75">
      <c r="O373" s="107" t="s">
        <v>55</v>
      </c>
      <c r="P373" s="107"/>
      <c r="Q373" s="107"/>
      <c r="R373" s="107"/>
      <c r="S373" s="107"/>
    </row>
    <row r="375" spans="1:27" ht="18" customHeight="1">
      <c r="A375" s="122" t="str">
        <f>A341</f>
        <v xml:space="preserve">DA (38%) Drawn Statement  </v>
      </c>
      <c r="B375" s="122"/>
      <c r="C375" s="122"/>
      <c r="D375" s="122"/>
      <c r="E375" s="122"/>
      <c r="F375" s="122"/>
      <c r="G375" s="122"/>
      <c r="H375" s="122"/>
      <c r="I375" s="122"/>
      <c r="J375" s="122"/>
      <c r="K375" s="122"/>
      <c r="L375" s="122"/>
      <c r="M375" s="122"/>
      <c r="N375" s="122"/>
      <c r="O375" s="122"/>
      <c r="P375" s="122"/>
      <c r="Q375" s="122"/>
      <c r="R375" s="122"/>
      <c r="S375" s="122"/>
      <c r="W375" s="4">
        <f>IF(ISNA(VLOOKUP($Y$3,Master!A$8:N$127,4,FALSE)),"",VLOOKUP($Y$3,Master!A$8:AH$127,4,FALSE))</f>
        <v>3</v>
      </c>
      <c r="X375" s="4" t="str">
        <f>IF(ISNA(VLOOKUP($Y$3,Master!A$8:N$127,6,FALSE)),"",VLOOKUP($Y$3,Master!A$8:AH$127,6,FALSE))</f>
        <v>GPF</v>
      </c>
      <c r="Y375" s="4" t="s">
        <v>58</v>
      </c>
      <c r="Z375" s="4" t="s">
        <v>18</v>
      </c>
      <c r="AA375" s="4" t="str">
        <f>IF(ISNA(VLOOKUP(Y377,Master!A$8:N$127,7,FALSE)),"",VLOOKUP(Y377,Master!A$8:AH$127,7,FALSE))</f>
        <v/>
      </c>
    </row>
    <row r="376" spans="1:27" ht="18">
      <c r="A376" s="114" t="str">
        <f>IF(AND(Master!C377=""),"",CONCATENATE("Office Of  ",Master!C377))</f>
        <v/>
      </c>
      <c r="B376" s="114"/>
      <c r="C376" s="114"/>
      <c r="D376" s="114"/>
      <c r="E376" s="114"/>
      <c r="F376" s="114"/>
      <c r="G376" s="114"/>
      <c r="H376" s="114"/>
      <c r="I376" s="114"/>
      <c r="J376" s="114"/>
      <c r="K376" s="114"/>
      <c r="L376" s="114"/>
      <c r="M376" s="114"/>
      <c r="N376" s="114"/>
      <c r="O376" s="114"/>
      <c r="P376" s="114"/>
      <c r="Q376" s="114"/>
      <c r="R376" s="114"/>
      <c r="S376" s="114"/>
      <c r="X376" s="4">
        <f>IF(ISNA(VLOOKUP($Y$3,Master!A$8:N$127,8,FALSE)),"",VLOOKUP($Y$3,Master!A$8:AH$127,8,FALSE))</f>
        <v>44743</v>
      </c>
      <c r="Y376" s="4" t="s">
        <v>56</v>
      </c>
    </row>
    <row r="377" spans="1:27" ht="18.75">
      <c r="E377" s="116" t="s">
        <v>10</v>
      </c>
      <c r="F377" s="116"/>
      <c r="G377" s="116"/>
      <c r="H377" s="116"/>
      <c r="I377" s="116"/>
      <c r="J377" s="115" t="str">
        <f>IF(ISNA(VLOOKUP(Y377,Master!A$8:N$127,2,FALSE)),"",VLOOKUP(Y377,Master!A$8:AH$127,2,FALSE))</f>
        <v/>
      </c>
      <c r="K377" s="115"/>
      <c r="L377" s="115"/>
      <c r="M377" s="115"/>
      <c r="N377" s="115"/>
      <c r="O377" s="61" t="s">
        <v>31</v>
      </c>
      <c r="P377" s="115" t="str">
        <f>IF(ISNA(VLOOKUP(Y377,Master!A$8:N$127,3,FALSE)),"",VLOOKUP(Y377,Master!A$8:AH$127,3,FALSE))</f>
        <v/>
      </c>
      <c r="Q377" s="115"/>
      <c r="R377" s="115"/>
      <c r="S377" s="115"/>
      <c r="X377" s="62" t="s">
        <v>62</v>
      </c>
      <c r="Y377" s="65">
        <v>34</v>
      </c>
    </row>
    <row r="378" spans="1:27" ht="8.25" customHeight="1">
      <c r="E378" s="19"/>
      <c r="F378" s="53"/>
      <c r="G378" s="22"/>
      <c r="H378" s="22"/>
      <c r="I378" s="22"/>
      <c r="J378" s="5"/>
      <c r="K378" s="5"/>
      <c r="L378" s="5"/>
      <c r="M378" s="5"/>
      <c r="N378" s="5"/>
      <c r="O378" s="6"/>
      <c r="P378" s="6"/>
    </row>
    <row r="379" spans="1:27" ht="24.75" customHeight="1">
      <c r="A379" s="110" t="s">
        <v>0</v>
      </c>
      <c r="B379" s="111" t="s">
        <v>3</v>
      </c>
      <c r="C379" s="112" t="s">
        <v>5</v>
      </c>
      <c r="D379" s="112"/>
      <c r="E379" s="112"/>
      <c r="F379" s="112"/>
      <c r="G379" s="112" t="s">
        <v>6</v>
      </c>
      <c r="H379" s="112"/>
      <c r="I379" s="112"/>
      <c r="J379" s="112"/>
      <c r="K379" s="112" t="s">
        <v>7</v>
      </c>
      <c r="L379" s="112"/>
      <c r="M379" s="112"/>
      <c r="N379" s="112"/>
      <c r="O379" s="97" t="s">
        <v>8</v>
      </c>
      <c r="P379" s="98"/>
      <c r="Q379" s="99"/>
      <c r="R379" s="105" t="s">
        <v>67</v>
      </c>
      <c r="S379" s="105" t="s">
        <v>50</v>
      </c>
    </row>
    <row r="380" spans="1:27" ht="69" customHeight="1">
      <c r="A380" s="110"/>
      <c r="B380" s="111"/>
      <c r="C380" s="55" t="s">
        <v>29</v>
      </c>
      <c r="D380" s="56" t="s">
        <v>1</v>
      </c>
      <c r="E380" s="57" t="s">
        <v>2</v>
      </c>
      <c r="F380" s="55" t="s">
        <v>59</v>
      </c>
      <c r="G380" s="55" t="s">
        <v>29</v>
      </c>
      <c r="H380" s="56" t="s">
        <v>1</v>
      </c>
      <c r="I380" s="57" t="s">
        <v>2</v>
      </c>
      <c r="J380" s="55" t="s">
        <v>60</v>
      </c>
      <c r="K380" s="55" t="s">
        <v>4</v>
      </c>
      <c r="L380" s="56" t="s">
        <v>1</v>
      </c>
      <c r="M380" s="57" t="s">
        <v>2</v>
      </c>
      <c r="N380" s="58" t="s">
        <v>61</v>
      </c>
      <c r="O380" s="54" t="s">
        <v>83</v>
      </c>
      <c r="P380" s="67" t="s">
        <v>51</v>
      </c>
      <c r="Q380" s="58" t="s">
        <v>66</v>
      </c>
      <c r="R380" s="105"/>
      <c r="S380" s="105"/>
    </row>
    <row r="381" spans="1:27" ht="18" customHeight="1">
      <c r="A381" s="7">
        <v>1</v>
      </c>
      <c r="B381" s="7">
        <v>2</v>
      </c>
      <c r="C381" s="7">
        <v>3</v>
      </c>
      <c r="D381" s="7">
        <v>4</v>
      </c>
      <c r="E381" s="7">
        <v>5</v>
      </c>
      <c r="F381" s="7">
        <v>6</v>
      </c>
      <c r="G381" s="7">
        <v>7</v>
      </c>
      <c r="H381" s="7">
        <v>8</v>
      </c>
      <c r="I381" s="7">
        <v>9</v>
      </c>
      <c r="J381" s="7">
        <v>10</v>
      </c>
      <c r="K381" s="7">
        <v>11</v>
      </c>
      <c r="L381" s="7">
        <v>12</v>
      </c>
      <c r="M381" s="7">
        <v>13</v>
      </c>
      <c r="N381" s="7">
        <v>14</v>
      </c>
      <c r="O381" s="7">
        <v>15</v>
      </c>
      <c r="P381" s="7">
        <v>17</v>
      </c>
      <c r="Q381" s="7">
        <v>18</v>
      </c>
      <c r="R381" s="7">
        <v>19</v>
      </c>
      <c r="S381" s="7">
        <v>20</v>
      </c>
    </row>
    <row r="382" spans="1:27" ht="21" customHeight="1">
      <c r="A382" s="8">
        <v>1</v>
      </c>
      <c r="B382" s="23" t="str">
        <f>IFERROR(IF(ISNA(VLOOKUP(Y377,Master!A$8:N$127,8,FALSE)),"",VLOOKUP($Y377,Master!A$8:AH$127,8,FALSE)),"")</f>
        <v/>
      </c>
      <c r="C382" s="9" t="str">
        <f>IF(ISNA(VLOOKUP(Y377,Master!A$8:N$127,5,FALSE)),"",VLOOKUP(Y377,Master!A$8:AH$127,5,FALSE))</f>
        <v/>
      </c>
      <c r="D382" s="9" t="str">
        <f>IF(AND(C382=""),"",IF(AND(Y377=""),"",ROUND(C382*Master!C$5%,0)))</f>
        <v/>
      </c>
      <c r="E382" s="9" t="str">
        <f>IF(AND(C382=""),"",IF(AND(Y377=""),"",ROUND(C382*Master!H$5%,0)))</f>
        <v/>
      </c>
      <c r="F382" s="9" t="str">
        <f t="shared" ref="F382" si="337">IF(AND(C382=""),"",SUM(C382:E382))</f>
        <v/>
      </c>
      <c r="G382" s="9" t="str">
        <f>IF(ISNA(VLOOKUP(Y377,Master!A$8:N$127,5,FALSE)),"",VLOOKUP(Y377,Master!A$8:AH$127,5,FALSE))</f>
        <v/>
      </c>
      <c r="H382" s="9" t="str">
        <f>IF(AND(G382=""),"",IF(AND(Y377=""),"",ROUND(G382*Master!C$4%,0)))</f>
        <v/>
      </c>
      <c r="I382" s="9" t="str">
        <f>IF(AND(G382=""),"",IF(AND(Y377=""),"",ROUND(G382*Master!H$4%,0)))</f>
        <v/>
      </c>
      <c r="J382" s="9" t="str">
        <f t="shared" ref="J382:J383" si="338">IF(AND(C382=""),"",SUM(G382:I382))</f>
        <v/>
      </c>
      <c r="K382" s="9" t="str">
        <f t="shared" ref="K382:K384" si="339">IF(AND(C382=""),"",IF(AND(G382=""),"",C382-G382))</f>
        <v/>
      </c>
      <c r="L382" s="9" t="str">
        <f t="shared" ref="L382:L384" si="340">IF(AND(D382=""),"",IF(AND(H382=""),"",D382-H382))</f>
        <v/>
      </c>
      <c r="M382" s="9" t="str">
        <f t="shared" ref="M382:M383" si="341">IF(AND(E382=""),"",IF(AND(I382=""),"",E382-I382))</f>
        <v/>
      </c>
      <c r="N382" s="9" t="str">
        <f t="shared" ref="N382:N383" si="342">IF(AND(F382=""),"",IF(AND(J382=""),"",F382-J382))</f>
        <v/>
      </c>
      <c r="O382" s="9" t="str">
        <f>IF(AND(C382=""),"",N382-P382)</f>
        <v/>
      </c>
      <c r="P382" s="9" t="str">
        <f>IF(AND(Y377=""),"",IF(AND(N382=""),"",ROUND(N382*AA$1%,0)))</f>
        <v/>
      </c>
      <c r="Q382" s="9" t="str">
        <f>IF(AND(Y377=""),"",IF(AND(C382=""),"",IF(AND(O382=""),"",SUM(O382,P382))))</f>
        <v/>
      </c>
      <c r="R382" s="9" t="str">
        <f>IF(AND(N382=""),"",IF(AND(Q382=""),"",N382-Q382))</f>
        <v/>
      </c>
      <c r="S382" s="20"/>
    </row>
    <row r="383" spans="1:27" ht="21" customHeight="1">
      <c r="A383" s="8">
        <v>2</v>
      </c>
      <c r="B383" s="23" t="str">
        <f>IFERROR(DATE(YEAR(B382),MONTH(B382)+1,DAY(B382)),"")</f>
        <v/>
      </c>
      <c r="C383" s="9" t="str">
        <f>IF(AND(Y377=""),"",C382)</f>
        <v/>
      </c>
      <c r="D383" s="9" t="str">
        <f>IF(AND(C383=""),"",IF(AND(Y377=""),"",ROUND(C383*Master!C$5%,0)))</f>
        <v/>
      </c>
      <c r="E383" s="9" t="str">
        <f>IF(AND(C383=""),"",IF(AND(Y377=""),"",ROUND(C383*Master!H$5%,0)))</f>
        <v/>
      </c>
      <c r="F383" s="9" t="str">
        <f>IF(AND(C383=""),"",SUM(C383:E383))</f>
        <v/>
      </c>
      <c r="G383" s="9" t="str">
        <f>IF(AND(Y377=""),"",G382)</f>
        <v/>
      </c>
      <c r="H383" s="9" t="str">
        <f>IF(AND(G383=""),"",IF(AND(Y377=""),"",ROUND(G383*Master!C$4%,0)))</f>
        <v/>
      </c>
      <c r="I383" s="9" t="str">
        <f>IF(AND(G383=""),"",IF(AND(Y377=""),"",ROUND(G383*Master!H$4%,0)))</f>
        <v/>
      </c>
      <c r="J383" s="9" t="str">
        <f t="shared" si="338"/>
        <v/>
      </c>
      <c r="K383" s="9" t="str">
        <f t="shared" si="339"/>
        <v/>
      </c>
      <c r="L383" s="9" t="str">
        <f t="shared" si="340"/>
        <v/>
      </c>
      <c r="M383" s="9" t="str">
        <f t="shared" si="341"/>
        <v/>
      </c>
      <c r="N383" s="9" t="str">
        <f t="shared" si="342"/>
        <v/>
      </c>
      <c r="O383" s="9" t="str">
        <f t="shared" ref="O383:O384" si="343">IF(AND(C383=""),"",N383-P383)</f>
        <v/>
      </c>
      <c r="P383" s="9" t="str">
        <f>IF(AND(Y377=""),"",IF(AND(N383=""),"",ROUND(N383*AA$1%,0)))</f>
        <v/>
      </c>
      <c r="Q383" s="9" t="str">
        <f>IF(AND(Y377=""),"",IF(AND(C383=""),"",IF(AND(O383=""),"",SUM(O383,P383))))</f>
        <v/>
      </c>
      <c r="R383" s="9" t="str">
        <f t="shared" ref="R383:R384" si="344">IF(AND(N383=""),"",IF(AND(Q383=""),"",N383-Q383))</f>
        <v/>
      </c>
      <c r="S383" s="20"/>
    </row>
    <row r="384" spans="1:27" ht="21" customHeight="1">
      <c r="A384" s="8">
        <v>3</v>
      </c>
      <c r="B384" s="23" t="str">
        <f>IFERROR(DATE(YEAR(B383),MONTH(B383)+1,DAY(B383)),"")</f>
        <v/>
      </c>
      <c r="C384" s="9" t="str">
        <f>IF(AND(Y377=""),"",C383)</f>
        <v/>
      </c>
      <c r="D384" s="9" t="str">
        <f>IF(AND(C384=""),"",IF(AND(Y377=""),"",ROUND(C384*Master!C$5%,0)))</f>
        <v/>
      </c>
      <c r="E384" s="9" t="str">
        <f>IF(AND(C384=""),"",IF(AND(Y377=""),"",ROUND(C384*Master!H$5%,0)))</f>
        <v/>
      </c>
      <c r="F384" s="9" t="str">
        <f t="shared" ref="F384" si="345">IF(AND(C384=""),"",SUM(C384:E384))</f>
        <v/>
      </c>
      <c r="G384" s="9" t="str">
        <f>IF(AND(Y377=""),"",G383)</f>
        <v/>
      </c>
      <c r="H384" s="9" t="str">
        <f>IF(AND(G384=""),"",IF(AND(Y377=""),"",ROUND(G384*Master!C$4%,0)))</f>
        <v/>
      </c>
      <c r="I384" s="9" t="str">
        <f>IF(AND(G384=""),"",IF(AND(Y377=""),"",ROUND(G384*Master!H$4%,0)))</f>
        <v/>
      </c>
      <c r="J384" s="9" t="str">
        <f>IF(AND(C384=""),"",SUM(G384:I384))</f>
        <v/>
      </c>
      <c r="K384" s="9" t="str">
        <f t="shared" si="339"/>
        <v/>
      </c>
      <c r="L384" s="9" t="str">
        <f t="shared" si="340"/>
        <v/>
      </c>
      <c r="M384" s="9" t="str">
        <f>IF(AND(E384=""),"",IF(AND(I384=""),"",E384-I384))</f>
        <v/>
      </c>
      <c r="N384" s="9" t="str">
        <f>IF(AND(F384=""),"",IF(AND(J384=""),"",F384-J384))</f>
        <v/>
      </c>
      <c r="O384" s="9" t="str">
        <f t="shared" si="343"/>
        <v/>
      </c>
      <c r="P384" s="9" t="str">
        <f>IF(AND(Y377=""),"",IF(AND(N384=""),"",ROUND(N384*AA$1%,0)))</f>
        <v/>
      </c>
      <c r="Q384" s="9" t="str">
        <f>IF(AND(Y377=""),"",IF(AND(C384=""),"",IF(AND(O384=""),"",SUM(O384,P384))))</f>
        <v/>
      </c>
      <c r="R384" s="9" t="str">
        <f t="shared" si="344"/>
        <v/>
      </c>
      <c r="S384" s="20"/>
    </row>
    <row r="385" spans="1:25" ht="23.25" customHeight="1">
      <c r="A385" s="108" t="s">
        <v>9</v>
      </c>
      <c r="B385" s="109"/>
      <c r="C385" s="64">
        <f>IF(AND(Y377=""),"",SUM(C382:C384))</f>
        <v>0</v>
      </c>
      <c r="D385" s="64">
        <f>IF(AND(Y377=""),"",SUM(D382:D384))</f>
        <v>0</v>
      </c>
      <c r="E385" s="64">
        <f>IF(AND(Y377=""),"",SUM(E382:E384))</f>
        <v>0</v>
      </c>
      <c r="F385" s="64">
        <f>IF(AND(Y377=""),"",SUM(F382:F384))</f>
        <v>0</v>
      </c>
      <c r="G385" s="64">
        <f>IF(AND(Y377=""),"",SUM(G382:G384))</f>
        <v>0</v>
      </c>
      <c r="H385" s="64">
        <f>IF(AND(Y377=""),"",SUM(H382:H384))</f>
        <v>0</v>
      </c>
      <c r="I385" s="64">
        <f>IF(AND(Y377=""),"",SUM(I382:I384))</f>
        <v>0</v>
      </c>
      <c r="J385" s="64">
        <f>IF(AND(Y377=""),"",SUM(J382:J384))</f>
        <v>0</v>
      </c>
      <c r="K385" s="64">
        <f>IF(AND(Y377=""),"",SUM(K382:K384))</f>
        <v>0</v>
      </c>
      <c r="L385" s="64">
        <f>IF(AND(Y377=""),"",SUM(L382:L384))</f>
        <v>0</v>
      </c>
      <c r="M385" s="64">
        <f>IF(AND(Y377=""),"",SUM(M382:M384))</f>
        <v>0</v>
      </c>
      <c r="N385" s="64">
        <f>IF(AND(Y377=""),"",SUM(N382:N384))</f>
        <v>0</v>
      </c>
      <c r="O385" s="64">
        <f>IF(AND(Y377=""),"",SUM(O382:O384))</f>
        <v>0</v>
      </c>
      <c r="P385" s="64">
        <f>IF(AND(Y377=""),"",SUM(P382:P384))</f>
        <v>0</v>
      </c>
      <c r="Q385" s="64">
        <f>IF(AND(Y377=""),"",SUM(Q382:Q384))</f>
        <v>0</v>
      </c>
      <c r="R385" s="64">
        <f>IF(AND(Y377=""),"",SUM(R382:R384))</f>
        <v>0</v>
      </c>
      <c r="S385" s="50"/>
    </row>
    <row r="386" spans="1:25" ht="10.5" customHeight="1">
      <c r="A386" s="75"/>
      <c r="B386" s="75"/>
      <c r="C386" s="76"/>
      <c r="D386" s="76"/>
      <c r="E386" s="76"/>
      <c r="F386" s="76"/>
      <c r="G386" s="76"/>
      <c r="H386" s="76"/>
      <c r="I386" s="76"/>
      <c r="J386" s="76"/>
      <c r="K386" s="76"/>
      <c r="L386" s="76"/>
      <c r="M386" s="76"/>
      <c r="N386" s="76"/>
      <c r="O386" s="76"/>
      <c r="P386" s="76"/>
      <c r="Q386" s="76"/>
      <c r="R386" s="76"/>
      <c r="S386" s="77"/>
    </row>
    <row r="387" spans="1:25" ht="23.25" customHeight="1">
      <c r="E387" s="116" t="s">
        <v>10</v>
      </c>
      <c r="F387" s="116"/>
      <c r="G387" s="116"/>
      <c r="H387" s="116"/>
      <c r="I387" s="116"/>
      <c r="J387" s="115" t="str">
        <f>IF(ISNA(VLOOKUP(Y389,Master!A$8:N$127,2,FALSE)),"",VLOOKUP(Y389,Master!A$8:AH$127,2,FALSE))</f>
        <v/>
      </c>
      <c r="K387" s="115"/>
      <c r="L387" s="115"/>
      <c r="M387" s="115"/>
      <c r="N387" s="115"/>
      <c r="O387" s="61" t="s">
        <v>31</v>
      </c>
      <c r="P387" s="115" t="str">
        <f>IF(ISNA(VLOOKUP(Y389,Master!A$8:N$127,3,FALSE)),"",VLOOKUP(Y389,Master!A$8:AH$127,3,FALSE))</f>
        <v/>
      </c>
      <c r="Q387" s="115"/>
      <c r="R387" s="115"/>
      <c r="S387" s="115"/>
    </row>
    <row r="388" spans="1:25" ht="9" customHeight="1">
      <c r="E388" s="19"/>
      <c r="F388" s="53"/>
      <c r="G388" s="22"/>
      <c r="H388" s="22"/>
      <c r="I388" s="22"/>
      <c r="J388" s="5"/>
      <c r="K388" s="5"/>
      <c r="L388" s="5"/>
      <c r="M388" s="5"/>
      <c r="N388" s="5"/>
      <c r="O388" s="6"/>
      <c r="P388" s="6"/>
    </row>
    <row r="389" spans="1:25" ht="21" customHeight="1">
      <c r="A389" s="8">
        <v>1</v>
      </c>
      <c r="B389" s="23" t="str">
        <f>IFERROR(IF(ISNA(VLOOKUP(Y389,Master!A$8:N$127,8,FALSE)),"",VLOOKUP($Y389,Master!A$8:AH$127,8,FALSE)),"")</f>
        <v/>
      </c>
      <c r="C389" s="9" t="str">
        <f>IF(ISNA(VLOOKUP(Y389,Master!A$8:N$127,5,FALSE)),"",VLOOKUP(Y389,Master!A$8:AH$127,5,FALSE))</f>
        <v/>
      </c>
      <c r="D389" s="9" t="str">
        <f>IF(AND(C389=""),"",IF(AND(Y389=""),"",ROUND(C389*Master!C$5%,0)))</f>
        <v/>
      </c>
      <c r="E389" s="9" t="str">
        <f>IF(AND(C389=""),"",IF(AND(Y389=""),"",ROUND(C389*Master!H$5%,0)))</f>
        <v/>
      </c>
      <c r="F389" s="9" t="str">
        <f t="shared" ref="F389:F391" si="346">IF(AND(C389=""),"",SUM(C389:E389))</f>
        <v/>
      </c>
      <c r="G389" s="9" t="str">
        <f>IF(ISNA(VLOOKUP(Y389,Master!A$8:N$127,5,FALSE)),"",VLOOKUP(Y389,Master!A$8:AH$127,5,FALSE))</f>
        <v/>
      </c>
      <c r="H389" s="9" t="str">
        <f>IF(AND(G389=""),"",IF(AND(Y389=""),"",ROUND(G389*Master!C$4%,0)))</f>
        <v/>
      </c>
      <c r="I389" s="9" t="str">
        <f>IF(AND(G389=""),"",IF(AND(Y389=""),"",ROUND(G389*Master!H$4%,0)))</f>
        <v/>
      </c>
      <c r="J389" s="9" t="str">
        <f t="shared" ref="J389:J391" si="347">IF(AND(C389=""),"",SUM(G389:I389))</f>
        <v/>
      </c>
      <c r="K389" s="9" t="str">
        <f t="shared" ref="K389" si="348">IF(AND(C389=""),"",IF(AND(G389=""),"",C389-G389))</f>
        <v/>
      </c>
      <c r="L389" s="9" t="str">
        <f>IF(AND(D389=""),"",IF(AND(H389=""),"",D389-H389))</f>
        <v/>
      </c>
      <c r="M389" s="9" t="str">
        <f t="shared" ref="M389:M391" si="349">IF(AND(E389=""),"",IF(AND(I389=""),"",E389-I389))</f>
        <v/>
      </c>
      <c r="N389" s="9" t="str">
        <f t="shared" ref="N389:N391" si="350">IF(AND(F389=""),"",IF(AND(J389=""),"",F389-J389))</f>
        <v/>
      </c>
      <c r="O389" s="9" t="str">
        <f>IF(AND(C389=""),"",N389-P389)</f>
        <v/>
      </c>
      <c r="P389" s="9" t="str">
        <f>IF(AND(Y389=""),"",IF(AND(N389=""),"",ROUND(N389*X$16%,0)))</f>
        <v/>
      </c>
      <c r="Q389" s="9" t="str">
        <f>IF(AND(Y389=""),"",IF(AND(C389=""),"",IF(AND(O389=""),"",SUM(O389,P389))))</f>
        <v/>
      </c>
      <c r="R389" s="9" t="str">
        <f>IF(AND(N389=""),"",IF(AND(Q389=""),"",N389-Q389))</f>
        <v/>
      </c>
      <c r="S389" s="20"/>
      <c r="X389" s="62" t="s">
        <v>62</v>
      </c>
      <c r="Y389" s="65">
        <v>35</v>
      </c>
    </row>
    <row r="390" spans="1:25" ht="21" customHeight="1">
      <c r="A390" s="8">
        <v>2</v>
      </c>
      <c r="B390" s="23" t="str">
        <f>IFERROR(DATE(YEAR(B389),MONTH(B389)+1,DAY(B389)),"")</f>
        <v/>
      </c>
      <c r="C390" s="9" t="str">
        <f>IF(AND(Y389=""),"",C389)</f>
        <v/>
      </c>
      <c r="D390" s="9" t="str">
        <f>IF(AND(C390=""),"",IF(AND(Y389=""),"",ROUND(C390*Master!C$5%,0)))</f>
        <v/>
      </c>
      <c r="E390" s="9" t="str">
        <f>IF(AND(C390=""),"",IF(AND(Y389=""),"",ROUND(C390*Master!H$5%,0)))</f>
        <v/>
      </c>
      <c r="F390" s="9" t="str">
        <f t="shared" si="346"/>
        <v/>
      </c>
      <c r="G390" s="9" t="str">
        <f>IF(AND(Y389=""),"",G389)</f>
        <v/>
      </c>
      <c r="H390" s="9" t="str">
        <f>IF(AND(G390=""),"",IF(AND(Y389=""),"",ROUND(G390*Master!C$4%,0)))</f>
        <v/>
      </c>
      <c r="I390" s="9" t="str">
        <f>IF(AND(G390=""),"",IF(AND(Y389=""),"",ROUND(G390*Master!H$4%,0)))</f>
        <v/>
      </c>
      <c r="J390" s="9" t="str">
        <f t="shared" si="347"/>
        <v/>
      </c>
      <c r="K390" s="9" t="str">
        <f>IF(AND(C390=""),"",IF(AND(G390=""),"",C390-G390))</f>
        <v/>
      </c>
      <c r="L390" s="9" t="str">
        <f t="shared" ref="L390:L391" si="351">IF(AND(D390=""),"",IF(AND(H390=""),"",D390-H390))</f>
        <v/>
      </c>
      <c r="M390" s="9" t="str">
        <f t="shared" si="349"/>
        <v/>
      </c>
      <c r="N390" s="9" t="str">
        <f t="shared" si="350"/>
        <v/>
      </c>
      <c r="O390" s="9" t="str">
        <f t="shared" ref="O390:O391" si="352">IF(AND(C390=""),"",N390-P390)</f>
        <v/>
      </c>
      <c r="P390" s="9" t="str">
        <f>IF(AND(Y389=""),"",IF(AND(N390=""),"",ROUND(N390*X$16%,0)))</f>
        <v/>
      </c>
      <c r="Q390" s="9" t="str">
        <f>IF(AND(Y389=""),"",IF(AND(C390=""),"",IF(AND(O390=""),"",SUM(O390,P390))))</f>
        <v/>
      </c>
      <c r="R390" s="9" t="str">
        <f t="shared" ref="R390:R391" si="353">IF(AND(N390=""),"",IF(AND(Q390=""),"",N390-Q390))</f>
        <v/>
      </c>
      <c r="S390" s="20"/>
      <c r="X390" s="4" t="str">
        <f>IF(ISNA(VLOOKUP(Y389,Master!A$8:N$127,7,FALSE)),"",VLOOKUP(Y389,Master!A$8:AH$127,7,FALSE))</f>
        <v/>
      </c>
    </row>
    <row r="391" spans="1:25" ht="21" customHeight="1">
      <c r="A391" s="8">
        <v>3</v>
      </c>
      <c r="B391" s="23" t="str">
        <f>IFERROR(DATE(YEAR(B390),MONTH(B390)+1,DAY(B390)),"")</f>
        <v/>
      </c>
      <c r="C391" s="9" t="str">
        <f>IF(AND(Y389=""),"",C390)</f>
        <v/>
      </c>
      <c r="D391" s="9" t="str">
        <f>IF(AND(C391=""),"",IF(AND(Y389=""),"",ROUND(C391*Master!C$5%,0)))</f>
        <v/>
      </c>
      <c r="E391" s="9" t="str">
        <f>IF(AND(C391=""),"",IF(AND(Y389=""),"",ROUND(C391*Master!H$5%,0)))</f>
        <v/>
      </c>
      <c r="F391" s="9" t="str">
        <f t="shared" si="346"/>
        <v/>
      </c>
      <c r="G391" s="9" t="str">
        <f>IF(AND(Y389=""),"",G390)</f>
        <v/>
      </c>
      <c r="H391" s="9" t="str">
        <f>IF(AND(G391=""),"",IF(AND(Y389=""),"",ROUND(G391*Master!C$4%,0)))</f>
        <v/>
      </c>
      <c r="I391" s="9" t="str">
        <f>IF(AND(G391=""),"",IF(AND(Y389=""),"",ROUND(G391*Master!H$4%,0)))</f>
        <v/>
      </c>
      <c r="J391" s="9" t="str">
        <f t="shared" si="347"/>
        <v/>
      </c>
      <c r="K391" s="9" t="str">
        <f t="shared" ref="K391" si="354">IF(AND(C391=""),"",IF(AND(G391=""),"",C391-G391))</f>
        <v/>
      </c>
      <c r="L391" s="9" t="str">
        <f t="shared" si="351"/>
        <v/>
      </c>
      <c r="M391" s="9" t="str">
        <f t="shared" si="349"/>
        <v/>
      </c>
      <c r="N391" s="9" t="str">
        <f t="shared" si="350"/>
        <v/>
      </c>
      <c r="O391" s="9" t="str">
        <f t="shared" si="352"/>
        <v/>
      </c>
      <c r="P391" s="9" t="str">
        <f>IF(AND(Y389=""),"",IF(AND(N391=""),"",ROUND(N391*X$16%,0)))</f>
        <v/>
      </c>
      <c r="Q391" s="9" t="str">
        <f>IF(AND(Y389=""),"",IF(AND(C391=""),"",IF(AND(O391=""),"",SUM(O391,P391))))</f>
        <v/>
      </c>
      <c r="R391" s="9" t="str">
        <f t="shared" si="353"/>
        <v/>
      </c>
      <c r="S391" s="20"/>
    </row>
    <row r="392" spans="1:25" ht="30.75" customHeight="1">
      <c r="A392" s="108" t="s">
        <v>9</v>
      </c>
      <c r="B392" s="109"/>
      <c r="C392" s="64">
        <f>IF(AND(Y389=""),"",SUM(C389:C391))</f>
        <v>0</v>
      </c>
      <c r="D392" s="64">
        <f>IF(AND(Y389=""),"",SUM(D389:D391))</f>
        <v>0</v>
      </c>
      <c r="E392" s="64">
        <f>IF(AND(Y389=""),"",SUM(E389:E391))</f>
        <v>0</v>
      </c>
      <c r="F392" s="64">
        <f>IF(AND(Y389=""),"",SUM(F389:F391))</f>
        <v>0</v>
      </c>
      <c r="G392" s="64">
        <f>IF(AND(Y389=""),"",SUM(G389:G391))</f>
        <v>0</v>
      </c>
      <c r="H392" s="64">
        <f>IF(AND(Y389=""),"",SUM(H389:H391))</f>
        <v>0</v>
      </c>
      <c r="I392" s="64">
        <f>IF(AND(Y389=""),"",SUM(I389:I391))</f>
        <v>0</v>
      </c>
      <c r="J392" s="64">
        <f>IF(AND(Y389=""),"",SUM(J389:J391))</f>
        <v>0</v>
      </c>
      <c r="K392" s="64">
        <f>IF(AND(Y389=""),"",SUM(K389:K391))</f>
        <v>0</v>
      </c>
      <c r="L392" s="64">
        <f>IF(AND(Y389=""),"",SUM(L389:L391))</f>
        <v>0</v>
      </c>
      <c r="M392" s="64">
        <f>IF(AND(Y389=""),"",SUM(M389:M391))</f>
        <v>0</v>
      </c>
      <c r="N392" s="64">
        <f>IF(AND(Y389=""),"",SUM(N389:N391))</f>
        <v>0</v>
      </c>
      <c r="O392" s="64">
        <f>IF(AND(Y389=""),"",SUM(O389:O391))</f>
        <v>0</v>
      </c>
      <c r="P392" s="64">
        <f>IF(AND(Y389=""),"",SUM(P389:P391))</f>
        <v>0</v>
      </c>
      <c r="Q392" s="64">
        <f>IF(AND(Y389=""),"",SUM(Q389:Q391))</f>
        <v>0</v>
      </c>
      <c r="R392" s="64">
        <f>IF(AND(Y389=""),"",SUM(R389:R391))</f>
        <v>0</v>
      </c>
      <c r="S392" s="50"/>
    </row>
    <row r="393" spans="1:25" ht="11.25" customHeight="1">
      <c r="A393" s="75"/>
      <c r="B393" s="75"/>
      <c r="C393" s="76"/>
      <c r="D393" s="76"/>
      <c r="E393" s="76"/>
      <c r="F393" s="76"/>
      <c r="G393" s="76"/>
      <c r="H393" s="76"/>
      <c r="I393" s="76"/>
      <c r="J393" s="76"/>
      <c r="K393" s="76"/>
      <c r="L393" s="76"/>
      <c r="M393" s="76"/>
      <c r="N393" s="76"/>
      <c r="O393" s="76"/>
      <c r="P393" s="76"/>
      <c r="Q393" s="76"/>
      <c r="R393" s="76"/>
      <c r="S393" s="77"/>
    </row>
    <row r="394" spans="1:25" ht="23.25" customHeight="1">
      <c r="E394" s="116" t="s">
        <v>10</v>
      </c>
      <c r="F394" s="116"/>
      <c r="G394" s="116"/>
      <c r="H394" s="116"/>
      <c r="I394" s="116"/>
      <c r="J394" s="115" t="str">
        <f>IF(ISNA(VLOOKUP(Y396,Master!A$8:N$127,2,FALSE)),"",VLOOKUP(Y396,Master!A$8:AH$127,2,FALSE))</f>
        <v/>
      </c>
      <c r="K394" s="115"/>
      <c r="L394" s="115"/>
      <c r="M394" s="115"/>
      <c r="N394" s="115"/>
      <c r="O394" s="61" t="s">
        <v>31</v>
      </c>
      <c r="P394" s="115" t="str">
        <f>IF(ISNA(VLOOKUP($Y$396,Master!A$8:N$127,3,FALSE)),"",VLOOKUP($Y$396,Master!A$8:AH$127,3,FALSE))</f>
        <v/>
      </c>
      <c r="Q394" s="115"/>
      <c r="R394" s="115"/>
      <c r="S394" s="115"/>
    </row>
    <row r="395" spans="1:25" ht="9" customHeight="1">
      <c r="E395" s="19"/>
      <c r="F395" s="53"/>
      <c r="G395" s="22"/>
      <c r="H395" s="22"/>
      <c r="I395" s="22"/>
      <c r="J395" s="5"/>
      <c r="K395" s="5"/>
      <c r="L395" s="5"/>
      <c r="M395" s="5"/>
      <c r="N395" s="5"/>
      <c r="O395" s="6"/>
      <c r="P395" s="6"/>
    </row>
    <row r="396" spans="1:25" ht="21" customHeight="1">
      <c r="A396" s="8">
        <v>1</v>
      </c>
      <c r="B396" s="23" t="str">
        <f>IFERROR(IF(ISNA(VLOOKUP(Y396,Master!A$8:N$127,8,FALSE)),"",VLOOKUP($Y396,Master!A$8:AH$127,8,FALSE)),"")</f>
        <v/>
      </c>
      <c r="C396" s="9" t="str">
        <f>IF(ISNA(VLOOKUP(Y396,Master!A$8:N$127,5,FALSE)),"",VLOOKUP(Y396,Master!A$8:AH$127,5,FALSE))</f>
        <v/>
      </c>
      <c r="D396" s="9" t="str">
        <f>IF(AND(C396=""),"",IF(AND(Y396=""),"",ROUND(C396*Master!C$5%,0)))</f>
        <v/>
      </c>
      <c r="E396" s="9" t="str">
        <f>IF(AND(C396=""),"",IF(AND(Y396=""),"",ROUND(C396*Master!H$5%,0)))</f>
        <v/>
      </c>
      <c r="F396" s="9" t="str">
        <f t="shared" ref="F396:F398" si="355">IF(AND(C396=""),"",SUM(C396:E396))</f>
        <v/>
      </c>
      <c r="G396" s="9" t="str">
        <f>IF(ISNA(VLOOKUP(Y396,Master!A$8:N$127,5,FALSE)),"",VLOOKUP(Y396,Master!A$8:AH$127,5,FALSE))</f>
        <v/>
      </c>
      <c r="H396" s="9" t="str">
        <f>IF(AND(G396=""),"",IF(AND(Y396=""),"",ROUND(G396*Master!C$4%,0)))</f>
        <v/>
      </c>
      <c r="I396" s="9" t="str">
        <f>IF(AND(G396=""),"",IF(AND(Y396=""),"",ROUND(G396*Master!H$4%,0)))</f>
        <v/>
      </c>
      <c r="J396" s="9" t="str">
        <f t="shared" ref="J396:J398" si="356">IF(AND(C396=""),"",SUM(G396:I396))</f>
        <v/>
      </c>
      <c r="K396" s="9" t="str">
        <f t="shared" ref="K396:K398" si="357">IF(AND(C396=""),"",IF(AND(G396=""),"",C396-G396))</f>
        <v/>
      </c>
      <c r="L396" s="9" t="str">
        <f t="shared" ref="L396:L398" si="358">IF(AND(D396=""),"",IF(AND(H396=""),"",D396-H396))</f>
        <v/>
      </c>
      <c r="M396" s="9" t="str">
        <f t="shared" ref="M396:M398" si="359">IF(AND(E396=""),"",IF(AND(I396=""),"",E396-I396))</f>
        <v/>
      </c>
      <c r="N396" s="9" t="str">
        <f t="shared" ref="N396:N398" si="360">IF(AND(F396=""),"",IF(AND(J396=""),"",F396-J396))</f>
        <v/>
      </c>
      <c r="O396" s="9" t="str">
        <f>IF(AND(C396=""),"",N396-P396)</f>
        <v/>
      </c>
      <c r="P396" s="9" t="str">
        <f>IF(AND(Y396=""),"",IF(AND(N396=""),"",ROUND(N396*AA$1%,0)))</f>
        <v/>
      </c>
      <c r="Q396" s="9" t="str">
        <f>IF(AND(Y396=""),"",IF(AND(C396=""),"",IF(AND(O396=""),"",SUM(O396,P396))))</f>
        <v/>
      </c>
      <c r="R396" s="9" t="str">
        <f>IF(AND(N396=""),"",IF(AND(Q396=""),"",N396-Q396))</f>
        <v/>
      </c>
      <c r="S396" s="20"/>
      <c r="X396" s="62" t="s">
        <v>62</v>
      </c>
      <c r="Y396" s="65">
        <v>36</v>
      </c>
    </row>
    <row r="397" spans="1:25" ht="21" customHeight="1">
      <c r="A397" s="8">
        <v>2</v>
      </c>
      <c r="B397" s="23" t="str">
        <f>IFERROR(DATE(YEAR(B396),MONTH(B396)+1,DAY(B396)),"")</f>
        <v/>
      </c>
      <c r="C397" s="9" t="str">
        <f>IF(AND(Y396=""),"",C396)</f>
        <v/>
      </c>
      <c r="D397" s="9" t="str">
        <f>IF(AND(C397=""),"",IF(AND(Y396=""),"",ROUND(C397*Master!C$5%,0)))</f>
        <v/>
      </c>
      <c r="E397" s="9" t="str">
        <f>IF(AND(C397=""),"",IF(AND(Y396=""),"",ROUND(C397*Master!H$5%,0)))</f>
        <v/>
      </c>
      <c r="F397" s="9" t="str">
        <f t="shared" si="355"/>
        <v/>
      </c>
      <c r="G397" s="9" t="str">
        <f>IF(AND(Y396=""),"",G396)</f>
        <v/>
      </c>
      <c r="H397" s="9" t="str">
        <f>IF(AND(G397=""),"",IF(AND(Y396=""),"",ROUND(G397*Master!C$4%,0)))</f>
        <v/>
      </c>
      <c r="I397" s="9" t="str">
        <f>IF(AND(G397=""),"",IF(AND(Y396=""),"",ROUND(G397*Master!H$4%,0)))</f>
        <v/>
      </c>
      <c r="J397" s="9" t="str">
        <f t="shared" si="356"/>
        <v/>
      </c>
      <c r="K397" s="9" t="str">
        <f t="shared" si="357"/>
        <v/>
      </c>
      <c r="L397" s="9" t="str">
        <f t="shared" si="358"/>
        <v/>
      </c>
      <c r="M397" s="9" t="str">
        <f t="shared" si="359"/>
        <v/>
      </c>
      <c r="N397" s="9" t="str">
        <f t="shared" si="360"/>
        <v/>
      </c>
      <c r="O397" s="9" t="str">
        <f t="shared" ref="O397:O398" si="361">IF(AND(C397=""),"",N397-P397)</f>
        <v/>
      </c>
      <c r="P397" s="9" t="str">
        <f>IF(AND(Y396=""),"",IF(AND(N397=""),"",ROUND(N397*AA$1%,0)))</f>
        <v/>
      </c>
      <c r="Q397" s="9" t="str">
        <f>IF(AND(Y396=""),"",IF(AND(C397=""),"",IF(AND(O397=""),"",SUM(O397,P397))))</f>
        <v/>
      </c>
      <c r="R397" s="9" t="str">
        <f t="shared" ref="R397:R398" si="362">IF(AND(N397=""),"",IF(AND(Q397=""),"",N397-Q397))</f>
        <v/>
      </c>
      <c r="S397" s="20"/>
      <c r="X397" s="4" t="str">
        <f>IF(ISNA(VLOOKUP(Y396,Master!A$8:N$127,7,FALSE)),"",VLOOKUP(Y396,Master!A$8:AH$127,7,FALSE))</f>
        <v/>
      </c>
    </row>
    <row r="398" spans="1:25" ht="21" customHeight="1">
      <c r="A398" s="8">
        <v>3</v>
      </c>
      <c r="B398" s="23" t="str">
        <f>IFERROR(DATE(YEAR(B397),MONTH(B397)+1,DAY(B397)),"")</f>
        <v/>
      </c>
      <c r="C398" s="9" t="str">
        <f>IF(AND(Y396=""),"",C397)</f>
        <v/>
      </c>
      <c r="D398" s="9" t="str">
        <f>IF(AND(C398=""),"",IF(AND(Y396=""),"",ROUND(C398*Master!C$5%,0)))</f>
        <v/>
      </c>
      <c r="E398" s="9" t="str">
        <f>IF(AND(C398=""),"",IF(AND(Y396=""),"",ROUND(C398*Master!H$5%,0)))</f>
        <v/>
      </c>
      <c r="F398" s="9" t="str">
        <f t="shared" si="355"/>
        <v/>
      </c>
      <c r="G398" s="9" t="str">
        <f>IF(AND(Y396=""),"",G397)</f>
        <v/>
      </c>
      <c r="H398" s="9" t="str">
        <f>IF(AND(G398=""),"",IF(AND(Y396=""),"",ROUND(G398*Master!C$4%,0)))</f>
        <v/>
      </c>
      <c r="I398" s="9" t="str">
        <f>IF(AND(G398=""),"",IF(AND(Y396=""),"",ROUND(G398*Master!H$4%,0)))</f>
        <v/>
      </c>
      <c r="J398" s="9" t="str">
        <f t="shared" si="356"/>
        <v/>
      </c>
      <c r="K398" s="9" t="str">
        <f t="shared" si="357"/>
        <v/>
      </c>
      <c r="L398" s="9" t="str">
        <f t="shared" si="358"/>
        <v/>
      </c>
      <c r="M398" s="9" t="str">
        <f t="shared" si="359"/>
        <v/>
      </c>
      <c r="N398" s="9" t="str">
        <f t="shared" si="360"/>
        <v/>
      </c>
      <c r="O398" s="9" t="str">
        <f t="shared" si="361"/>
        <v/>
      </c>
      <c r="P398" s="9" t="str">
        <f>IF(AND(Y396=""),"",IF(AND(N398=""),"",ROUND(N398*AA$1%,0)))</f>
        <v/>
      </c>
      <c r="Q398" s="9" t="str">
        <f>IF(AND(Y396=""),"",IF(AND(C398=""),"",IF(AND(O398=""),"",SUM(O398,P398))))</f>
        <v/>
      </c>
      <c r="R398" s="9" t="str">
        <f t="shared" si="362"/>
        <v/>
      </c>
      <c r="S398" s="20"/>
    </row>
    <row r="399" spans="1:25" ht="30.75" customHeight="1">
      <c r="A399" s="108" t="s">
        <v>9</v>
      </c>
      <c r="B399" s="109"/>
      <c r="C399" s="64">
        <f>IF(AND(Y396=""),"",SUM(C396:C398))</f>
        <v>0</v>
      </c>
      <c r="D399" s="64">
        <f>IF(AND(Y396=""),"",SUM(D396:D398))</f>
        <v>0</v>
      </c>
      <c r="E399" s="64">
        <f>IF(AND(Y396=""),"",SUM(E396:E398))</f>
        <v>0</v>
      </c>
      <c r="F399" s="64">
        <f>IF(AND(Y396=""),"",SUM(F396:F398))</f>
        <v>0</v>
      </c>
      <c r="G399" s="64">
        <f>IF(AND(Y396=""),"",SUM(G396:G398))</f>
        <v>0</v>
      </c>
      <c r="H399" s="64">
        <f>IF(AND(Y396=""),"",SUM(H396:H398))</f>
        <v>0</v>
      </c>
      <c r="I399" s="64">
        <f>IF(AND(Y396=""),"",SUM(I396:I398))</f>
        <v>0</v>
      </c>
      <c r="J399" s="64">
        <f>IF(AND(Y396=""),"",SUM(J396:J398))</f>
        <v>0</v>
      </c>
      <c r="K399" s="64">
        <f>IF(AND(Y396=""),"",SUM(K396:K398))</f>
        <v>0</v>
      </c>
      <c r="L399" s="64">
        <f>IF(AND(Y396=""),"",SUM(L396:L398))</f>
        <v>0</v>
      </c>
      <c r="M399" s="64">
        <f>IF(AND(Y396=""),"",SUM(M396:M398))</f>
        <v>0</v>
      </c>
      <c r="N399" s="64">
        <f>IF(AND(Y396=""),"",SUM(N396:N398))</f>
        <v>0</v>
      </c>
      <c r="O399" s="64">
        <f>IF(AND(Y396=""),"",SUM(O396:O398))</f>
        <v>0</v>
      </c>
      <c r="P399" s="64">
        <f>IF(AND(Y396=""),"",SUM(P396:P398))</f>
        <v>0</v>
      </c>
      <c r="Q399" s="64">
        <f>IF(AND(Y396=""),"",SUM(Q396:Q398))</f>
        <v>0</v>
      </c>
      <c r="R399" s="64">
        <f>IF(AND(Y396=""),"",SUM(R396:R398))</f>
        <v>0</v>
      </c>
      <c r="S399" s="50"/>
    </row>
    <row r="400" spans="1:25" ht="30.75" customHeight="1">
      <c r="A400" s="75"/>
      <c r="B400" s="75"/>
      <c r="C400" s="76"/>
      <c r="D400" s="76"/>
      <c r="E400" s="76"/>
      <c r="F400" s="76"/>
      <c r="G400" s="76"/>
      <c r="H400" s="76"/>
      <c r="I400" s="76"/>
      <c r="J400" s="76"/>
      <c r="K400" s="76"/>
      <c r="L400" s="76"/>
      <c r="M400" s="76"/>
      <c r="N400" s="76"/>
      <c r="O400" s="76"/>
      <c r="P400" s="76"/>
      <c r="Q400" s="76"/>
      <c r="R400" s="76"/>
      <c r="S400" s="77"/>
    </row>
    <row r="401" spans="1:27" ht="18.75">
      <c r="A401" s="21"/>
      <c r="B401" s="59"/>
      <c r="C401" s="59"/>
      <c r="D401" s="59"/>
      <c r="E401" s="59"/>
      <c r="F401" s="59"/>
      <c r="G401" s="59"/>
      <c r="H401" s="60"/>
      <c r="I401" s="60"/>
      <c r="J401" s="60"/>
      <c r="K401" s="68"/>
      <c r="L401" s="68"/>
      <c r="M401" s="68"/>
      <c r="N401" s="68"/>
      <c r="O401" s="107" t="s">
        <v>55</v>
      </c>
      <c r="P401" s="107"/>
      <c r="Q401" s="107"/>
      <c r="R401" s="107"/>
      <c r="S401" s="107"/>
    </row>
    <row r="402" spans="1:27" ht="18.75">
      <c r="A402" s="1"/>
      <c r="B402" s="24" t="s">
        <v>19</v>
      </c>
      <c r="C402" s="118"/>
      <c r="D402" s="118"/>
      <c r="E402" s="118"/>
      <c r="F402" s="118"/>
      <c r="G402" s="118"/>
      <c r="H402" s="25"/>
      <c r="I402" s="121" t="s">
        <v>20</v>
      </c>
      <c r="J402" s="121"/>
      <c r="K402" s="120"/>
      <c r="L402" s="120"/>
      <c r="M402" s="120"/>
      <c r="O402" s="107"/>
      <c r="P402" s="107"/>
      <c r="Q402" s="107"/>
      <c r="R402" s="107"/>
      <c r="S402" s="107"/>
    </row>
    <row r="403" spans="1:27" ht="18.75">
      <c r="A403" s="1"/>
      <c r="B403" s="119" t="s">
        <v>21</v>
      </c>
      <c r="C403" s="119"/>
      <c r="D403" s="119"/>
      <c r="E403" s="119"/>
      <c r="F403" s="119"/>
      <c r="G403" s="119"/>
      <c r="H403" s="119"/>
      <c r="I403" s="27"/>
      <c r="J403" s="26"/>
      <c r="K403" s="26"/>
      <c r="L403" s="26"/>
      <c r="M403" s="26"/>
    </row>
    <row r="404" spans="1:27" ht="18.75">
      <c r="A404" s="22">
        <v>1</v>
      </c>
      <c r="B404" s="117" t="s">
        <v>22</v>
      </c>
      <c r="C404" s="117"/>
      <c r="D404" s="117"/>
      <c r="E404" s="117"/>
      <c r="F404" s="117"/>
      <c r="G404" s="117"/>
      <c r="H404" s="117"/>
      <c r="I404" s="28"/>
      <c r="J404" s="26"/>
      <c r="K404" s="26"/>
      <c r="L404" s="26"/>
      <c r="M404" s="26"/>
    </row>
    <row r="405" spans="1:27" ht="18.75">
      <c r="A405" s="2">
        <v>2</v>
      </c>
      <c r="B405" s="117" t="s">
        <v>23</v>
      </c>
      <c r="C405" s="117"/>
      <c r="D405" s="117"/>
      <c r="E405" s="117"/>
      <c r="F405" s="117"/>
      <c r="G405" s="115"/>
      <c r="H405" s="115"/>
      <c r="I405" s="115"/>
      <c r="J405" s="115"/>
      <c r="K405" s="115"/>
      <c r="L405" s="115"/>
      <c r="M405" s="115"/>
    </row>
    <row r="406" spans="1:27" ht="18.75">
      <c r="A406" s="3">
        <v>3</v>
      </c>
      <c r="B406" s="117" t="s">
        <v>24</v>
      </c>
      <c r="C406" s="117"/>
      <c r="D406" s="117"/>
      <c r="E406" s="29"/>
      <c r="F406" s="28"/>
      <c r="G406" s="28"/>
      <c r="H406" s="30"/>
      <c r="I406" s="31"/>
      <c r="J406" s="26"/>
      <c r="K406" s="26"/>
      <c r="L406" s="26"/>
      <c r="M406" s="26"/>
    </row>
    <row r="407" spans="1:27" ht="15.75">
      <c r="O407" s="107" t="s">
        <v>55</v>
      </c>
      <c r="P407" s="107"/>
      <c r="Q407" s="107"/>
      <c r="R407" s="107"/>
      <c r="S407" s="107"/>
    </row>
    <row r="409" spans="1:27" ht="18" customHeight="1">
      <c r="A409" s="122" t="str">
        <f>A375</f>
        <v xml:space="preserve">DA (38%) Drawn Statement  </v>
      </c>
      <c r="B409" s="122"/>
      <c r="C409" s="122"/>
      <c r="D409" s="122"/>
      <c r="E409" s="122"/>
      <c r="F409" s="122"/>
      <c r="G409" s="122"/>
      <c r="H409" s="122"/>
      <c r="I409" s="122"/>
      <c r="J409" s="122"/>
      <c r="K409" s="122"/>
      <c r="L409" s="122"/>
      <c r="M409" s="122"/>
      <c r="N409" s="122"/>
      <c r="O409" s="122"/>
      <c r="P409" s="122"/>
      <c r="Q409" s="122"/>
      <c r="R409" s="122"/>
      <c r="S409" s="122"/>
      <c r="W409" s="4">
        <f>IF(ISNA(VLOOKUP($Y$3,Master!A$8:N$127,4,FALSE)),"",VLOOKUP($Y$3,Master!A$8:AH$127,4,FALSE))</f>
        <v>3</v>
      </c>
      <c r="X409" s="4" t="str">
        <f>IF(ISNA(VLOOKUP($Y$3,Master!A$8:N$127,6,FALSE)),"",VLOOKUP($Y$3,Master!A$8:AH$127,6,FALSE))</f>
        <v>GPF</v>
      </c>
      <c r="Y409" s="4" t="s">
        <v>58</v>
      </c>
      <c r="Z409" s="4" t="s">
        <v>18</v>
      </c>
      <c r="AA409" s="4" t="str">
        <f>IF(ISNA(VLOOKUP(Y411,Master!A$8:N$127,7,FALSE)),"",VLOOKUP(Y411,Master!A$8:AH$127,7,FALSE))</f>
        <v/>
      </c>
    </row>
    <row r="410" spans="1:27" ht="18">
      <c r="A410" s="114" t="str">
        <f>IF(AND(Master!C411=""),"",CONCATENATE("Office Of  ",Master!C411))</f>
        <v/>
      </c>
      <c r="B410" s="114"/>
      <c r="C410" s="114"/>
      <c r="D410" s="114"/>
      <c r="E410" s="114"/>
      <c r="F410" s="114"/>
      <c r="G410" s="114"/>
      <c r="H410" s="114"/>
      <c r="I410" s="114"/>
      <c r="J410" s="114"/>
      <c r="K410" s="114"/>
      <c r="L410" s="114"/>
      <c r="M410" s="114"/>
      <c r="N410" s="114"/>
      <c r="O410" s="114"/>
      <c r="P410" s="114"/>
      <c r="Q410" s="114"/>
      <c r="R410" s="114"/>
      <c r="S410" s="114"/>
      <c r="X410" s="4">
        <f>IF(ISNA(VLOOKUP($Y$3,Master!A$8:N$127,8,FALSE)),"",VLOOKUP($Y$3,Master!A$8:AH$127,8,FALSE))</f>
        <v>44743</v>
      </c>
      <c r="Y410" s="4" t="s">
        <v>56</v>
      </c>
    </row>
    <row r="411" spans="1:27" ht="18.75">
      <c r="E411" s="116" t="s">
        <v>10</v>
      </c>
      <c r="F411" s="116"/>
      <c r="G411" s="116"/>
      <c r="H411" s="116"/>
      <c r="I411" s="116"/>
      <c r="J411" s="115" t="str">
        <f>IF(ISNA(VLOOKUP(Y411,Master!A$8:N$127,2,FALSE)),"",VLOOKUP(Y411,Master!A$8:AH$127,2,FALSE))</f>
        <v/>
      </c>
      <c r="K411" s="115"/>
      <c r="L411" s="115"/>
      <c r="M411" s="115"/>
      <c r="N411" s="115"/>
      <c r="O411" s="61" t="s">
        <v>31</v>
      </c>
      <c r="P411" s="115" t="str">
        <f>IF(ISNA(VLOOKUP(Y411,Master!A$8:N$127,3,FALSE)),"",VLOOKUP(Y411,Master!A$8:AH$127,3,FALSE))</f>
        <v/>
      </c>
      <c r="Q411" s="115"/>
      <c r="R411" s="115"/>
      <c r="S411" s="115"/>
      <c r="X411" s="62" t="s">
        <v>62</v>
      </c>
      <c r="Y411" s="65">
        <v>37</v>
      </c>
    </row>
    <row r="412" spans="1:27" ht="8.25" customHeight="1">
      <c r="E412" s="19"/>
      <c r="F412" s="53"/>
      <c r="G412" s="22"/>
      <c r="H412" s="22"/>
      <c r="I412" s="22"/>
      <c r="J412" s="5"/>
      <c r="K412" s="5"/>
      <c r="L412" s="5"/>
      <c r="M412" s="5"/>
      <c r="N412" s="5"/>
      <c r="O412" s="6"/>
      <c r="P412" s="6"/>
    </row>
    <row r="413" spans="1:27" ht="24.75" customHeight="1">
      <c r="A413" s="110" t="s">
        <v>0</v>
      </c>
      <c r="B413" s="111" t="s">
        <v>3</v>
      </c>
      <c r="C413" s="112" t="s">
        <v>5</v>
      </c>
      <c r="D413" s="112"/>
      <c r="E413" s="112"/>
      <c r="F413" s="112"/>
      <c r="G413" s="112" t="s">
        <v>6</v>
      </c>
      <c r="H413" s="112"/>
      <c r="I413" s="112"/>
      <c r="J413" s="112"/>
      <c r="K413" s="112" t="s">
        <v>7</v>
      </c>
      <c r="L413" s="112"/>
      <c r="M413" s="112"/>
      <c r="N413" s="112"/>
      <c r="O413" s="97" t="s">
        <v>8</v>
      </c>
      <c r="P413" s="98"/>
      <c r="Q413" s="99"/>
      <c r="R413" s="105" t="s">
        <v>67</v>
      </c>
      <c r="S413" s="105" t="s">
        <v>50</v>
      </c>
    </row>
    <row r="414" spans="1:27" ht="69" customHeight="1">
      <c r="A414" s="110"/>
      <c r="B414" s="111"/>
      <c r="C414" s="55" t="s">
        <v>29</v>
      </c>
      <c r="D414" s="56" t="s">
        <v>1</v>
      </c>
      <c r="E414" s="57" t="s">
        <v>2</v>
      </c>
      <c r="F414" s="55" t="s">
        <v>59</v>
      </c>
      <c r="G414" s="55" t="s">
        <v>29</v>
      </c>
      <c r="H414" s="56" t="s">
        <v>1</v>
      </c>
      <c r="I414" s="57" t="s">
        <v>2</v>
      </c>
      <c r="J414" s="55" t="s">
        <v>60</v>
      </c>
      <c r="K414" s="55" t="s">
        <v>4</v>
      </c>
      <c r="L414" s="56" t="s">
        <v>1</v>
      </c>
      <c r="M414" s="57" t="s">
        <v>2</v>
      </c>
      <c r="N414" s="58" t="s">
        <v>61</v>
      </c>
      <c r="O414" s="54" t="s">
        <v>83</v>
      </c>
      <c r="P414" s="67" t="s">
        <v>51</v>
      </c>
      <c r="Q414" s="58" t="s">
        <v>66</v>
      </c>
      <c r="R414" s="105"/>
      <c r="S414" s="105"/>
    </row>
    <row r="415" spans="1:27" ht="18" customHeight="1">
      <c r="A415" s="7">
        <v>1</v>
      </c>
      <c r="B415" s="7">
        <v>2</v>
      </c>
      <c r="C415" s="7">
        <v>3</v>
      </c>
      <c r="D415" s="7">
        <v>4</v>
      </c>
      <c r="E415" s="7">
        <v>5</v>
      </c>
      <c r="F415" s="7">
        <v>6</v>
      </c>
      <c r="G415" s="7">
        <v>7</v>
      </c>
      <c r="H415" s="7">
        <v>8</v>
      </c>
      <c r="I415" s="7">
        <v>9</v>
      </c>
      <c r="J415" s="7">
        <v>10</v>
      </c>
      <c r="K415" s="7">
        <v>11</v>
      </c>
      <c r="L415" s="7">
        <v>12</v>
      </c>
      <c r="M415" s="7">
        <v>13</v>
      </c>
      <c r="N415" s="7">
        <v>14</v>
      </c>
      <c r="O415" s="7">
        <v>15</v>
      </c>
      <c r="P415" s="7">
        <v>17</v>
      </c>
      <c r="Q415" s="7">
        <v>18</v>
      </c>
      <c r="R415" s="7">
        <v>19</v>
      </c>
      <c r="S415" s="7">
        <v>20</v>
      </c>
    </row>
    <row r="416" spans="1:27" ht="21" customHeight="1">
      <c r="A416" s="8">
        <v>1</v>
      </c>
      <c r="B416" s="23" t="str">
        <f>IFERROR(IF(ISNA(VLOOKUP(Y411,Master!A$8:N$127,8,FALSE)),"",VLOOKUP($Y411,Master!A$8:AH$127,8,FALSE)),"")</f>
        <v/>
      </c>
      <c r="C416" s="9" t="str">
        <f>IF(ISNA(VLOOKUP(Y411,Master!A$8:N$127,5,FALSE)),"",VLOOKUP(Y411,Master!A$8:AH$127,5,FALSE))</f>
        <v/>
      </c>
      <c r="D416" s="9" t="str">
        <f>IF(AND(C416=""),"",IF(AND(Y411=""),"",ROUND(C416*Master!C$5%,0)))</f>
        <v/>
      </c>
      <c r="E416" s="9" t="str">
        <f>IF(AND(C416=""),"",IF(AND(Y411=""),"",ROUND(C416*Master!H$5%,0)))</f>
        <v/>
      </c>
      <c r="F416" s="9" t="str">
        <f t="shared" ref="F416" si="363">IF(AND(C416=""),"",SUM(C416:E416))</f>
        <v/>
      </c>
      <c r="G416" s="9" t="str">
        <f>IF(ISNA(VLOOKUP(Y411,Master!A$8:N$127,5,FALSE)),"",VLOOKUP(Y411,Master!A$8:AH$127,5,FALSE))</f>
        <v/>
      </c>
      <c r="H416" s="9" t="str">
        <f>IF(AND(G416=""),"",IF(AND(Y411=""),"",ROUND(G416*Master!C$4%,0)))</f>
        <v/>
      </c>
      <c r="I416" s="9" t="str">
        <f>IF(AND(G416=""),"",IF(AND(Y411=""),"",ROUND(G416*Master!H$4%,0)))</f>
        <v/>
      </c>
      <c r="J416" s="9" t="str">
        <f t="shared" ref="J416:J417" si="364">IF(AND(C416=""),"",SUM(G416:I416))</f>
        <v/>
      </c>
      <c r="K416" s="9" t="str">
        <f t="shared" ref="K416:K418" si="365">IF(AND(C416=""),"",IF(AND(G416=""),"",C416-G416))</f>
        <v/>
      </c>
      <c r="L416" s="9" t="str">
        <f t="shared" ref="L416:L418" si="366">IF(AND(D416=""),"",IF(AND(H416=""),"",D416-H416))</f>
        <v/>
      </c>
      <c r="M416" s="9" t="str">
        <f t="shared" ref="M416:M417" si="367">IF(AND(E416=""),"",IF(AND(I416=""),"",E416-I416))</f>
        <v/>
      </c>
      <c r="N416" s="9" t="str">
        <f t="shared" ref="N416:N417" si="368">IF(AND(F416=""),"",IF(AND(J416=""),"",F416-J416))</f>
        <v/>
      </c>
      <c r="O416" s="9" t="str">
        <f>IF(AND(C416=""),"",N416-P416)</f>
        <v/>
      </c>
      <c r="P416" s="9" t="str">
        <f>IF(AND(Y411=""),"",IF(AND(N416=""),"",ROUND(N416*AA$1%,0)))</f>
        <v/>
      </c>
      <c r="Q416" s="9" t="str">
        <f>IF(AND(Y411=""),"",IF(AND(C416=""),"",IF(AND(O416=""),"",SUM(O416,P416))))</f>
        <v/>
      </c>
      <c r="R416" s="9" t="str">
        <f>IF(AND(N416=""),"",IF(AND(Q416=""),"",N416-Q416))</f>
        <v/>
      </c>
      <c r="S416" s="20"/>
    </row>
    <row r="417" spans="1:25" ht="21" customHeight="1">
      <c r="A417" s="8">
        <v>2</v>
      </c>
      <c r="B417" s="23" t="str">
        <f>IFERROR(DATE(YEAR(B416),MONTH(B416)+1,DAY(B416)),"")</f>
        <v/>
      </c>
      <c r="C417" s="9" t="str">
        <f>IF(AND(Y411=""),"",C416)</f>
        <v/>
      </c>
      <c r="D417" s="9" t="str">
        <f>IF(AND(C417=""),"",IF(AND(Y411=""),"",ROUND(C417*Master!C$5%,0)))</f>
        <v/>
      </c>
      <c r="E417" s="9" t="str">
        <f>IF(AND(C417=""),"",IF(AND(Y411=""),"",ROUND(C417*Master!H$5%,0)))</f>
        <v/>
      </c>
      <c r="F417" s="9" t="str">
        <f>IF(AND(C417=""),"",SUM(C417:E417))</f>
        <v/>
      </c>
      <c r="G417" s="9" t="str">
        <f>IF(AND(Y411=""),"",G416)</f>
        <v/>
      </c>
      <c r="H417" s="9" t="str">
        <f>IF(AND(G417=""),"",IF(AND(Y411=""),"",ROUND(G417*Master!C$4%,0)))</f>
        <v/>
      </c>
      <c r="I417" s="9" t="str">
        <f>IF(AND(G417=""),"",IF(AND(Y411=""),"",ROUND(G417*Master!H$4%,0)))</f>
        <v/>
      </c>
      <c r="J417" s="9" t="str">
        <f t="shared" si="364"/>
        <v/>
      </c>
      <c r="K417" s="9" t="str">
        <f t="shared" si="365"/>
        <v/>
      </c>
      <c r="L417" s="9" t="str">
        <f t="shared" si="366"/>
        <v/>
      </c>
      <c r="M417" s="9" t="str">
        <f t="shared" si="367"/>
        <v/>
      </c>
      <c r="N417" s="9" t="str">
        <f t="shared" si="368"/>
        <v/>
      </c>
      <c r="O417" s="9" t="str">
        <f t="shared" ref="O417:O418" si="369">IF(AND(C417=""),"",N417-P417)</f>
        <v/>
      </c>
      <c r="P417" s="9" t="str">
        <f>IF(AND(Y411=""),"",IF(AND(N417=""),"",ROUND(N417*AA$1%,0)))</f>
        <v/>
      </c>
      <c r="Q417" s="9" t="str">
        <f>IF(AND(Y411=""),"",IF(AND(C417=""),"",IF(AND(O417=""),"",SUM(O417,P417))))</f>
        <v/>
      </c>
      <c r="R417" s="9" t="str">
        <f t="shared" ref="R417:R418" si="370">IF(AND(N417=""),"",IF(AND(Q417=""),"",N417-Q417))</f>
        <v/>
      </c>
      <c r="S417" s="20"/>
    </row>
    <row r="418" spans="1:25" ht="21" customHeight="1">
      <c r="A418" s="8">
        <v>3</v>
      </c>
      <c r="B418" s="23" t="str">
        <f>IFERROR(DATE(YEAR(B417),MONTH(B417)+1,DAY(B417)),"")</f>
        <v/>
      </c>
      <c r="C418" s="9" t="str">
        <f>IF(AND(Y411=""),"",C417)</f>
        <v/>
      </c>
      <c r="D418" s="9" t="str">
        <f>IF(AND(C418=""),"",IF(AND(Y411=""),"",ROUND(C418*Master!C$5%,0)))</f>
        <v/>
      </c>
      <c r="E418" s="9" t="str">
        <f>IF(AND(C418=""),"",IF(AND(Y411=""),"",ROUND(C418*Master!H$5%,0)))</f>
        <v/>
      </c>
      <c r="F418" s="9" t="str">
        <f t="shared" ref="F418" si="371">IF(AND(C418=""),"",SUM(C418:E418))</f>
        <v/>
      </c>
      <c r="G418" s="9" t="str">
        <f>IF(AND(Y411=""),"",G417)</f>
        <v/>
      </c>
      <c r="H418" s="9" t="str">
        <f>IF(AND(G418=""),"",IF(AND(Y411=""),"",ROUND(G418*Master!C$4%,0)))</f>
        <v/>
      </c>
      <c r="I418" s="9" t="str">
        <f>IF(AND(G418=""),"",IF(AND(Y411=""),"",ROUND(G418*Master!H$4%,0)))</f>
        <v/>
      </c>
      <c r="J418" s="9" t="str">
        <f>IF(AND(C418=""),"",SUM(G418:I418))</f>
        <v/>
      </c>
      <c r="K418" s="9" t="str">
        <f t="shared" si="365"/>
        <v/>
      </c>
      <c r="L418" s="9" t="str">
        <f t="shared" si="366"/>
        <v/>
      </c>
      <c r="M418" s="9" t="str">
        <f>IF(AND(E418=""),"",IF(AND(I418=""),"",E418-I418))</f>
        <v/>
      </c>
      <c r="N418" s="9" t="str">
        <f>IF(AND(F418=""),"",IF(AND(J418=""),"",F418-J418))</f>
        <v/>
      </c>
      <c r="O418" s="9" t="str">
        <f t="shared" si="369"/>
        <v/>
      </c>
      <c r="P418" s="9" t="str">
        <f>IF(AND(Y411=""),"",IF(AND(N418=""),"",ROUND(N418*AA$1%,0)))</f>
        <v/>
      </c>
      <c r="Q418" s="9" t="str">
        <f>IF(AND(Y411=""),"",IF(AND(C418=""),"",IF(AND(O418=""),"",SUM(O418,P418))))</f>
        <v/>
      </c>
      <c r="R418" s="9" t="str">
        <f t="shared" si="370"/>
        <v/>
      </c>
      <c r="S418" s="20"/>
    </row>
    <row r="419" spans="1:25" ht="23.25" customHeight="1">
      <c r="A419" s="108" t="s">
        <v>9</v>
      </c>
      <c r="B419" s="109"/>
      <c r="C419" s="64">
        <f>IF(AND(Y411=""),"",SUM(C416:C418))</f>
        <v>0</v>
      </c>
      <c r="D419" s="64">
        <f>IF(AND(Y411=""),"",SUM(D416:D418))</f>
        <v>0</v>
      </c>
      <c r="E419" s="64">
        <f>IF(AND(Y411=""),"",SUM(E416:E418))</f>
        <v>0</v>
      </c>
      <c r="F419" s="64">
        <f>IF(AND(Y411=""),"",SUM(F416:F418))</f>
        <v>0</v>
      </c>
      <c r="G419" s="64">
        <f>IF(AND(Y411=""),"",SUM(G416:G418))</f>
        <v>0</v>
      </c>
      <c r="H419" s="64">
        <f>IF(AND(Y411=""),"",SUM(H416:H418))</f>
        <v>0</v>
      </c>
      <c r="I419" s="64">
        <f>IF(AND(Y411=""),"",SUM(I416:I418))</f>
        <v>0</v>
      </c>
      <c r="J419" s="64">
        <f>IF(AND(Y411=""),"",SUM(J416:J418))</f>
        <v>0</v>
      </c>
      <c r="K419" s="64">
        <f>IF(AND(Y411=""),"",SUM(K416:K418))</f>
        <v>0</v>
      </c>
      <c r="L419" s="64">
        <f>IF(AND(Y411=""),"",SUM(L416:L418))</f>
        <v>0</v>
      </c>
      <c r="M419" s="64">
        <f>IF(AND(Y411=""),"",SUM(M416:M418))</f>
        <v>0</v>
      </c>
      <c r="N419" s="64">
        <f>IF(AND(Y411=""),"",SUM(N416:N418))</f>
        <v>0</v>
      </c>
      <c r="O419" s="64">
        <f>IF(AND(Y411=""),"",SUM(O416:O418))</f>
        <v>0</v>
      </c>
      <c r="P419" s="64">
        <f>IF(AND(Y411=""),"",SUM(P416:P418))</f>
        <v>0</v>
      </c>
      <c r="Q419" s="64">
        <f>IF(AND(Y411=""),"",SUM(Q416:Q418))</f>
        <v>0</v>
      </c>
      <c r="R419" s="64">
        <f>IF(AND(Y411=""),"",SUM(R416:R418))</f>
        <v>0</v>
      </c>
      <c r="S419" s="50"/>
    </row>
    <row r="420" spans="1:25" ht="10.5" customHeight="1">
      <c r="A420" s="75"/>
      <c r="B420" s="75"/>
      <c r="C420" s="76"/>
      <c r="D420" s="76"/>
      <c r="E420" s="76"/>
      <c r="F420" s="76"/>
      <c r="G420" s="76"/>
      <c r="H420" s="76"/>
      <c r="I420" s="76"/>
      <c r="J420" s="76"/>
      <c r="K420" s="76"/>
      <c r="L420" s="76"/>
      <c r="M420" s="76"/>
      <c r="N420" s="76"/>
      <c r="O420" s="76"/>
      <c r="P420" s="76"/>
      <c r="Q420" s="76"/>
      <c r="R420" s="76"/>
      <c r="S420" s="77"/>
    </row>
    <row r="421" spans="1:25" ht="23.25" customHeight="1">
      <c r="E421" s="116" t="s">
        <v>10</v>
      </c>
      <c r="F421" s="116"/>
      <c r="G421" s="116"/>
      <c r="H421" s="116"/>
      <c r="I421" s="116"/>
      <c r="J421" s="115" t="str">
        <f>IF(ISNA(VLOOKUP(Y423,Master!A$8:N$127,2,FALSE)),"",VLOOKUP(Y423,Master!A$8:AH$127,2,FALSE))</f>
        <v/>
      </c>
      <c r="K421" s="115"/>
      <c r="L421" s="115"/>
      <c r="M421" s="115"/>
      <c r="N421" s="115"/>
      <c r="O421" s="61" t="s">
        <v>31</v>
      </c>
      <c r="P421" s="115" t="str">
        <f>IF(ISNA(VLOOKUP(Y423,Master!A$8:N$127,3,FALSE)),"",VLOOKUP(Y423,Master!A$8:AH$127,3,FALSE))</f>
        <v/>
      </c>
      <c r="Q421" s="115"/>
      <c r="R421" s="115"/>
      <c r="S421" s="115"/>
    </row>
    <row r="422" spans="1:25" ht="9" customHeight="1">
      <c r="E422" s="19"/>
      <c r="F422" s="53"/>
      <c r="G422" s="22"/>
      <c r="H422" s="22"/>
      <c r="I422" s="22"/>
      <c r="J422" s="5"/>
      <c r="K422" s="5"/>
      <c r="L422" s="5"/>
      <c r="M422" s="5"/>
      <c r="N422" s="5"/>
      <c r="O422" s="6"/>
      <c r="P422" s="6"/>
    </row>
    <row r="423" spans="1:25" ht="21" customHeight="1">
      <c r="A423" s="8">
        <v>1</v>
      </c>
      <c r="B423" s="23" t="str">
        <f>IFERROR(IF(ISNA(VLOOKUP(Y423,Master!A$8:N$127,8,FALSE)),"",VLOOKUP($Y423,Master!A$8:AH$127,8,FALSE)),"")</f>
        <v/>
      </c>
      <c r="C423" s="9" t="str">
        <f>IF(ISNA(VLOOKUP(Y423,Master!A$8:N$127,5,FALSE)),"",VLOOKUP(Y423,Master!A$8:AH$127,5,FALSE))</f>
        <v/>
      </c>
      <c r="D423" s="9" t="str">
        <f>IF(AND(C423=""),"",IF(AND(Y423=""),"",ROUND(C423*Master!C$5%,0)))</f>
        <v/>
      </c>
      <c r="E423" s="9" t="str">
        <f>IF(AND(C423=""),"",IF(AND(Y423=""),"",ROUND(C423*Master!H$5%,0)))</f>
        <v/>
      </c>
      <c r="F423" s="9" t="str">
        <f t="shared" ref="F423:F425" si="372">IF(AND(C423=""),"",SUM(C423:E423))</f>
        <v/>
      </c>
      <c r="G423" s="9" t="str">
        <f>IF(ISNA(VLOOKUP(Y423,Master!A$8:N$127,5,FALSE)),"",VLOOKUP(Y423,Master!A$8:AH$127,5,FALSE))</f>
        <v/>
      </c>
      <c r="H423" s="9" t="str">
        <f>IF(AND(G423=""),"",IF(AND(Y423=""),"",ROUND(G423*Master!C$4%,0)))</f>
        <v/>
      </c>
      <c r="I423" s="9" t="str">
        <f>IF(AND(G423=""),"",IF(AND(Y423=""),"",ROUND(G423*Master!H$4%,0)))</f>
        <v/>
      </c>
      <c r="J423" s="9" t="str">
        <f t="shared" ref="J423:J425" si="373">IF(AND(C423=""),"",SUM(G423:I423))</f>
        <v/>
      </c>
      <c r="K423" s="9" t="str">
        <f t="shared" ref="K423" si="374">IF(AND(C423=""),"",IF(AND(G423=""),"",C423-G423))</f>
        <v/>
      </c>
      <c r="L423" s="9" t="str">
        <f>IF(AND(D423=""),"",IF(AND(H423=""),"",D423-H423))</f>
        <v/>
      </c>
      <c r="M423" s="9" t="str">
        <f t="shared" ref="M423:M425" si="375">IF(AND(E423=""),"",IF(AND(I423=""),"",E423-I423))</f>
        <v/>
      </c>
      <c r="N423" s="9" t="str">
        <f t="shared" ref="N423:N425" si="376">IF(AND(F423=""),"",IF(AND(J423=""),"",F423-J423))</f>
        <v/>
      </c>
      <c r="O423" s="9" t="str">
        <f>IF(AND(C423=""),"",N423-P423)</f>
        <v/>
      </c>
      <c r="P423" s="9" t="str">
        <f>IF(AND(Y423=""),"",IF(AND(N423=""),"",ROUND(N423*X$16%,0)))</f>
        <v/>
      </c>
      <c r="Q423" s="9" t="str">
        <f>IF(AND(Y423=""),"",IF(AND(C423=""),"",IF(AND(O423=""),"",SUM(O423,P423))))</f>
        <v/>
      </c>
      <c r="R423" s="9" t="str">
        <f>IF(AND(N423=""),"",IF(AND(Q423=""),"",N423-Q423))</f>
        <v/>
      </c>
      <c r="S423" s="20"/>
      <c r="X423" s="62" t="s">
        <v>62</v>
      </c>
      <c r="Y423" s="65">
        <v>38</v>
      </c>
    </row>
    <row r="424" spans="1:25" ht="21" customHeight="1">
      <c r="A424" s="8">
        <v>2</v>
      </c>
      <c r="B424" s="23" t="str">
        <f>IFERROR(DATE(YEAR(B423),MONTH(B423)+1,DAY(B423)),"")</f>
        <v/>
      </c>
      <c r="C424" s="9" t="str">
        <f>IF(AND(Y423=""),"",C423)</f>
        <v/>
      </c>
      <c r="D424" s="9" t="str">
        <f>IF(AND(C424=""),"",IF(AND(Y423=""),"",ROUND(C424*Master!C$5%,0)))</f>
        <v/>
      </c>
      <c r="E424" s="9" t="str">
        <f>IF(AND(C424=""),"",IF(AND(Y423=""),"",ROUND(C424*Master!H$5%,0)))</f>
        <v/>
      </c>
      <c r="F424" s="9" t="str">
        <f t="shared" si="372"/>
        <v/>
      </c>
      <c r="G424" s="9" t="str">
        <f>IF(AND(Y423=""),"",G423)</f>
        <v/>
      </c>
      <c r="H424" s="9" t="str">
        <f>IF(AND(G424=""),"",IF(AND(Y423=""),"",ROUND(G424*Master!C$4%,0)))</f>
        <v/>
      </c>
      <c r="I424" s="9" t="str">
        <f>IF(AND(G424=""),"",IF(AND(Y423=""),"",ROUND(G424*Master!H$4%,0)))</f>
        <v/>
      </c>
      <c r="J424" s="9" t="str">
        <f t="shared" si="373"/>
        <v/>
      </c>
      <c r="K424" s="9" t="str">
        <f>IF(AND(C424=""),"",IF(AND(G424=""),"",C424-G424))</f>
        <v/>
      </c>
      <c r="L424" s="9" t="str">
        <f t="shared" ref="L424:L425" si="377">IF(AND(D424=""),"",IF(AND(H424=""),"",D424-H424))</f>
        <v/>
      </c>
      <c r="M424" s="9" t="str">
        <f t="shared" si="375"/>
        <v/>
      </c>
      <c r="N424" s="9" t="str">
        <f t="shared" si="376"/>
        <v/>
      </c>
      <c r="O424" s="9" t="str">
        <f t="shared" ref="O424:O425" si="378">IF(AND(C424=""),"",N424-P424)</f>
        <v/>
      </c>
      <c r="P424" s="9" t="str">
        <f>IF(AND(Y423=""),"",IF(AND(N424=""),"",ROUND(N424*X$16%,0)))</f>
        <v/>
      </c>
      <c r="Q424" s="9" t="str">
        <f>IF(AND(Y423=""),"",IF(AND(C424=""),"",IF(AND(O424=""),"",SUM(O424,P424))))</f>
        <v/>
      </c>
      <c r="R424" s="9" t="str">
        <f t="shared" ref="R424:R425" si="379">IF(AND(N424=""),"",IF(AND(Q424=""),"",N424-Q424))</f>
        <v/>
      </c>
      <c r="S424" s="20"/>
      <c r="X424" s="4" t="str">
        <f>IF(ISNA(VLOOKUP(Y423,Master!A$8:N$127,7,FALSE)),"",VLOOKUP(Y423,Master!A$8:AH$127,7,FALSE))</f>
        <v/>
      </c>
    </row>
    <row r="425" spans="1:25" ht="21" customHeight="1">
      <c r="A425" s="8">
        <v>3</v>
      </c>
      <c r="B425" s="23" t="str">
        <f>IFERROR(DATE(YEAR(B424),MONTH(B424)+1,DAY(B424)),"")</f>
        <v/>
      </c>
      <c r="C425" s="9" t="str">
        <f>IF(AND(Y423=""),"",C424)</f>
        <v/>
      </c>
      <c r="D425" s="9" t="str">
        <f>IF(AND(C425=""),"",IF(AND(Y423=""),"",ROUND(C425*Master!C$5%,0)))</f>
        <v/>
      </c>
      <c r="E425" s="9" t="str">
        <f>IF(AND(C425=""),"",IF(AND(Y423=""),"",ROUND(C425*Master!H$5%,0)))</f>
        <v/>
      </c>
      <c r="F425" s="9" t="str">
        <f t="shared" si="372"/>
        <v/>
      </c>
      <c r="G425" s="9" t="str">
        <f>IF(AND(Y423=""),"",G424)</f>
        <v/>
      </c>
      <c r="H425" s="9" t="str">
        <f>IF(AND(G425=""),"",IF(AND(Y423=""),"",ROUND(G425*Master!C$4%,0)))</f>
        <v/>
      </c>
      <c r="I425" s="9" t="str">
        <f>IF(AND(G425=""),"",IF(AND(Y423=""),"",ROUND(G425*Master!H$4%,0)))</f>
        <v/>
      </c>
      <c r="J425" s="9" t="str">
        <f t="shared" si="373"/>
        <v/>
      </c>
      <c r="K425" s="9" t="str">
        <f t="shared" ref="K425" si="380">IF(AND(C425=""),"",IF(AND(G425=""),"",C425-G425))</f>
        <v/>
      </c>
      <c r="L425" s="9" t="str">
        <f t="shared" si="377"/>
        <v/>
      </c>
      <c r="M425" s="9" t="str">
        <f t="shared" si="375"/>
        <v/>
      </c>
      <c r="N425" s="9" t="str">
        <f t="shared" si="376"/>
        <v/>
      </c>
      <c r="O425" s="9" t="str">
        <f t="shared" si="378"/>
        <v/>
      </c>
      <c r="P425" s="9" t="str">
        <f>IF(AND(Y423=""),"",IF(AND(N425=""),"",ROUND(N425*X$16%,0)))</f>
        <v/>
      </c>
      <c r="Q425" s="9" t="str">
        <f>IF(AND(Y423=""),"",IF(AND(C425=""),"",IF(AND(O425=""),"",SUM(O425,P425))))</f>
        <v/>
      </c>
      <c r="R425" s="9" t="str">
        <f t="shared" si="379"/>
        <v/>
      </c>
      <c r="S425" s="20"/>
    </row>
    <row r="426" spans="1:25" ht="30.75" customHeight="1">
      <c r="A426" s="108" t="s">
        <v>9</v>
      </c>
      <c r="B426" s="109"/>
      <c r="C426" s="64">
        <f>IF(AND(Y423=""),"",SUM(C423:C425))</f>
        <v>0</v>
      </c>
      <c r="D426" s="64">
        <f>IF(AND(Y423=""),"",SUM(D423:D425))</f>
        <v>0</v>
      </c>
      <c r="E426" s="64">
        <f>IF(AND(Y423=""),"",SUM(E423:E425))</f>
        <v>0</v>
      </c>
      <c r="F426" s="64">
        <f>IF(AND(Y423=""),"",SUM(F423:F425))</f>
        <v>0</v>
      </c>
      <c r="G426" s="64">
        <f>IF(AND(Y423=""),"",SUM(G423:G425))</f>
        <v>0</v>
      </c>
      <c r="H426" s="64">
        <f>IF(AND(Y423=""),"",SUM(H423:H425))</f>
        <v>0</v>
      </c>
      <c r="I426" s="64">
        <f>IF(AND(Y423=""),"",SUM(I423:I425))</f>
        <v>0</v>
      </c>
      <c r="J426" s="64">
        <f>IF(AND(Y423=""),"",SUM(J423:J425))</f>
        <v>0</v>
      </c>
      <c r="K426" s="64">
        <f>IF(AND(Y423=""),"",SUM(K423:K425))</f>
        <v>0</v>
      </c>
      <c r="L426" s="64">
        <f>IF(AND(Y423=""),"",SUM(L423:L425))</f>
        <v>0</v>
      </c>
      <c r="M426" s="64">
        <f>IF(AND(Y423=""),"",SUM(M423:M425))</f>
        <v>0</v>
      </c>
      <c r="N426" s="64">
        <f>IF(AND(Y423=""),"",SUM(N423:N425))</f>
        <v>0</v>
      </c>
      <c r="O426" s="64">
        <f>IF(AND(Y423=""),"",SUM(O423:O425))</f>
        <v>0</v>
      </c>
      <c r="P426" s="64">
        <f>IF(AND(Y423=""),"",SUM(P423:P425))</f>
        <v>0</v>
      </c>
      <c r="Q426" s="64">
        <f>IF(AND(Y423=""),"",SUM(Q423:Q425))</f>
        <v>0</v>
      </c>
      <c r="R426" s="64">
        <f>IF(AND(Y423=""),"",SUM(R423:R425))</f>
        <v>0</v>
      </c>
      <c r="S426" s="50"/>
    </row>
    <row r="427" spans="1:25" ht="11.25" customHeight="1">
      <c r="A427" s="75"/>
      <c r="B427" s="75"/>
      <c r="C427" s="76"/>
      <c r="D427" s="76"/>
      <c r="E427" s="76"/>
      <c r="F427" s="76"/>
      <c r="G427" s="76"/>
      <c r="H427" s="76"/>
      <c r="I427" s="76"/>
      <c r="J427" s="76"/>
      <c r="K427" s="76"/>
      <c r="L427" s="76"/>
      <c r="M427" s="76"/>
      <c r="N427" s="76"/>
      <c r="O427" s="76"/>
      <c r="P427" s="76"/>
      <c r="Q427" s="76"/>
      <c r="R427" s="76"/>
      <c r="S427" s="77"/>
    </row>
    <row r="428" spans="1:25" ht="23.25" customHeight="1">
      <c r="E428" s="116" t="s">
        <v>10</v>
      </c>
      <c r="F428" s="116"/>
      <c r="G428" s="116"/>
      <c r="H428" s="116"/>
      <c r="I428" s="116"/>
      <c r="J428" s="115" t="str">
        <f>IF(ISNA(VLOOKUP(Y430,Master!A$8:N$127,2,FALSE)),"",VLOOKUP(Y430,Master!A$8:AH$127,2,FALSE))</f>
        <v/>
      </c>
      <c r="K428" s="115"/>
      <c r="L428" s="115"/>
      <c r="M428" s="115"/>
      <c r="N428" s="115"/>
      <c r="O428" s="61" t="s">
        <v>31</v>
      </c>
      <c r="P428" s="115" t="str">
        <f>IF(ISNA(VLOOKUP($Y$396,Master!A$8:N$127,3,FALSE)),"",VLOOKUP($Y$396,Master!A$8:AH$127,3,FALSE))</f>
        <v/>
      </c>
      <c r="Q428" s="115"/>
      <c r="R428" s="115"/>
      <c r="S428" s="115"/>
    </row>
    <row r="429" spans="1:25" ht="9" customHeight="1">
      <c r="E429" s="19"/>
      <c r="F429" s="53"/>
      <c r="G429" s="22"/>
      <c r="H429" s="22"/>
      <c r="I429" s="22"/>
      <c r="J429" s="5"/>
      <c r="K429" s="5"/>
      <c r="L429" s="5"/>
      <c r="M429" s="5"/>
      <c r="N429" s="5"/>
      <c r="O429" s="6"/>
      <c r="P429" s="6"/>
    </row>
    <row r="430" spans="1:25" ht="21" customHeight="1">
      <c r="A430" s="8">
        <v>1</v>
      </c>
      <c r="B430" s="23" t="str">
        <f>IFERROR(IF(ISNA(VLOOKUP(Y430,Master!A$8:N$127,8,FALSE)),"",VLOOKUP($Y430,Master!A$8:AH$127,8,FALSE)),"")</f>
        <v/>
      </c>
      <c r="C430" s="9" t="str">
        <f>IF(ISNA(VLOOKUP(Y430,Master!A$8:N$127,5,FALSE)),"",VLOOKUP(Y430,Master!A$8:AH$127,5,FALSE))</f>
        <v/>
      </c>
      <c r="D430" s="9" t="str">
        <f>IF(AND(C430=""),"",IF(AND(Y430=""),"",ROUND(C430*Master!C$5%,0)))</f>
        <v/>
      </c>
      <c r="E430" s="9" t="str">
        <f>IF(AND(C430=""),"",IF(AND(Y430=""),"",ROUND(C430*Master!H$5%,0)))</f>
        <v/>
      </c>
      <c r="F430" s="9" t="str">
        <f t="shared" ref="F430:F432" si="381">IF(AND(C430=""),"",SUM(C430:E430))</f>
        <v/>
      </c>
      <c r="G430" s="9" t="str">
        <f>IF(ISNA(VLOOKUP(Y430,Master!A$8:N$127,5,FALSE)),"",VLOOKUP(Y430,Master!A$8:AH$127,5,FALSE))</f>
        <v/>
      </c>
      <c r="H430" s="9" t="str">
        <f>IF(AND(G430=""),"",IF(AND(Y430=""),"",ROUND(G430*Master!C$4%,0)))</f>
        <v/>
      </c>
      <c r="I430" s="9" t="str">
        <f>IF(AND(G430=""),"",IF(AND(Y430=""),"",ROUND(G430*Master!H$4%,0)))</f>
        <v/>
      </c>
      <c r="J430" s="9" t="str">
        <f t="shared" ref="J430:J432" si="382">IF(AND(C430=""),"",SUM(G430:I430))</f>
        <v/>
      </c>
      <c r="K430" s="9" t="str">
        <f t="shared" ref="K430:K432" si="383">IF(AND(C430=""),"",IF(AND(G430=""),"",C430-G430))</f>
        <v/>
      </c>
      <c r="L430" s="9" t="str">
        <f t="shared" ref="L430:L432" si="384">IF(AND(D430=""),"",IF(AND(H430=""),"",D430-H430))</f>
        <v/>
      </c>
      <c r="M430" s="9" t="str">
        <f t="shared" ref="M430:M432" si="385">IF(AND(E430=""),"",IF(AND(I430=""),"",E430-I430))</f>
        <v/>
      </c>
      <c r="N430" s="9" t="str">
        <f t="shared" ref="N430:N432" si="386">IF(AND(F430=""),"",IF(AND(J430=""),"",F430-J430))</f>
        <v/>
      </c>
      <c r="O430" s="9" t="str">
        <f>IF(AND(C430=""),"",N430-P430)</f>
        <v/>
      </c>
      <c r="P430" s="9" t="str">
        <f>IF(AND(Y430=""),"",IF(AND(N430=""),"",ROUND(N430*AA$1%,0)))</f>
        <v/>
      </c>
      <c r="Q430" s="9" t="str">
        <f>IF(AND(Y430=""),"",IF(AND(C430=""),"",IF(AND(O430=""),"",SUM(O430,P430))))</f>
        <v/>
      </c>
      <c r="R430" s="9" t="str">
        <f>IF(AND(N430=""),"",IF(AND(Q430=""),"",N430-Q430))</f>
        <v/>
      </c>
      <c r="S430" s="20"/>
      <c r="X430" s="62" t="s">
        <v>62</v>
      </c>
      <c r="Y430" s="65">
        <v>39</v>
      </c>
    </row>
    <row r="431" spans="1:25" ht="21" customHeight="1">
      <c r="A431" s="8">
        <v>2</v>
      </c>
      <c r="B431" s="23" t="str">
        <f>IFERROR(DATE(YEAR(B430),MONTH(B430)+1,DAY(B430)),"")</f>
        <v/>
      </c>
      <c r="C431" s="9" t="str">
        <f>IF(AND(Y430=""),"",C430)</f>
        <v/>
      </c>
      <c r="D431" s="9" t="str">
        <f>IF(AND(C431=""),"",IF(AND(Y430=""),"",ROUND(C431*Master!C$5%,0)))</f>
        <v/>
      </c>
      <c r="E431" s="9" t="str">
        <f>IF(AND(C431=""),"",IF(AND(Y430=""),"",ROUND(C431*Master!H$5%,0)))</f>
        <v/>
      </c>
      <c r="F431" s="9" t="str">
        <f t="shared" si="381"/>
        <v/>
      </c>
      <c r="G431" s="9" t="str">
        <f>IF(AND(Y430=""),"",G430)</f>
        <v/>
      </c>
      <c r="H431" s="9" t="str">
        <f>IF(AND(G431=""),"",IF(AND(Y430=""),"",ROUND(G431*Master!C$4%,0)))</f>
        <v/>
      </c>
      <c r="I431" s="9" t="str">
        <f>IF(AND(G431=""),"",IF(AND(Y430=""),"",ROUND(G431*Master!H$4%,0)))</f>
        <v/>
      </c>
      <c r="J431" s="9" t="str">
        <f t="shared" si="382"/>
        <v/>
      </c>
      <c r="K431" s="9" t="str">
        <f t="shared" si="383"/>
        <v/>
      </c>
      <c r="L431" s="9" t="str">
        <f t="shared" si="384"/>
        <v/>
      </c>
      <c r="M431" s="9" t="str">
        <f t="shared" si="385"/>
        <v/>
      </c>
      <c r="N431" s="9" t="str">
        <f t="shared" si="386"/>
        <v/>
      </c>
      <c r="O431" s="9" t="str">
        <f t="shared" ref="O431:O432" si="387">IF(AND(C431=""),"",N431-P431)</f>
        <v/>
      </c>
      <c r="P431" s="9" t="str">
        <f>IF(AND(Y430=""),"",IF(AND(N431=""),"",ROUND(N431*AA$1%,0)))</f>
        <v/>
      </c>
      <c r="Q431" s="9" t="str">
        <f>IF(AND(Y430=""),"",IF(AND(C431=""),"",IF(AND(O431=""),"",SUM(O431,P431))))</f>
        <v/>
      </c>
      <c r="R431" s="9" t="str">
        <f t="shared" ref="R431:R432" si="388">IF(AND(N431=""),"",IF(AND(Q431=""),"",N431-Q431))</f>
        <v/>
      </c>
      <c r="S431" s="20"/>
      <c r="X431" s="4" t="str">
        <f>IF(ISNA(VLOOKUP(Y430,Master!A$8:N$127,7,FALSE)),"",VLOOKUP(Y430,Master!A$8:AH$127,7,FALSE))</f>
        <v/>
      </c>
    </row>
    <row r="432" spans="1:25" ht="21" customHeight="1">
      <c r="A432" s="8">
        <v>3</v>
      </c>
      <c r="B432" s="23" t="str">
        <f>IFERROR(DATE(YEAR(B431),MONTH(B431)+1,DAY(B431)),"")</f>
        <v/>
      </c>
      <c r="C432" s="9" t="str">
        <f>IF(AND(Y430=""),"",C431)</f>
        <v/>
      </c>
      <c r="D432" s="9" t="str">
        <f>IF(AND(C432=""),"",IF(AND(Y430=""),"",ROUND(C432*Master!C$5%,0)))</f>
        <v/>
      </c>
      <c r="E432" s="9" t="str">
        <f>IF(AND(C432=""),"",IF(AND(Y430=""),"",ROUND(C432*Master!H$5%,0)))</f>
        <v/>
      </c>
      <c r="F432" s="9" t="str">
        <f t="shared" si="381"/>
        <v/>
      </c>
      <c r="G432" s="9" t="str">
        <f>IF(AND(Y430=""),"",G431)</f>
        <v/>
      </c>
      <c r="H432" s="9" t="str">
        <f>IF(AND(G432=""),"",IF(AND(Y430=""),"",ROUND(G432*Master!C$4%,0)))</f>
        <v/>
      </c>
      <c r="I432" s="9" t="str">
        <f>IF(AND(G432=""),"",IF(AND(Y430=""),"",ROUND(G432*Master!H$4%,0)))</f>
        <v/>
      </c>
      <c r="J432" s="9" t="str">
        <f t="shared" si="382"/>
        <v/>
      </c>
      <c r="K432" s="9" t="str">
        <f t="shared" si="383"/>
        <v/>
      </c>
      <c r="L432" s="9" t="str">
        <f t="shared" si="384"/>
        <v/>
      </c>
      <c r="M432" s="9" t="str">
        <f t="shared" si="385"/>
        <v/>
      </c>
      <c r="N432" s="9" t="str">
        <f t="shared" si="386"/>
        <v/>
      </c>
      <c r="O432" s="9" t="str">
        <f t="shared" si="387"/>
        <v/>
      </c>
      <c r="P432" s="9" t="str">
        <f>IF(AND(Y430=""),"",IF(AND(N432=""),"",ROUND(N432*AA$1%,0)))</f>
        <v/>
      </c>
      <c r="Q432" s="9" t="str">
        <f>IF(AND(Y430=""),"",IF(AND(C432=""),"",IF(AND(O432=""),"",SUM(O432,P432))))</f>
        <v/>
      </c>
      <c r="R432" s="9" t="str">
        <f t="shared" si="388"/>
        <v/>
      </c>
      <c r="S432" s="20"/>
    </row>
    <row r="433" spans="1:27" ht="30.75" customHeight="1">
      <c r="A433" s="108" t="s">
        <v>9</v>
      </c>
      <c r="B433" s="109"/>
      <c r="C433" s="64">
        <f>IF(AND(Y430=""),"",SUM(C430:C432))</f>
        <v>0</v>
      </c>
      <c r="D433" s="64">
        <f>IF(AND(Y430=""),"",SUM(D430:D432))</f>
        <v>0</v>
      </c>
      <c r="E433" s="64">
        <f>IF(AND(Y430=""),"",SUM(E430:E432))</f>
        <v>0</v>
      </c>
      <c r="F433" s="64">
        <f>IF(AND(Y430=""),"",SUM(F430:F432))</f>
        <v>0</v>
      </c>
      <c r="G433" s="64">
        <f>IF(AND(Y430=""),"",SUM(G430:G432))</f>
        <v>0</v>
      </c>
      <c r="H433" s="64">
        <f>IF(AND(Y430=""),"",SUM(H430:H432))</f>
        <v>0</v>
      </c>
      <c r="I433" s="64">
        <f>IF(AND(Y430=""),"",SUM(I430:I432))</f>
        <v>0</v>
      </c>
      <c r="J433" s="64">
        <f>IF(AND(Y430=""),"",SUM(J430:J432))</f>
        <v>0</v>
      </c>
      <c r="K433" s="64">
        <f>IF(AND(Y430=""),"",SUM(K430:K432))</f>
        <v>0</v>
      </c>
      <c r="L433" s="64">
        <f>IF(AND(Y430=""),"",SUM(L430:L432))</f>
        <v>0</v>
      </c>
      <c r="M433" s="64">
        <f>IF(AND(Y430=""),"",SUM(M430:M432))</f>
        <v>0</v>
      </c>
      <c r="N433" s="64">
        <f>IF(AND(Y430=""),"",SUM(N430:N432))</f>
        <v>0</v>
      </c>
      <c r="O433" s="64">
        <f>IF(AND(Y430=""),"",SUM(O430:O432))</f>
        <v>0</v>
      </c>
      <c r="P433" s="64">
        <f>IF(AND(Y430=""),"",SUM(P430:P432))</f>
        <v>0</v>
      </c>
      <c r="Q433" s="64">
        <f>IF(AND(Y430=""),"",SUM(Q430:Q432))</f>
        <v>0</v>
      </c>
      <c r="R433" s="64">
        <f>IF(AND(Y430=""),"",SUM(R430:R432))</f>
        <v>0</v>
      </c>
      <c r="S433" s="50"/>
    </row>
    <row r="434" spans="1:27" ht="30.75" customHeight="1">
      <c r="A434" s="75"/>
      <c r="B434" s="75"/>
      <c r="C434" s="76"/>
      <c r="D434" s="76"/>
      <c r="E434" s="76"/>
      <c r="F434" s="76"/>
      <c r="G434" s="76"/>
      <c r="H434" s="76"/>
      <c r="I434" s="76"/>
      <c r="J434" s="76"/>
      <c r="K434" s="76"/>
      <c r="L434" s="76"/>
      <c r="M434" s="76"/>
      <c r="N434" s="76"/>
      <c r="O434" s="76"/>
      <c r="P434" s="76"/>
      <c r="Q434" s="76"/>
      <c r="R434" s="76"/>
      <c r="S434" s="77"/>
    </row>
    <row r="435" spans="1:27" ht="18.75">
      <c r="A435" s="21"/>
      <c r="B435" s="59"/>
      <c r="C435" s="59"/>
      <c r="D435" s="59"/>
      <c r="E435" s="59"/>
      <c r="F435" s="59"/>
      <c r="G435" s="59"/>
      <c r="H435" s="60"/>
      <c r="I435" s="60"/>
      <c r="J435" s="60"/>
      <c r="K435" s="68"/>
      <c r="L435" s="68"/>
      <c r="M435" s="68"/>
      <c r="N435" s="68"/>
      <c r="O435" s="107" t="s">
        <v>55</v>
      </c>
      <c r="P435" s="107"/>
      <c r="Q435" s="107"/>
      <c r="R435" s="107"/>
      <c r="S435" s="107"/>
    </row>
    <row r="436" spans="1:27" ht="18.75">
      <c r="A436" s="1"/>
      <c r="B436" s="24" t="s">
        <v>19</v>
      </c>
      <c r="C436" s="118"/>
      <c r="D436" s="118"/>
      <c r="E436" s="118"/>
      <c r="F436" s="118"/>
      <c r="G436" s="118"/>
      <c r="H436" s="25"/>
      <c r="I436" s="121" t="s">
        <v>20</v>
      </c>
      <c r="J436" s="121"/>
      <c r="K436" s="120"/>
      <c r="L436" s="120"/>
      <c r="M436" s="120"/>
      <c r="O436" s="107"/>
      <c r="P436" s="107"/>
      <c r="Q436" s="107"/>
      <c r="R436" s="107"/>
      <c r="S436" s="107"/>
    </row>
    <row r="437" spans="1:27" ht="18.75">
      <c r="A437" s="1"/>
      <c r="B437" s="119" t="s">
        <v>21</v>
      </c>
      <c r="C437" s="119"/>
      <c r="D437" s="119"/>
      <c r="E437" s="119"/>
      <c r="F437" s="119"/>
      <c r="G437" s="119"/>
      <c r="H437" s="119"/>
      <c r="I437" s="27"/>
      <c r="J437" s="26"/>
      <c r="K437" s="26"/>
      <c r="L437" s="26"/>
      <c r="M437" s="26"/>
    </row>
    <row r="438" spans="1:27" ht="18.75">
      <c r="A438" s="22">
        <v>1</v>
      </c>
      <c r="B438" s="117" t="s">
        <v>22</v>
      </c>
      <c r="C438" s="117"/>
      <c r="D438" s="117"/>
      <c r="E438" s="117"/>
      <c r="F438" s="117"/>
      <c r="G438" s="117"/>
      <c r="H438" s="117"/>
      <c r="I438" s="28"/>
      <c r="J438" s="26"/>
      <c r="K438" s="26"/>
      <c r="L438" s="26"/>
      <c r="M438" s="26"/>
    </row>
    <row r="439" spans="1:27" ht="18.75">
      <c r="A439" s="2">
        <v>2</v>
      </c>
      <c r="B439" s="117" t="s">
        <v>23</v>
      </c>
      <c r="C439" s="117"/>
      <c r="D439" s="117"/>
      <c r="E439" s="117"/>
      <c r="F439" s="117"/>
      <c r="G439" s="115"/>
      <c r="H439" s="115"/>
      <c r="I439" s="115"/>
      <c r="J439" s="115"/>
      <c r="K439" s="115"/>
      <c r="L439" s="115"/>
      <c r="M439" s="115"/>
    </row>
    <row r="440" spans="1:27" ht="18.75">
      <c r="A440" s="3">
        <v>3</v>
      </c>
      <c r="B440" s="117" t="s">
        <v>24</v>
      </c>
      <c r="C440" s="117"/>
      <c r="D440" s="117"/>
      <c r="E440" s="29"/>
      <c r="F440" s="28"/>
      <c r="G440" s="28"/>
      <c r="H440" s="30"/>
      <c r="I440" s="31"/>
      <c r="J440" s="26"/>
      <c r="K440" s="26"/>
      <c r="L440" s="26"/>
      <c r="M440" s="26"/>
    </row>
    <row r="441" spans="1:27" ht="15.75">
      <c r="O441" s="107" t="s">
        <v>55</v>
      </c>
      <c r="P441" s="107"/>
      <c r="Q441" s="107"/>
      <c r="R441" s="107"/>
      <c r="S441" s="107"/>
    </row>
    <row r="443" spans="1:27" ht="18" customHeight="1">
      <c r="A443" s="122" t="str">
        <f>A409</f>
        <v xml:space="preserve">DA (38%) Drawn Statement  </v>
      </c>
      <c r="B443" s="122"/>
      <c r="C443" s="122"/>
      <c r="D443" s="122"/>
      <c r="E443" s="122"/>
      <c r="F443" s="122"/>
      <c r="G443" s="122"/>
      <c r="H443" s="122"/>
      <c r="I443" s="122"/>
      <c r="J443" s="122"/>
      <c r="K443" s="122"/>
      <c r="L443" s="122"/>
      <c r="M443" s="122"/>
      <c r="N443" s="122"/>
      <c r="O443" s="122"/>
      <c r="P443" s="122"/>
      <c r="Q443" s="122"/>
      <c r="R443" s="122"/>
      <c r="S443" s="122"/>
      <c r="W443" s="4">
        <f>IF(ISNA(VLOOKUP($Y$3,Master!A$8:N$127,4,FALSE)),"",VLOOKUP($Y$3,Master!A$8:AH$127,4,FALSE))</f>
        <v>3</v>
      </c>
      <c r="X443" s="4" t="str">
        <f>IF(ISNA(VLOOKUP($Y$3,Master!A$8:N$127,6,FALSE)),"",VLOOKUP($Y$3,Master!A$8:AH$127,6,FALSE))</f>
        <v>GPF</v>
      </c>
      <c r="Y443" s="4" t="s">
        <v>58</v>
      </c>
      <c r="Z443" s="4" t="s">
        <v>18</v>
      </c>
      <c r="AA443" s="4" t="str">
        <f>IF(ISNA(VLOOKUP(Y445,Master!A$8:N$127,7,FALSE)),"",VLOOKUP(Y445,Master!A$8:AH$127,7,FALSE))</f>
        <v/>
      </c>
    </row>
    <row r="444" spans="1:27" ht="18">
      <c r="A444" s="114" t="str">
        <f>IF(AND(Master!C445=""),"",CONCATENATE("Office Of  ",Master!C445))</f>
        <v/>
      </c>
      <c r="B444" s="114"/>
      <c r="C444" s="114"/>
      <c r="D444" s="114"/>
      <c r="E444" s="114"/>
      <c r="F444" s="114"/>
      <c r="G444" s="114"/>
      <c r="H444" s="114"/>
      <c r="I444" s="114"/>
      <c r="J444" s="114"/>
      <c r="K444" s="114"/>
      <c r="L444" s="114"/>
      <c r="M444" s="114"/>
      <c r="N444" s="114"/>
      <c r="O444" s="114"/>
      <c r="P444" s="114"/>
      <c r="Q444" s="114"/>
      <c r="R444" s="114"/>
      <c r="S444" s="114"/>
      <c r="X444" s="4">
        <f>IF(ISNA(VLOOKUP($Y$3,Master!A$8:N$127,8,FALSE)),"",VLOOKUP($Y$3,Master!A$8:AH$127,8,FALSE))</f>
        <v>44743</v>
      </c>
      <c r="Y444" s="4" t="s">
        <v>56</v>
      </c>
    </row>
    <row r="445" spans="1:27" ht="18.75">
      <c r="E445" s="116" t="s">
        <v>10</v>
      </c>
      <c r="F445" s="116"/>
      <c r="G445" s="116"/>
      <c r="H445" s="116"/>
      <c r="I445" s="116"/>
      <c r="J445" s="115" t="str">
        <f>IF(ISNA(VLOOKUP(Y445,Master!A$8:N$127,2,FALSE)),"",VLOOKUP(Y445,Master!A$8:AH$127,2,FALSE))</f>
        <v/>
      </c>
      <c r="K445" s="115"/>
      <c r="L445" s="115"/>
      <c r="M445" s="115"/>
      <c r="N445" s="115"/>
      <c r="O445" s="61" t="s">
        <v>31</v>
      </c>
      <c r="P445" s="115" t="str">
        <f>IF(ISNA(VLOOKUP(Y445,Master!A$8:N$127,3,FALSE)),"",VLOOKUP(Y445,Master!A$8:AH$127,3,FALSE))</f>
        <v/>
      </c>
      <c r="Q445" s="115"/>
      <c r="R445" s="115"/>
      <c r="S445" s="115"/>
      <c r="X445" s="62" t="s">
        <v>62</v>
      </c>
      <c r="Y445" s="65">
        <v>40</v>
      </c>
    </row>
    <row r="446" spans="1:27" ht="8.25" customHeight="1">
      <c r="E446" s="19"/>
      <c r="F446" s="53"/>
      <c r="G446" s="22"/>
      <c r="H446" s="22"/>
      <c r="I446" s="22"/>
      <c r="J446" s="5"/>
      <c r="K446" s="5"/>
      <c r="L446" s="5"/>
      <c r="M446" s="5"/>
      <c r="N446" s="5"/>
      <c r="O446" s="6"/>
      <c r="P446" s="6"/>
    </row>
    <row r="447" spans="1:27" ht="24.75" customHeight="1">
      <c r="A447" s="110" t="s">
        <v>0</v>
      </c>
      <c r="B447" s="111" t="s">
        <v>3</v>
      </c>
      <c r="C447" s="112" t="s">
        <v>5</v>
      </c>
      <c r="D447" s="112"/>
      <c r="E447" s="112"/>
      <c r="F447" s="112"/>
      <c r="G447" s="112" t="s">
        <v>6</v>
      </c>
      <c r="H447" s="112"/>
      <c r="I447" s="112"/>
      <c r="J447" s="112"/>
      <c r="K447" s="112" t="s">
        <v>7</v>
      </c>
      <c r="L447" s="112"/>
      <c r="M447" s="112"/>
      <c r="N447" s="112"/>
      <c r="O447" s="97" t="s">
        <v>8</v>
      </c>
      <c r="P447" s="98"/>
      <c r="Q447" s="99"/>
      <c r="R447" s="105" t="s">
        <v>67</v>
      </c>
      <c r="S447" s="105" t="s">
        <v>50</v>
      </c>
    </row>
    <row r="448" spans="1:27" ht="69" customHeight="1">
      <c r="A448" s="110"/>
      <c r="B448" s="111"/>
      <c r="C448" s="55" t="s">
        <v>29</v>
      </c>
      <c r="D448" s="56" t="s">
        <v>1</v>
      </c>
      <c r="E448" s="57" t="s">
        <v>2</v>
      </c>
      <c r="F448" s="55" t="s">
        <v>59</v>
      </c>
      <c r="G448" s="55" t="s">
        <v>29</v>
      </c>
      <c r="H448" s="56" t="s">
        <v>1</v>
      </c>
      <c r="I448" s="57" t="s">
        <v>2</v>
      </c>
      <c r="J448" s="55" t="s">
        <v>60</v>
      </c>
      <c r="K448" s="55" t="s">
        <v>4</v>
      </c>
      <c r="L448" s="56" t="s">
        <v>1</v>
      </c>
      <c r="M448" s="57" t="s">
        <v>2</v>
      </c>
      <c r="N448" s="58" t="s">
        <v>61</v>
      </c>
      <c r="O448" s="54" t="s">
        <v>83</v>
      </c>
      <c r="P448" s="67" t="s">
        <v>51</v>
      </c>
      <c r="Q448" s="58" t="s">
        <v>66</v>
      </c>
      <c r="R448" s="105"/>
      <c r="S448" s="105"/>
    </row>
    <row r="449" spans="1:25" ht="18" customHeight="1">
      <c r="A449" s="7">
        <v>1</v>
      </c>
      <c r="B449" s="7">
        <v>2</v>
      </c>
      <c r="C449" s="7">
        <v>3</v>
      </c>
      <c r="D449" s="7">
        <v>4</v>
      </c>
      <c r="E449" s="7">
        <v>5</v>
      </c>
      <c r="F449" s="7">
        <v>6</v>
      </c>
      <c r="G449" s="7">
        <v>7</v>
      </c>
      <c r="H449" s="7">
        <v>8</v>
      </c>
      <c r="I449" s="7">
        <v>9</v>
      </c>
      <c r="J449" s="7">
        <v>10</v>
      </c>
      <c r="K449" s="7">
        <v>11</v>
      </c>
      <c r="L449" s="7">
        <v>12</v>
      </c>
      <c r="M449" s="7">
        <v>13</v>
      </c>
      <c r="N449" s="7">
        <v>14</v>
      </c>
      <c r="O449" s="7">
        <v>15</v>
      </c>
      <c r="P449" s="7">
        <v>17</v>
      </c>
      <c r="Q449" s="7">
        <v>18</v>
      </c>
      <c r="R449" s="7">
        <v>19</v>
      </c>
      <c r="S449" s="7">
        <v>20</v>
      </c>
    </row>
    <row r="450" spans="1:25" ht="21" customHeight="1">
      <c r="A450" s="8">
        <v>1</v>
      </c>
      <c r="B450" s="23" t="str">
        <f>IFERROR(IF(ISNA(VLOOKUP(Y445,Master!A$8:N$127,8,FALSE)),"",VLOOKUP($Y445,Master!A$8:AH$127,8,FALSE)),"")</f>
        <v/>
      </c>
      <c r="C450" s="9" t="str">
        <f>IF(ISNA(VLOOKUP(Y445,Master!A$8:N$127,5,FALSE)),"",VLOOKUP(Y445,Master!A$8:AH$127,5,FALSE))</f>
        <v/>
      </c>
      <c r="D450" s="9" t="str">
        <f>IF(AND(C450=""),"",IF(AND(Y445=""),"",ROUND(C450*Master!C$5%,0)))</f>
        <v/>
      </c>
      <c r="E450" s="9" t="str">
        <f>IF(AND(C450=""),"",IF(AND(Y445=""),"",ROUND(C450*Master!H$5%,0)))</f>
        <v/>
      </c>
      <c r="F450" s="9" t="str">
        <f t="shared" ref="F450" si="389">IF(AND(C450=""),"",SUM(C450:E450))</f>
        <v/>
      </c>
      <c r="G450" s="9" t="str">
        <f>IF(ISNA(VLOOKUP(Y445,Master!A$8:N$127,5,FALSE)),"",VLOOKUP(Y445,Master!A$8:AH$127,5,FALSE))</f>
        <v/>
      </c>
      <c r="H450" s="9" t="str">
        <f>IF(AND(G450=""),"",IF(AND(Y445=""),"",ROUND(G450*Master!C$4%,0)))</f>
        <v/>
      </c>
      <c r="I450" s="9" t="str">
        <f>IF(AND(G450=""),"",IF(AND(Y445=""),"",ROUND(G450*Master!H$4%,0)))</f>
        <v/>
      </c>
      <c r="J450" s="9" t="str">
        <f t="shared" ref="J450:J451" si="390">IF(AND(C450=""),"",SUM(G450:I450))</f>
        <v/>
      </c>
      <c r="K450" s="9" t="str">
        <f t="shared" ref="K450:K452" si="391">IF(AND(C450=""),"",IF(AND(G450=""),"",C450-G450))</f>
        <v/>
      </c>
      <c r="L450" s="9" t="str">
        <f t="shared" ref="L450:L452" si="392">IF(AND(D450=""),"",IF(AND(H450=""),"",D450-H450))</f>
        <v/>
      </c>
      <c r="M450" s="9" t="str">
        <f t="shared" ref="M450:M451" si="393">IF(AND(E450=""),"",IF(AND(I450=""),"",E450-I450))</f>
        <v/>
      </c>
      <c r="N450" s="9" t="str">
        <f t="shared" ref="N450:N451" si="394">IF(AND(F450=""),"",IF(AND(J450=""),"",F450-J450))</f>
        <v/>
      </c>
      <c r="O450" s="9" t="str">
        <f>IF(AND(C450=""),"",N450-P450)</f>
        <v/>
      </c>
      <c r="P450" s="9" t="str">
        <f>IF(AND(Y445=""),"",IF(AND(N450=""),"",ROUND(N450*AA$1%,0)))</f>
        <v/>
      </c>
      <c r="Q450" s="9" t="str">
        <f>IF(AND(Y445=""),"",IF(AND(C450=""),"",IF(AND(O450=""),"",SUM(O450,P450))))</f>
        <v/>
      </c>
      <c r="R450" s="9" t="str">
        <f>IF(AND(N450=""),"",IF(AND(Q450=""),"",N450-Q450))</f>
        <v/>
      </c>
      <c r="S450" s="20"/>
    </row>
    <row r="451" spans="1:25" ht="21" customHeight="1">
      <c r="A451" s="8">
        <v>2</v>
      </c>
      <c r="B451" s="23" t="str">
        <f>IFERROR(DATE(YEAR(B450),MONTH(B450)+1,DAY(B450)),"")</f>
        <v/>
      </c>
      <c r="C451" s="9" t="str">
        <f>IF(AND(Y445=""),"",C450)</f>
        <v/>
      </c>
      <c r="D451" s="9" t="str">
        <f>IF(AND(C451=""),"",IF(AND(Y445=""),"",ROUND(C451*Master!C$5%,0)))</f>
        <v/>
      </c>
      <c r="E451" s="9" t="str">
        <f>IF(AND(C451=""),"",IF(AND(Y445=""),"",ROUND(C451*Master!H$5%,0)))</f>
        <v/>
      </c>
      <c r="F451" s="9" t="str">
        <f>IF(AND(C451=""),"",SUM(C451:E451))</f>
        <v/>
      </c>
      <c r="G451" s="9" t="str">
        <f>IF(AND(Y445=""),"",G450)</f>
        <v/>
      </c>
      <c r="H451" s="9" t="str">
        <f>IF(AND(G451=""),"",IF(AND(Y445=""),"",ROUND(G451*Master!C$4%,0)))</f>
        <v/>
      </c>
      <c r="I451" s="9" t="str">
        <f>IF(AND(G451=""),"",IF(AND(Y445=""),"",ROUND(G451*Master!H$4%,0)))</f>
        <v/>
      </c>
      <c r="J451" s="9" t="str">
        <f t="shared" si="390"/>
        <v/>
      </c>
      <c r="K451" s="9" t="str">
        <f t="shared" si="391"/>
        <v/>
      </c>
      <c r="L451" s="9" t="str">
        <f t="shared" si="392"/>
        <v/>
      </c>
      <c r="M451" s="9" t="str">
        <f t="shared" si="393"/>
        <v/>
      </c>
      <c r="N451" s="9" t="str">
        <f t="shared" si="394"/>
        <v/>
      </c>
      <c r="O451" s="9" t="str">
        <f t="shared" ref="O451:O452" si="395">IF(AND(C451=""),"",N451-P451)</f>
        <v/>
      </c>
      <c r="P451" s="9" t="str">
        <f>IF(AND(Y445=""),"",IF(AND(N451=""),"",ROUND(N451*AA$1%,0)))</f>
        <v/>
      </c>
      <c r="Q451" s="9" t="str">
        <f>IF(AND(Y445=""),"",IF(AND(C451=""),"",IF(AND(O451=""),"",SUM(O451,P451))))</f>
        <v/>
      </c>
      <c r="R451" s="9" t="str">
        <f t="shared" ref="R451:R452" si="396">IF(AND(N451=""),"",IF(AND(Q451=""),"",N451-Q451))</f>
        <v/>
      </c>
      <c r="S451" s="20"/>
    </row>
    <row r="452" spans="1:25" ht="21" customHeight="1">
      <c r="A452" s="8">
        <v>3</v>
      </c>
      <c r="B452" s="23" t="str">
        <f>IFERROR(DATE(YEAR(B451),MONTH(B451)+1,DAY(B451)),"")</f>
        <v/>
      </c>
      <c r="C452" s="9" t="str">
        <f>IF(AND(Y445=""),"",C451)</f>
        <v/>
      </c>
      <c r="D452" s="9" t="str">
        <f>IF(AND(C452=""),"",IF(AND(Y445=""),"",ROUND(C452*Master!C$5%,0)))</f>
        <v/>
      </c>
      <c r="E452" s="9" t="str">
        <f>IF(AND(C452=""),"",IF(AND(Y445=""),"",ROUND(C452*Master!H$5%,0)))</f>
        <v/>
      </c>
      <c r="F452" s="9" t="str">
        <f t="shared" ref="F452" si="397">IF(AND(C452=""),"",SUM(C452:E452))</f>
        <v/>
      </c>
      <c r="G452" s="9" t="str">
        <f>IF(AND(Y445=""),"",G451)</f>
        <v/>
      </c>
      <c r="H452" s="9" t="str">
        <f>IF(AND(G452=""),"",IF(AND(Y445=""),"",ROUND(G452*Master!C$4%,0)))</f>
        <v/>
      </c>
      <c r="I452" s="9" t="str">
        <f>IF(AND(G452=""),"",IF(AND(Y445=""),"",ROUND(G452*Master!H$4%,0)))</f>
        <v/>
      </c>
      <c r="J452" s="9" t="str">
        <f>IF(AND(C452=""),"",SUM(G452:I452))</f>
        <v/>
      </c>
      <c r="K452" s="9" t="str">
        <f t="shared" si="391"/>
        <v/>
      </c>
      <c r="L452" s="9" t="str">
        <f t="shared" si="392"/>
        <v/>
      </c>
      <c r="M452" s="9" t="str">
        <f>IF(AND(E452=""),"",IF(AND(I452=""),"",E452-I452))</f>
        <v/>
      </c>
      <c r="N452" s="9" t="str">
        <f>IF(AND(F452=""),"",IF(AND(J452=""),"",F452-J452))</f>
        <v/>
      </c>
      <c r="O452" s="9" t="str">
        <f t="shared" si="395"/>
        <v/>
      </c>
      <c r="P452" s="9" t="str">
        <f>IF(AND(Y445=""),"",IF(AND(N452=""),"",ROUND(N452*AA$1%,0)))</f>
        <v/>
      </c>
      <c r="Q452" s="9" t="str">
        <f>IF(AND(Y445=""),"",IF(AND(C452=""),"",IF(AND(O452=""),"",SUM(O452,P452))))</f>
        <v/>
      </c>
      <c r="R452" s="9" t="str">
        <f t="shared" si="396"/>
        <v/>
      </c>
      <c r="S452" s="20"/>
    </row>
    <row r="453" spans="1:25" ht="23.25" customHeight="1">
      <c r="A453" s="108" t="s">
        <v>9</v>
      </c>
      <c r="B453" s="109"/>
      <c r="C453" s="64">
        <f>IF(AND(Y445=""),"",SUM(C450:C452))</f>
        <v>0</v>
      </c>
      <c r="D453" s="64">
        <f>IF(AND(Y445=""),"",SUM(D450:D452))</f>
        <v>0</v>
      </c>
      <c r="E453" s="64">
        <f>IF(AND(Y445=""),"",SUM(E450:E452))</f>
        <v>0</v>
      </c>
      <c r="F453" s="64">
        <f>IF(AND(Y445=""),"",SUM(F450:F452))</f>
        <v>0</v>
      </c>
      <c r="G453" s="64">
        <f>IF(AND(Y445=""),"",SUM(G450:G452))</f>
        <v>0</v>
      </c>
      <c r="H453" s="64">
        <f>IF(AND(Y445=""),"",SUM(H450:H452))</f>
        <v>0</v>
      </c>
      <c r="I453" s="64">
        <f>IF(AND(Y445=""),"",SUM(I450:I452))</f>
        <v>0</v>
      </c>
      <c r="J453" s="64">
        <f>IF(AND(Y445=""),"",SUM(J450:J452))</f>
        <v>0</v>
      </c>
      <c r="K453" s="64">
        <f>IF(AND(Y445=""),"",SUM(K450:K452))</f>
        <v>0</v>
      </c>
      <c r="L453" s="64">
        <f>IF(AND(Y445=""),"",SUM(L450:L452))</f>
        <v>0</v>
      </c>
      <c r="M453" s="64">
        <f>IF(AND(Y445=""),"",SUM(M450:M452))</f>
        <v>0</v>
      </c>
      <c r="N453" s="64">
        <f>IF(AND(Y445=""),"",SUM(N450:N452))</f>
        <v>0</v>
      </c>
      <c r="O453" s="64">
        <f>IF(AND(Y445=""),"",SUM(O450:O452))</f>
        <v>0</v>
      </c>
      <c r="P453" s="64">
        <f>IF(AND(Y445=""),"",SUM(P450:P452))</f>
        <v>0</v>
      </c>
      <c r="Q453" s="64">
        <f>IF(AND(Y445=""),"",SUM(Q450:Q452))</f>
        <v>0</v>
      </c>
      <c r="R453" s="64">
        <f>IF(AND(Y445=""),"",SUM(R450:R452))</f>
        <v>0</v>
      </c>
      <c r="S453" s="50"/>
    </row>
    <row r="454" spans="1:25" ht="10.5" customHeight="1">
      <c r="A454" s="75"/>
      <c r="B454" s="75"/>
      <c r="C454" s="76"/>
      <c r="D454" s="76"/>
      <c r="E454" s="76"/>
      <c r="F454" s="76"/>
      <c r="G454" s="76"/>
      <c r="H454" s="76"/>
      <c r="I454" s="76"/>
      <c r="J454" s="76"/>
      <c r="K454" s="76"/>
      <c r="L454" s="76"/>
      <c r="M454" s="76"/>
      <c r="N454" s="76"/>
      <c r="O454" s="76"/>
      <c r="P454" s="76"/>
      <c r="Q454" s="76"/>
      <c r="R454" s="76"/>
      <c r="S454" s="77"/>
    </row>
    <row r="455" spans="1:25" ht="23.25" customHeight="1">
      <c r="E455" s="116" t="s">
        <v>10</v>
      </c>
      <c r="F455" s="116"/>
      <c r="G455" s="116"/>
      <c r="H455" s="116"/>
      <c r="I455" s="116"/>
      <c r="J455" s="115" t="str">
        <f>IF(ISNA(VLOOKUP(Y457,Master!A$8:N$127,2,FALSE)),"",VLOOKUP(Y457,Master!A$8:AH$127,2,FALSE))</f>
        <v/>
      </c>
      <c r="K455" s="115"/>
      <c r="L455" s="115"/>
      <c r="M455" s="115"/>
      <c r="N455" s="115"/>
      <c r="O455" s="61" t="s">
        <v>31</v>
      </c>
      <c r="P455" s="115" t="str">
        <f>IF(ISNA(VLOOKUP(Y457,Master!A$8:N$127,3,FALSE)),"",VLOOKUP(Y457,Master!A$8:AH$127,3,FALSE))</f>
        <v/>
      </c>
      <c r="Q455" s="115"/>
      <c r="R455" s="115"/>
      <c r="S455" s="115"/>
    </row>
    <row r="456" spans="1:25" ht="9" customHeight="1">
      <c r="E456" s="19"/>
      <c r="F456" s="53"/>
      <c r="G456" s="22"/>
      <c r="H456" s="22"/>
      <c r="I456" s="22"/>
      <c r="J456" s="5"/>
      <c r="K456" s="5"/>
      <c r="L456" s="5"/>
      <c r="M456" s="5"/>
      <c r="N456" s="5"/>
      <c r="O456" s="6"/>
      <c r="P456" s="6"/>
    </row>
    <row r="457" spans="1:25" ht="21" customHeight="1">
      <c r="A457" s="8">
        <v>1</v>
      </c>
      <c r="B457" s="23" t="str">
        <f>IFERROR(IF(ISNA(VLOOKUP(Y457,Master!A$8:N$127,8,FALSE)),"",VLOOKUP($Y457,Master!A$8:AH$127,8,FALSE)),"")</f>
        <v/>
      </c>
      <c r="C457" s="9" t="str">
        <f>IF(ISNA(VLOOKUP(Y457,Master!A$8:N$127,5,FALSE)),"",VLOOKUP(Y457,Master!A$8:AH$127,5,FALSE))</f>
        <v/>
      </c>
      <c r="D457" s="9" t="str">
        <f>IF(AND(C457=""),"",IF(AND(Y457=""),"",ROUND(C457*Master!C$5%,0)))</f>
        <v/>
      </c>
      <c r="E457" s="9" t="str">
        <f>IF(AND(C457=""),"",IF(AND(Y457=""),"",ROUND(C457*Master!H$5%,0)))</f>
        <v/>
      </c>
      <c r="F457" s="9" t="str">
        <f t="shared" ref="F457:F459" si="398">IF(AND(C457=""),"",SUM(C457:E457))</f>
        <v/>
      </c>
      <c r="G457" s="9" t="str">
        <f>IF(ISNA(VLOOKUP(Y457,Master!A$8:N$127,5,FALSE)),"",VLOOKUP(Y457,Master!A$8:AH$127,5,FALSE))</f>
        <v/>
      </c>
      <c r="H457" s="9" t="str">
        <f>IF(AND(G457=""),"",IF(AND(Y457=""),"",ROUND(G457*Master!C$4%,0)))</f>
        <v/>
      </c>
      <c r="I457" s="9" t="str">
        <f>IF(AND(G457=""),"",IF(AND(Y457=""),"",ROUND(G457*Master!H$4%,0)))</f>
        <v/>
      </c>
      <c r="J457" s="9" t="str">
        <f t="shared" ref="J457:J459" si="399">IF(AND(C457=""),"",SUM(G457:I457))</f>
        <v/>
      </c>
      <c r="K457" s="9" t="str">
        <f t="shared" ref="K457" si="400">IF(AND(C457=""),"",IF(AND(G457=""),"",C457-G457))</f>
        <v/>
      </c>
      <c r="L457" s="9" t="str">
        <f>IF(AND(D457=""),"",IF(AND(H457=""),"",D457-H457))</f>
        <v/>
      </c>
      <c r="M457" s="9" t="str">
        <f t="shared" ref="M457:M459" si="401">IF(AND(E457=""),"",IF(AND(I457=""),"",E457-I457))</f>
        <v/>
      </c>
      <c r="N457" s="9" t="str">
        <f t="shared" ref="N457:N459" si="402">IF(AND(F457=""),"",IF(AND(J457=""),"",F457-J457))</f>
        <v/>
      </c>
      <c r="O457" s="9" t="str">
        <f>IF(AND(C457=""),"",N457-P457)</f>
        <v/>
      </c>
      <c r="P457" s="9" t="str">
        <f>IF(AND(Y457=""),"",IF(AND(N457=""),"",ROUND(N457*X$16%,0)))</f>
        <v/>
      </c>
      <c r="Q457" s="9" t="str">
        <f>IF(AND(Y457=""),"",IF(AND(C457=""),"",IF(AND(O457=""),"",SUM(O457,P457))))</f>
        <v/>
      </c>
      <c r="R457" s="9" t="str">
        <f>IF(AND(N457=""),"",IF(AND(Q457=""),"",N457-Q457))</f>
        <v/>
      </c>
      <c r="S457" s="20"/>
      <c r="X457" s="62" t="s">
        <v>62</v>
      </c>
      <c r="Y457" s="65">
        <v>41</v>
      </c>
    </row>
    <row r="458" spans="1:25" ht="21" customHeight="1">
      <c r="A458" s="8">
        <v>2</v>
      </c>
      <c r="B458" s="23" t="str">
        <f>IFERROR(DATE(YEAR(B457),MONTH(B457)+1,DAY(B457)),"")</f>
        <v/>
      </c>
      <c r="C458" s="9" t="str">
        <f>IF(AND(Y457=""),"",C457)</f>
        <v/>
      </c>
      <c r="D458" s="9" t="str">
        <f>IF(AND(C458=""),"",IF(AND(Y457=""),"",ROUND(C458*Master!C$5%,0)))</f>
        <v/>
      </c>
      <c r="E458" s="9" t="str">
        <f>IF(AND(C458=""),"",IF(AND(Y457=""),"",ROUND(C458*Master!H$5%,0)))</f>
        <v/>
      </c>
      <c r="F458" s="9" t="str">
        <f t="shared" si="398"/>
        <v/>
      </c>
      <c r="G458" s="9" t="str">
        <f>IF(AND(Y457=""),"",G457)</f>
        <v/>
      </c>
      <c r="H458" s="9" t="str">
        <f>IF(AND(G458=""),"",IF(AND(Y457=""),"",ROUND(G458*Master!C$4%,0)))</f>
        <v/>
      </c>
      <c r="I458" s="9" t="str">
        <f>IF(AND(G458=""),"",IF(AND(Y457=""),"",ROUND(G458*Master!H$4%,0)))</f>
        <v/>
      </c>
      <c r="J458" s="9" t="str">
        <f t="shared" si="399"/>
        <v/>
      </c>
      <c r="K458" s="9" t="str">
        <f>IF(AND(C458=""),"",IF(AND(G458=""),"",C458-G458))</f>
        <v/>
      </c>
      <c r="L458" s="9" t="str">
        <f t="shared" ref="L458:L459" si="403">IF(AND(D458=""),"",IF(AND(H458=""),"",D458-H458))</f>
        <v/>
      </c>
      <c r="M458" s="9" t="str">
        <f t="shared" si="401"/>
        <v/>
      </c>
      <c r="N458" s="9" t="str">
        <f t="shared" si="402"/>
        <v/>
      </c>
      <c r="O458" s="9" t="str">
        <f t="shared" ref="O458:O459" si="404">IF(AND(C458=""),"",N458-P458)</f>
        <v/>
      </c>
      <c r="P458" s="9" t="str">
        <f>IF(AND(Y457=""),"",IF(AND(N458=""),"",ROUND(N458*X$16%,0)))</f>
        <v/>
      </c>
      <c r="Q458" s="9" t="str">
        <f>IF(AND(Y457=""),"",IF(AND(C458=""),"",IF(AND(O458=""),"",SUM(O458,P458))))</f>
        <v/>
      </c>
      <c r="R458" s="9" t="str">
        <f t="shared" ref="R458:R459" si="405">IF(AND(N458=""),"",IF(AND(Q458=""),"",N458-Q458))</f>
        <v/>
      </c>
      <c r="S458" s="20"/>
      <c r="X458" s="4" t="str">
        <f>IF(ISNA(VLOOKUP(Y457,Master!A$8:N$127,7,FALSE)),"",VLOOKUP(Y457,Master!A$8:AH$127,7,FALSE))</f>
        <v/>
      </c>
    </row>
    <row r="459" spans="1:25" ht="21" customHeight="1">
      <c r="A459" s="8">
        <v>3</v>
      </c>
      <c r="B459" s="23" t="str">
        <f>IFERROR(DATE(YEAR(B458),MONTH(B458)+1,DAY(B458)),"")</f>
        <v/>
      </c>
      <c r="C459" s="9" t="str">
        <f>IF(AND(Y457=""),"",C458)</f>
        <v/>
      </c>
      <c r="D459" s="9" t="str">
        <f>IF(AND(C459=""),"",IF(AND(Y457=""),"",ROUND(C459*Master!C$5%,0)))</f>
        <v/>
      </c>
      <c r="E459" s="9" t="str">
        <f>IF(AND(C459=""),"",IF(AND(Y457=""),"",ROUND(C459*Master!H$5%,0)))</f>
        <v/>
      </c>
      <c r="F459" s="9" t="str">
        <f t="shared" si="398"/>
        <v/>
      </c>
      <c r="G459" s="9" t="str">
        <f>IF(AND(Y457=""),"",G458)</f>
        <v/>
      </c>
      <c r="H459" s="9" t="str">
        <f>IF(AND(G459=""),"",IF(AND(Y457=""),"",ROUND(G459*Master!C$4%,0)))</f>
        <v/>
      </c>
      <c r="I459" s="9" t="str">
        <f>IF(AND(G459=""),"",IF(AND(Y457=""),"",ROUND(G459*Master!H$4%,0)))</f>
        <v/>
      </c>
      <c r="J459" s="9" t="str">
        <f t="shared" si="399"/>
        <v/>
      </c>
      <c r="K459" s="9" t="str">
        <f t="shared" ref="K459" si="406">IF(AND(C459=""),"",IF(AND(G459=""),"",C459-G459))</f>
        <v/>
      </c>
      <c r="L459" s="9" t="str">
        <f t="shared" si="403"/>
        <v/>
      </c>
      <c r="M459" s="9" t="str">
        <f t="shared" si="401"/>
        <v/>
      </c>
      <c r="N459" s="9" t="str">
        <f t="shared" si="402"/>
        <v/>
      </c>
      <c r="O459" s="9" t="str">
        <f t="shared" si="404"/>
        <v/>
      </c>
      <c r="P459" s="9" t="str">
        <f>IF(AND(Y457=""),"",IF(AND(N459=""),"",ROUND(N459*X$16%,0)))</f>
        <v/>
      </c>
      <c r="Q459" s="9" t="str">
        <f>IF(AND(Y457=""),"",IF(AND(C459=""),"",IF(AND(O459=""),"",SUM(O459,P459))))</f>
        <v/>
      </c>
      <c r="R459" s="9" t="str">
        <f t="shared" si="405"/>
        <v/>
      </c>
      <c r="S459" s="20"/>
    </row>
    <row r="460" spans="1:25" ht="30.75" customHeight="1">
      <c r="A460" s="108" t="s">
        <v>9</v>
      </c>
      <c r="B460" s="109"/>
      <c r="C460" s="64">
        <f>IF(AND(Y457=""),"",SUM(C457:C459))</f>
        <v>0</v>
      </c>
      <c r="D460" s="64">
        <f>IF(AND(Y457=""),"",SUM(D457:D459))</f>
        <v>0</v>
      </c>
      <c r="E460" s="64">
        <f>IF(AND(Y457=""),"",SUM(E457:E459))</f>
        <v>0</v>
      </c>
      <c r="F460" s="64">
        <f>IF(AND(Y457=""),"",SUM(F457:F459))</f>
        <v>0</v>
      </c>
      <c r="G460" s="64">
        <f>IF(AND(Y457=""),"",SUM(G457:G459))</f>
        <v>0</v>
      </c>
      <c r="H460" s="64">
        <f>IF(AND(Y457=""),"",SUM(H457:H459))</f>
        <v>0</v>
      </c>
      <c r="I460" s="64">
        <f>IF(AND(Y457=""),"",SUM(I457:I459))</f>
        <v>0</v>
      </c>
      <c r="J460" s="64">
        <f>IF(AND(Y457=""),"",SUM(J457:J459))</f>
        <v>0</v>
      </c>
      <c r="K460" s="64">
        <f>IF(AND(Y457=""),"",SUM(K457:K459))</f>
        <v>0</v>
      </c>
      <c r="L460" s="64">
        <f>IF(AND(Y457=""),"",SUM(L457:L459))</f>
        <v>0</v>
      </c>
      <c r="M460" s="64">
        <f>IF(AND(Y457=""),"",SUM(M457:M459))</f>
        <v>0</v>
      </c>
      <c r="N460" s="64">
        <f>IF(AND(Y457=""),"",SUM(N457:N459))</f>
        <v>0</v>
      </c>
      <c r="O460" s="64">
        <f>IF(AND(Y457=""),"",SUM(O457:O459))</f>
        <v>0</v>
      </c>
      <c r="P460" s="64">
        <f>IF(AND(Y457=""),"",SUM(P457:P459))</f>
        <v>0</v>
      </c>
      <c r="Q460" s="64">
        <f>IF(AND(Y457=""),"",SUM(Q457:Q459))</f>
        <v>0</v>
      </c>
      <c r="R460" s="64">
        <f>IF(AND(Y457=""),"",SUM(R457:R459))</f>
        <v>0</v>
      </c>
      <c r="S460" s="50"/>
    </row>
    <row r="461" spans="1:25" ht="11.25" customHeight="1">
      <c r="A461" s="75"/>
      <c r="B461" s="75"/>
      <c r="C461" s="76"/>
      <c r="D461" s="76"/>
      <c r="E461" s="76"/>
      <c r="F461" s="76"/>
      <c r="G461" s="76"/>
      <c r="H461" s="76"/>
      <c r="I461" s="76"/>
      <c r="J461" s="76"/>
      <c r="K461" s="76"/>
      <c r="L461" s="76"/>
      <c r="M461" s="76"/>
      <c r="N461" s="76"/>
      <c r="O461" s="76"/>
      <c r="P461" s="76"/>
      <c r="Q461" s="76"/>
      <c r="R461" s="76"/>
      <c r="S461" s="77"/>
    </row>
    <row r="462" spans="1:25" ht="23.25" customHeight="1">
      <c r="E462" s="116" t="s">
        <v>10</v>
      </c>
      <c r="F462" s="116"/>
      <c r="G462" s="116"/>
      <c r="H462" s="116"/>
      <c r="I462" s="116"/>
      <c r="J462" s="115" t="str">
        <f>IF(ISNA(VLOOKUP(Y464,Master!A$8:N$127,2,FALSE)),"",VLOOKUP(Y464,Master!A$8:AH$127,2,FALSE))</f>
        <v/>
      </c>
      <c r="K462" s="115"/>
      <c r="L462" s="115"/>
      <c r="M462" s="115"/>
      <c r="N462" s="115"/>
      <c r="O462" s="61" t="s">
        <v>31</v>
      </c>
      <c r="P462" s="115" t="str">
        <f>IF(ISNA(VLOOKUP($Y$396,Master!A$8:N$127,3,FALSE)),"",VLOOKUP($Y$396,Master!A$8:AH$127,3,FALSE))</f>
        <v/>
      </c>
      <c r="Q462" s="115"/>
      <c r="R462" s="115"/>
      <c r="S462" s="115"/>
    </row>
    <row r="463" spans="1:25" ht="9" customHeight="1">
      <c r="E463" s="19"/>
      <c r="F463" s="53"/>
      <c r="G463" s="22"/>
      <c r="H463" s="22"/>
      <c r="I463" s="22"/>
      <c r="J463" s="5"/>
      <c r="K463" s="5"/>
      <c r="L463" s="5"/>
      <c r="M463" s="5"/>
      <c r="N463" s="5"/>
      <c r="O463" s="6"/>
      <c r="P463" s="6"/>
    </row>
    <row r="464" spans="1:25" ht="21" customHeight="1">
      <c r="A464" s="8">
        <v>1</v>
      </c>
      <c r="B464" s="23" t="str">
        <f>IFERROR(IF(ISNA(VLOOKUP(Y464,Master!A$8:N$127,8,FALSE)),"",VLOOKUP($Y464,Master!A$8:AH$127,8,FALSE)),"")</f>
        <v/>
      </c>
      <c r="C464" s="9" t="str">
        <f>IF(ISNA(VLOOKUP(Y464,Master!A$8:N$127,5,FALSE)),"",VLOOKUP(Y464,Master!A$8:AH$127,5,FALSE))</f>
        <v/>
      </c>
      <c r="D464" s="9" t="str">
        <f>IF(AND(C464=""),"",IF(AND(Y464=""),"",ROUND(C464*Master!C$5%,0)))</f>
        <v/>
      </c>
      <c r="E464" s="9" t="str">
        <f>IF(AND(C464=""),"",IF(AND(Y464=""),"",ROUND(C464*Master!H$5%,0)))</f>
        <v/>
      </c>
      <c r="F464" s="9" t="str">
        <f t="shared" ref="F464:F466" si="407">IF(AND(C464=""),"",SUM(C464:E464))</f>
        <v/>
      </c>
      <c r="G464" s="9" t="str">
        <f>IF(ISNA(VLOOKUP(Y464,Master!A$8:N$127,5,FALSE)),"",VLOOKUP(Y464,Master!A$8:AH$127,5,FALSE))</f>
        <v/>
      </c>
      <c r="H464" s="9" t="str">
        <f>IF(AND(G464=""),"",IF(AND(Y464=""),"",ROUND(G464*Master!C$4%,0)))</f>
        <v/>
      </c>
      <c r="I464" s="9" t="str">
        <f>IF(AND(G464=""),"",IF(AND(Y464=""),"",ROUND(G464*Master!H$4%,0)))</f>
        <v/>
      </c>
      <c r="J464" s="9" t="str">
        <f t="shared" ref="J464:J466" si="408">IF(AND(C464=""),"",SUM(G464:I464))</f>
        <v/>
      </c>
      <c r="K464" s="9" t="str">
        <f t="shared" ref="K464:K466" si="409">IF(AND(C464=""),"",IF(AND(G464=""),"",C464-G464))</f>
        <v/>
      </c>
      <c r="L464" s="9" t="str">
        <f t="shared" ref="L464:L466" si="410">IF(AND(D464=""),"",IF(AND(H464=""),"",D464-H464))</f>
        <v/>
      </c>
      <c r="M464" s="9" t="str">
        <f t="shared" ref="M464:M466" si="411">IF(AND(E464=""),"",IF(AND(I464=""),"",E464-I464))</f>
        <v/>
      </c>
      <c r="N464" s="9" t="str">
        <f t="shared" ref="N464:N466" si="412">IF(AND(F464=""),"",IF(AND(J464=""),"",F464-J464))</f>
        <v/>
      </c>
      <c r="O464" s="9" t="str">
        <f>IF(AND(C464=""),"",N464-P464)</f>
        <v/>
      </c>
      <c r="P464" s="9" t="str">
        <f>IF(AND(Y464=""),"",IF(AND(N464=""),"",ROUND(N464*AA$1%,0)))</f>
        <v/>
      </c>
      <c r="Q464" s="9" t="str">
        <f>IF(AND(Y464=""),"",IF(AND(C464=""),"",IF(AND(O464=""),"",SUM(O464,P464))))</f>
        <v/>
      </c>
      <c r="R464" s="9" t="str">
        <f>IF(AND(N464=""),"",IF(AND(Q464=""),"",N464-Q464))</f>
        <v/>
      </c>
      <c r="S464" s="20"/>
      <c r="X464" s="62" t="s">
        <v>62</v>
      </c>
      <c r="Y464" s="65">
        <v>42</v>
      </c>
    </row>
    <row r="465" spans="1:27" ht="21" customHeight="1">
      <c r="A465" s="8">
        <v>2</v>
      </c>
      <c r="B465" s="23" t="str">
        <f>IFERROR(DATE(YEAR(B464),MONTH(B464)+1,DAY(B464)),"")</f>
        <v/>
      </c>
      <c r="C465" s="9" t="str">
        <f>IF(AND(Y464=""),"",C464)</f>
        <v/>
      </c>
      <c r="D465" s="9" t="str">
        <f>IF(AND(C465=""),"",IF(AND(Y464=""),"",ROUND(C465*Master!C$5%,0)))</f>
        <v/>
      </c>
      <c r="E465" s="9" t="str">
        <f>IF(AND(C465=""),"",IF(AND(Y464=""),"",ROUND(C465*Master!H$5%,0)))</f>
        <v/>
      </c>
      <c r="F465" s="9" t="str">
        <f t="shared" si="407"/>
        <v/>
      </c>
      <c r="G465" s="9" t="str">
        <f>IF(AND(Y464=""),"",G464)</f>
        <v/>
      </c>
      <c r="H465" s="9" t="str">
        <f>IF(AND(G465=""),"",IF(AND(Y464=""),"",ROUND(G465*Master!C$4%,0)))</f>
        <v/>
      </c>
      <c r="I465" s="9" t="str">
        <f>IF(AND(G465=""),"",IF(AND(Y464=""),"",ROUND(G465*Master!H$4%,0)))</f>
        <v/>
      </c>
      <c r="J465" s="9" t="str">
        <f t="shared" si="408"/>
        <v/>
      </c>
      <c r="K465" s="9" t="str">
        <f t="shared" si="409"/>
        <v/>
      </c>
      <c r="L465" s="9" t="str">
        <f t="shared" si="410"/>
        <v/>
      </c>
      <c r="M465" s="9" t="str">
        <f t="shared" si="411"/>
        <v/>
      </c>
      <c r="N465" s="9" t="str">
        <f t="shared" si="412"/>
        <v/>
      </c>
      <c r="O465" s="9" t="str">
        <f t="shared" ref="O465:O466" si="413">IF(AND(C465=""),"",N465-P465)</f>
        <v/>
      </c>
      <c r="P465" s="9" t="str">
        <f>IF(AND(Y464=""),"",IF(AND(N465=""),"",ROUND(N465*AA$1%,0)))</f>
        <v/>
      </c>
      <c r="Q465" s="9" t="str">
        <f>IF(AND(Y464=""),"",IF(AND(C465=""),"",IF(AND(O465=""),"",SUM(O465,P465))))</f>
        <v/>
      </c>
      <c r="R465" s="9" t="str">
        <f t="shared" ref="R465:R466" si="414">IF(AND(N465=""),"",IF(AND(Q465=""),"",N465-Q465))</f>
        <v/>
      </c>
      <c r="S465" s="20"/>
      <c r="X465" s="4" t="str">
        <f>IF(ISNA(VLOOKUP(Y464,Master!A$8:N$127,7,FALSE)),"",VLOOKUP(Y464,Master!A$8:AH$127,7,FALSE))</f>
        <v/>
      </c>
    </row>
    <row r="466" spans="1:27" ht="21" customHeight="1">
      <c r="A466" s="8">
        <v>3</v>
      </c>
      <c r="B466" s="23" t="str">
        <f>IFERROR(DATE(YEAR(B465),MONTH(B465)+1,DAY(B465)),"")</f>
        <v/>
      </c>
      <c r="C466" s="9" t="str">
        <f>IF(AND(Y464=""),"",C465)</f>
        <v/>
      </c>
      <c r="D466" s="9" t="str">
        <f>IF(AND(C466=""),"",IF(AND(Y464=""),"",ROUND(C466*Master!C$5%,0)))</f>
        <v/>
      </c>
      <c r="E466" s="9" t="str">
        <f>IF(AND(C466=""),"",IF(AND(Y464=""),"",ROUND(C466*Master!H$5%,0)))</f>
        <v/>
      </c>
      <c r="F466" s="9" t="str">
        <f t="shared" si="407"/>
        <v/>
      </c>
      <c r="G466" s="9" t="str">
        <f>IF(AND(Y464=""),"",G465)</f>
        <v/>
      </c>
      <c r="H466" s="9" t="str">
        <f>IF(AND(G466=""),"",IF(AND(Y464=""),"",ROUND(G466*Master!C$4%,0)))</f>
        <v/>
      </c>
      <c r="I466" s="9" t="str">
        <f>IF(AND(G466=""),"",IF(AND(Y464=""),"",ROUND(G466*Master!H$4%,0)))</f>
        <v/>
      </c>
      <c r="J466" s="9" t="str">
        <f t="shared" si="408"/>
        <v/>
      </c>
      <c r="K466" s="9" t="str">
        <f t="shared" si="409"/>
        <v/>
      </c>
      <c r="L466" s="9" t="str">
        <f t="shared" si="410"/>
        <v/>
      </c>
      <c r="M466" s="9" t="str">
        <f t="shared" si="411"/>
        <v/>
      </c>
      <c r="N466" s="9" t="str">
        <f t="shared" si="412"/>
        <v/>
      </c>
      <c r="O466" s="9" t="str">
        <f t="shared" si="413"/>
        <v/>
      </c>
      <c r="P466" s="9" t="str">
        <f>IF(AND(Y464=""),"",IF(AND(N466=""),"",ROUND(N466*AA$1%,0)))</f>
        <v/>
      </c>
      <c r="Q466" s="9" t="str">
        <f>IF(AND(Y464=""),"",IF(AND(C466=""),"",IF(AND(O466=""),"",SUM(O466,P466))))</f>
        <v/>
      </c>
      <c r="R466" s="9" t="str">
        <f t="shared" si="414"/>
        <v/>
      </c>
      <c r="S466" s="20"/>
    </row>
    <row r="467" spans="1:27" ht="30.75" customHeight="1">
      <c r="A467" s="108" t="s">
        <v>9</v>
      </c>
      <c r="B467" s="109"/>
      <c r="C467" s="64">
        <f>IF(AND(Y464=""),"",SUM(C464:C466))</f>
        <v>0</v>
      </c>
      <c r="D467" s="64">
        <f>IF(AND(Y464=""),"",SUM(D464:D466))</f>
        <v>0</v>
      </c>
      <c r="E467" s="64">
        <f>IF(AND(Y464=""),"",SUM(E464:E466))</f>
        <v>0</v>
      </c>
      <c r="F467" s="64">
        <f>IF(AND(Y464=""),"",SUM(F464:F466))</f>
        <v>0</v>
      </c>
      <c r="G467" s="64">
        <f>IF(AND(Y464=""),"",SUM(G464:G466))</f>
        <v>0</v>
      </c>
      <c r="H467" s="64">
        <f>IF(AND(Y464=""),"",SUM(H464:H466))</f>
        <v>0</v>
      </c>
      <c r="I467" s="64">
        <f>IF(AND(Y464=""),"",SUM(I464:I466))</f>
        <v>0</v>
      </c>
      <c r="J467" s="64">
        <f>IF(AND(Y464=""),"",SUM(J464:J466))</f>
        <v>0</v>
      </c>
      <c r="K467" s="64">
        <f>IF(AND(Y464=""),"",SUM(K464:K466))</f>
        <v>0</v>
      </c>
      <c r="L467" s="64">
        <f>IF(AND(Y464=""),"",SUM(L464:L466))</f>
        <v>0</v>
      </c>
      <c r="M467" s="64">
        <f>IF(AND(Y464=""),"",SUM(M464:M466))</f>
        <v>0</v>
      </c>
      <c r="N467" s="64">
        <f>IF(AND(Y464=""),"",SUM(N464:N466))</f>
        <v>0</v>
      </c>
      <c r="O467" s="64">
        <f>IF(AND(Y464=""),"",SUM(O464:O466))</f>
        <v>0</v>
      </c>
      <c r="P467" s="64">
        <f>IF(AND(Y464=""),"",SUM(P464:P466))</f>
        <v>0</v>
      </c>
      <c r="Q467" s="64">
        <f>IF(AND(Y464=""),"",SUM(Q464:Q466))</f>
        <v>0</v>
      </c>
      <c r="R467" s="64">
        <f>IF(AND(Y464=""),"",SUM(R464:R466))</f>
        <v>0</v>
      </c>
      <c r="S467" s="50"/>
    </row>
    <row r="468" spans="1:27" ht="30.75" customHeight="1">
      <c r="A468" s="75"/>
      <c r="B468" s="75"/>
      <c r="C468" s="76"/>
      <c r="D468" s="76"/>
      <c r="E468" s="76"/>
      <c r="F468" s="76"/>
      <c r="G468" s="76"/>
      <c r="H468" s="76"/>
      <c r="I468" s="76"/>
      <c r="J468" s="76"/>
      <c r="K468" s="76"/>
      <c r="L468" s="76"/>
      <c r="M468" s="76"/>
      <c r="N468" s="76"/>
      <c r="O468" s="76"/>
      <c r="P468" s="76"/>
      <c r="Q468" s="76"/>
      <c r="R468" s="76"/>
      <c r="S468" s="77"/>
    </row>
    <row r="469" spans="1:27" ht="18.75">
      <c r="A469" s="21"/>
      <c r="B469" s="59"/>
      <c r="C469" s="59"/>
      <c r="D469" s="59"/>
      <c r="E469" s="59"/>
      <c r="F469" s="59"/>
      <c r="G469" s="59"/>
      <c r="H469" s="60"/>
      <c r="I469" s="60"/>
      <c r="J469" s="60"/>
      <c r="K469" s="68"/>
      <c r="L469" s="68"/>
      <c r="M469" s="68"/>
      <c r="N469" s="68"/>
      <c r="O469" s="107" t="s">
        <v>55</v>
      </c>
      <c r="P469" s="107"/>
      <c r="Q469" s="107"/>
      <c r="R469" s="107"/>
      <c r="S469" s="107"/>
    </row>
    <row r="470" spans="1:27" ht="18.75">
      <c r="A470" s="1"/>
      <c r="B470" s="24" t="s">
        <v>19</v>
      </c>
      <c r="C470" s="118"/>
      <c r="D470" s="118"/>
      <c r="E470" s="118"/>
      <c r="F470" s="118"/>
      <c r="G470" s="118"/>
      <c r="H470" s="25"/>
      <c r="I470" s="121" t="s">
        <v>20</v>
      </c>
      <c r="J470" s="121"/>
      <c r="K470" s="120"/>
      <c r="L470" s="120"/>
      <c r="M470" s="120"/>
      <c r="O470" s="107"/>
      <c r="P470" s="107"/>
      <c r="Q470" s="107"/>
      <c r="R470" s="107"/>
      <c r="S470" s="107"/>
    </row>
    <row r="471" spans="1:27" ht="18.75">
      <c r="A471" s="1"/>
      <c r="B471" s="119" t="s">
        <v>21</v>
      </c>
      <c r="C471" s="119"/>
      <c r="D471" s="119"/>
      <c r="E471" s="119"/>
      <c r="F471" s="119"/>
      <c r="G471" s="119"/>
      <c r="H471" s="119"/>
      <c r="I471" s="27"/>
      <c r="J471" s="26"/>
      <c r="K471" s="26"/>
      <c r="L471" s="26"/>
      <c r="M471" s="26"/>
    </row>
    <row r="472" spans="1:27" ht="18.75">
      <c r="A472" s="22">
        <v>1</v>
      </c>
      <c r="B472" s="117" t="s">
        <v>22</v>
      </c>
      <c r="C472" s="117"/>
      <c r="D472" s="117"/>
      <c r="E472" s="117"/>
      <c r="F472" s="117"/>
      <c r="G472" s="117"/>
      <c r="H472" s="117"/>
      <c r="I472" s="28"/>
      <c r="J472" s="26"/>
      <c r="K472" s="26"/>
      <c r="L472" s="26"/>
      <c r="M472" s="26"/>
    </row>
    <row r="473" spans="1:27" ht="18.75">
      <c r="A473" s="2">
        <v>2</v>
      </c>
      <c r="B473" s="117" t="s">
        <v>23</v>
      </c>
      <c r="C473" s="117"/>
      <c r="D473" s="117"/>
      <c r="E473" s="117"/>
      <c r="F473" s="117"/>
      <c r="G473" s="115"/>
      <c r="H473" s="115"/>
      <c r="I473" s="115"/>
      <c r="J473" s="115"/>
      <c r="K473" s="115"/>
      <c r="L473" s="115"/>
      <c r="M473" s="115"/>
    </row>
    <row r="474" spans="1:27" ht="18.75">
      <c r="A474" s="3">
        <v>3</v>
      </c>
      <c r="B474" s="117" t="s">
        <v>24</v>
      </c>
      <c r="C474" s="117"/>
      <c r="D474" s="117"/>
      <c r="E474" s="29"/>
      <c r="F474" s="28"/>
      <c r="G474" s="28"/>
      <c r="H474" s="30"/>
      <c r="I474" s="31"/>
      <c r="J474" s="26"/>
      <c r="K474" s="26"/>
      <c r="L474" s="26"/>
      <c r="M474" s="26"/>
    </row>
    <row r="475" spans="1:27" ht="15.75">
      <c r="O475" s="107" t="s">
        <v>55</v>
      </c>
      <c r="P475" s="107"/>
      <c r="Q475" s="107"/>
      <c r="R475" s="107"/>
      <c r="S475" s="107"/>
    </row>
    <row r="477" spans="1:27" ht="18" customHeight="1">
      <c r="A477" s="122" t="str">
        <f>A443</f>
        <v xml:space="preserve">DA (38%) Drawn Statement  </v>
      </c>
      <c r="B477" s="122"/>
      <c r="C477" s="122"/>
      <c r="D477" s="122"/>
      <c r="E477" s="122"/>
      <c r="F477" s="122"/>
      <c r="G477" s="122"/>
      <c r="H477" s="122"/>
      <c r="I477" s="122"/>
      <c r="J477" s="122"/>
      <c r="K477" s="122"/>
      <c r="L477" s="122"/>
      <c r="M477" s="122"/>
      <c r="N477" s="122"/>
      <c r="O477" s="122"/>
      <c r="P477" s="122"/>
      <c r="Q477" s="122"/>
      <c r="R477" s="122"/>
      <c r="S477" s="122"/>
      <c r="W477" s="4">
        <f>IF(ISNA(VLOOKUP($Y$3,Master!A$8:N$127,4,FALSE)),"",VLOOKUP($Y$3,Master!A$8:AH$127,4,FALSE))</f>
        <v>3</v>
      </c>
      <c r="X477" s="4" t="str">
        <f>IF(ISNA(VLOOKUP($Y$3,Master!A$8:N$127,6,FALSE)),"",VLOOKUP($Y$3,Master!A$8:AH$127,6,FALSE))</f>
        <v>GPF</v>
      </c>
      <c r="Y477" s="4" t="s">
        <v>58</v>
      </c>
      <c r="Z477" s="4" t="s">
        <v>18</v>
      </c>
      <c r="AA477" s="4" t="str">
        <f>IF(ISNA(VLOOKUP(Y479,Master!A$8:N$127,7,FALSE)),"",VLOOKUP(Y479,Master!A$8:AH$127,7,FALSE))</f>
        <v/>
      </c>
    </row>
    <row r="478" spans="1:27" ht="18">
      <c r="A478" s="114" t="str">
        <f>IF(AND(Master!C479=""),"",CONCATENATE("Office Of  ",Master!C479))</f>
        <v/>
      </c>
      <c r="B478" s="114"/>
      <c r="C478" s="114"/>
      <c r="D478" s="114"/>
      <c r="E478" s="114"/>
      <c r="F478" s="114"/>
      <c r="G478" s="114"/>
      <c r="H478" s="114"/>
      <c r="I478" s="114"/>
      <c r="J478" s="114"/>
      <c r="K478" s="114"/>
      <c r="L478" s="114"/>
      <c r="M478" s="114"/>
      <c r="N478" s="114"/>
      <c r="O478" s="114"/>
      <c r="P478" s="114"/>
      <c r="Q478" s="114"/>
      <c r="R478" s="114"/>
      <c r="S478" s="114"/>
      <c r="X478" s="4">
        <f>IF(ISNA(VLOOKUP($Y$3,Master!A$8:N$127,8,FALSE)),"",VLOOKUP($Y$3,Master!A$8:AH$127,8,FALSE))</f>
        <v>44743</v>
      </c>
      <c r="Y478" s="4" t="s">
        <v>56</v>
      </c>
    </row>
    <row r="479" spans="1:27" ht="18.75">
      <c r="E479" s="116" t="s">
        <v>10</v>
      </c>
      <c r="F479" s="116"/>
      <c r="G479" s="116"/>
      <c r="H479" s="116"/>
      <c r="I479" s="116"/>
      <c r="J479" s="115" t="str">
        <f>IF(ISNA(VLOOKUP(Y479,Master!A$8:N$127,2,FALSE)),"",VLOOKUP(Y479,Master!A$8:AH$127,2,FALSE))</f>
        <v/>
      </c>
      <c r="K479" s="115"/>
      <c r="L479" s="115"/>
      <c r="M479" s="115"/>
      <c r="N479" s="115"/>
      <c r="O479" s="61" t="s">
        <v>31</v>
      </c>
      <c r="P479" s="115" t="str">
        <f>IF(ISNA(VLOOKUP(Y479,Master!A$8:N$127,3,FALSE)),"",VLOOKUP(Y479,Master!A$8:AH$127,3,FALSE))</f>
        <v/>
      </c>
      <c r="Q479" s="115"/>
      <c r="R479" s="115"/>
      <c r="S479" s="115"/>
      <c r="X479" s="62" t="s">
        <v>62</v>
      </c>
      <c r="Y479" s="65">
        <v>43</v>
      </c>
    </row>
    <row r="480" spans="1:27" ht="8.25" customHeight="1">
      <c r="E480" s="19"/>
      <c r="F480" s="53"/>
      <c r="G480" s="22"/>
      <c r="H480" s="22"/>
      <c r="I480" s="22"/>
      <c r="J480" s="5"/>
      <c r="K480" s="5"/>
      <c r="L480" s="5"/>
      <c r="M480" s="5"/>
      <c r="N480" s="5"/>
      <c r="O480" s="6"/>
      <c r="P480" s="6"/>
    </row>
    <row r="481" spans="1:25" ht="24.75" customHeight="1">
      <c r="A481" s="110" t="s">
        <v>0</v>
      </c>
      <c r="B481" s="111" t="s">
        <v>3</v>
      </c>
      <c r="C481" s="112" t="s">
        <v>5</v>
      </c>
      <c r="D481" s="112"/>
      <c r="E481" s="112"/>
      <c r="F481" s="112"/>
      <c r="G481" s="112" t="s">
        <v>6</v>
      </c>
      <c r="H481" s="112"/>
      <c r="I481" s="112"/>
      <c r="J481" s="112"/>
      <c r="K481" s="112" t="s">
        <v>7</v>
      </c>
      <c r="L481" s="112"/>
      <c r="M481" s="112"/>
      <c r="N481" s="112"/>
      <c r="O481" s="97" t="s">
        <v>8</v>
      </c>
      <c r="P481" s="98"/>
      <c r="Q481" s="99"/>
      <c r="R481" s="105" t="s">
        <v>67</v>
      </c>
      <c r="S481" s="105" t="s">
        <v>50</v>
      </c>
    </row>
    <row r="482" spans="1:25" ht="69" customHeight="1">
      <c r="A482" s="110"/>
      <c r="B482" s="111"/>
      <c r="C482" s="55" t="s">
        <v>29</v>
      </c>
      <c r="D482" s="56" t="s">
        <v>1</v>
      </c>
      <c r="E482" s="57" t="s">
        <v>2</v>
      </c>
      <c r="F482" s="55" t="s">
        <v>59</v>
      </c>
      <c r="G482" s="55" t="s">
        <v>29</v>
      </c>
      <c r="H482" s="56" t="s">
        <v>1</v>
      </c>
      <c r="I482" s="57" t="s">
        <v>2</v>
      </c>
      <c r="J482" s="55" t="s">
        <v>60</v>
      </c>
      <c r="K482" s="55" t="s">
        <v>4</v>
      </c>
      <c r="L482" s="56" t="s">
        <v>1</v>
      </c>
      <c r="M482" s="57" t="s">
        <v>2</v>
      </c>
      <c r="N482" s="58" t="s">
        <v>61</v>
      </c>
      <c r="O482" s="54" t="s">
        <v>83</v>
      </c>
      <c r="P482" s="67" t="s">
        <v>51</v>
      </c>
      <c r="Q482" s="58" t="s">
        <v>66</v>
      </c>
      <c r="R482" s="105"/>
      <c r="S482" s="105"/>
    </row>
    <row r="483" spans="1:25" ht="18" customHeight="1">
      <c r="A483" s="7">
        <v>1</v>
      </c>
      <c r="B483" s="7">
        <v>2</v>
      </c>
      <c r="C483" s="7">
        <v>3</v>
      </c>
      <c r="D483" s="7">
        <v>4</v>
      </c>
      <c r="E483" s="7">
        <v>5</v>
      </c>
      <c r="F483" s="7">
        <v>6</v>
      </c>
      <c r="G483" s="7">
        <v>7</v>
      </c>
      <c r="H483" s="7">
        <v>8</v>
      </c>
      <c r="I483" s="7">
        <v>9</v>
      </c>
      <c r="J483" s="7">
        <v>10</v>
      </c>
      <c r="K483" s="7">
        <v>11</v>
      </c>
      <c r="L483" s="7">
        <v>12</v>
      </c>
      <c r="M483" s="7">
        <v>13</v>
      </c>
      <c r="N483" s="7">
        <v>14</v>
      </c>
      <c r="O483" s="7">
        <v>15</v>
      </c>
      <c r="P483" s="7">
        <v>17</v>
      </c>
      <c r="Q483" s="7">
        <v>18</v>
      </c>
      <c r="R483" s="7">
        <v>19</v>
      </c>
      <c r="S483" s="7">
        <v>20</v>
      </c>
    </row>
    <row r="484" spans="1:25" ht="21" customHeight="1">
      <c r="A484" s="8">
        <v>1</v>
      </c>
      <c r="B484" s="23" t="str">
        <f>IFERROR(IF(ISNA(VLOOKUP(Y479,Master!A$8:N$127,8,FALSE)),"",VLOOKUP($Y479,Master!A$8:AH$127,8,FALSE)),"")</f>
        <v/>
      </c>
      <c r="C484" s="9" t="str">
        <f>IF(ISNA(VLOOKUP(Y479,Master!A$8:N$127,5,FALSE)),"",VLOOKUP(Y479,Master!A$8:AH$127,5,FALSE))</f>
        <v/>
      </c>
      <c r="D484" s="9" t="str">
        <f>IF(AND(C484=""),"",IF(AND(Y479=""),"",ROUND(C484*Master!C$5%,0)))</f>
        <v/>
      </c>
      <c r="E484" s="9" t="str">
        <f>IF(AND(C484=""),"",IF(AND(Y479=""),"",ROUND(C484*Master!H$5%,0)))</f>
        <v/>
      </c>
      <c r="F484" s="9" t="str">
        <f t="shared" ref="F484" si="415">IF(AND(C484=""),"",SUM(C484:E484))</f>
        <v/>
      </c>
      <c r="G484" s="9" t="str">
        <f>IF(ISNA(VLOOKUP(Y479,Master!A$8:N$127,5,FALSE)),"",VLOOKUP(Y479,Master!A$8:AH$127,5,FALSE))</f>
        <v/>
      </c>
      <c r="H484" s="9" t="str">
        <f>IF(AND(G484=""),"",IF(AND(Y479=""),"",ROUND(G484*Master!C$4%,0)))</f>
        <v/>
      </c>
      <c r="I484" s="9" t="str">
        <f>IF(AND(G484=""),"",IF(AND(Y479=""),"",ROUND(G484*Master!H$4%,0)))</f>
        <v/>
      </c>
      <c r="J484" s="9" t="str">
        <f t="shared" ref="J484:J485" si="416">IF(AND(C484=""),"",SUM(G484:I484))</f>
        <v/>
      </c>
      <c r="K484" s="9" t="str">
        <f t="shared" ref="K484:K486" si="417">IF(AND(C484=""),"",IF(AND(G484=""),"",C484-G484))</f>
        <v/>
      </c>
      <c r="L484" s="9" t="str">
        <f t="shared" ref="L484:L486" si="418">IF(AND(D484=""),"",IF(AND(H484=""),"",D484-H484))</f>
        <v/>
      </c>
      <c r="M484" s="9" t="str">
        <f t="shared" ref="M484:M485" si="419">IF(AND(E484=""),"",IF(AND(I484=""),"",E484-I484))</f>
        <v/>
      </c>
      <c r="N484" s="9" t="str">
        <f t="shared" ref="N484:N485" si="420">IF(AND(F484=""),"",IF(AND(J484=""),"",F484-J484))</f>
        <v/>
      </c>
      <c r="O484" s="9" t="str">
        <f>IF(AND(C484=""),"",N484-P484)</f>
        <v/>
      </c>
      <c r="P484" s="9" t="str">
        <f>IF(AND(Y479=""),"",IF(AND(N484=""),"",ROUND(N484*AA$1%,0)))</f>
        <v/>
      </c>
      <c r="Q484" s="9" t="str">
        <f>IF(AND(Y479=""),"",IF(AND(C484=""),"",IF(AND(O484=""),"",SUM(O484,P484))))</f>
        <v/>
      </c>
      <c r="R484" s="9" t="str">
        <f>IF(AND(N484=""),"",IF(AND(Q484=""),"",N484-Q484))</f>
        <v/>
      </c>
      <c r="S484" s="20"/>
    </row>
    <row r="485" spans="1:25" ht="21" customHeight="1">
      <c r="A485" s="8">
        <v>2</v>
      </c>
      <c r="B485" s="23" t="str">
        <f>IFERROR(DATE(YEAR(B484),MONTH(B484)+1,DAY(B484)),"")</f>
        <v/>
      </c>
      <c r="C485" s="9" t="str">
        <f>IF(AND(Y479=""),"",C484)</f>
        <v/>
      </c>
      <c r="D485" s="9" t="str">
        <f>IF(AND(C485=""),"",IF(AND(Y479=""),"",ROUND(C485*Master!C$5%,0)))</f>
        <v/>
      </c>
      <c r="E485" s="9" t="str">
        <f>IF(AND(C485=""),"",IF(AND(Y479=""),"",ROUND(C485*Master!H$5%,0)))</f>
        <v/>
      </c>
      <c r="F485" s="9" t="str">
        <f>IF(AND(C485=""),"",SUM(C485:E485))</f>
        <v/>
      </c>
      <c r="G485" s="9" t="str">
        <f>IF(AND(Y479=""),"",G484)</f>
        <v/>
      </c>
      <c r="H485" s="9" t="str">
        <f>IF(AND(G485=""),"",IF(AND(Y479=""),"",ROUND(G485*Master!C$4%,0)))</f>
        <v/>
      </c>
      <c r="I485" s="9" t="str">
        <f>IF(AND(G485=""),"",IF(AND(Y479=""),"",ROUND(G485*Master!H$4%,0)))</f>
        <v/>
      </c>
      <c r="J485" s="9" t="str">
        <f t="shared" si="416"/>
        <v/>
      </c>
      <c r="K485" s="9" t="str">
        <f t="shared" si="417"/>
        <v/>
      </c>
      <c r="L485" s="9" t="str">
        <f t="shared" si="418"/>
        <v/>
      </c>
      <c r="M485" s="9" t="str">
        <f t="shared" si="419"/>
        <v/>
      </c>
      <c r="N485" s="9" t="str">
        <f t="shared" si="420"/>
        <v/>
      </c>
      <c r="O485" s="9" t="str">
        <f t="shared" ref="O485:O486" si="421">IF(AND(C485=""),"",N485-P485)</f>
        <v/>
      </c>
      <c r="P485" s="9" t="str">
        <f>IF(AND(Y479=""),"",IF(AND(N485=""),"",ROUND(N485*AA$1%,0)))</f>
        <v/>
      </c>
      <c r="Q485" s="9" t="str">
        <f>IF(AND(Y479=""),"",IF(AND(C485=""),"",IF(AND(O485=""),"",SUM(O485,P485))))</f>
        <v/>
      </c>
      <c r="R485" s="9" t="str">
        <f t="shared" ref="R485:R486" si="422">IF(AND(N485=""),"",IF(AND(Q485=""),"",N485-Q485))</f>
        <v/>
      </c>
      <c r="S485" s="20"/>
    </row>
    <row r="486" spans="1:25" ht="21" customHeight="1">
      <c r="A486" s="8">
        <v>3</v>
      </c>
      <c r="B486" s="23" t="str">
        <f>IFERROR(DATE(YEAR(B485),MONTH(B485)+1,DAY(B485)),"")</f>
        <v/>
      </c>
      <c r="C486" s="9" t="str">
        <f>IF(AND(Y479=""),"",C485)</f>
        <v/>
      </c>
      <c r="D486" s="9" t="str">
        <f>IF(AND(C486=""),"",IF(AND(Y479=""),"",ROUND(C486*Master!C$5%,0)))</f>
        <v/>
      </c>
      <c r="E486" s="9" t="str">
        <f>IF(AND(C486=""),"",IF(AND(Y479=""),"",ROUND(C486*Master!H$5%,0)))</f>
        <v/>
      </c>
      <c r="F486" s="9" t="str">
        <f t="shared" ref="F486" si="423">IF(AND(C486=""),"",SUM(C486:E486))</f>
        <v/>
      </c>
      <c r="G486" s="9" t="str">
        <f>IF(AND(Y479=""),"",G485)</f>
        <v/>
      </c>
      <c r="H486" s="9" t="str">
        <f>IF(AND(G486=""),"",IF(AND(Y479=""),"",ROUND(G486*Master!C$4%,0)))</f>
        <v/>
      </c>
      <c r="I486" s="9" t="str">
        <f>IF(AND(G486=""),"",IF(AND(Y479=""),"",ROUND(G486*Master!H$4%,0)))</f>
        <v/>
      </c>
      <c r="J486" s="9" t="str">
        <f>IF(AND(C486=""),"",SUM(G486:I486))</f>
        <v/>
      </c>
      <c r="K486" s="9" t="str">
        <f t="shared" si="417"/>
        <v/>
      </c>
      <c r="L486" s="9" t="str">
        <f t="shared" si="418"/>
        <v/>
      </c>
      <c r="M486" s="9" t="str">
        <f>IF(AND(E486=""),"",IF(AND(I486=""),"",E486-I486))</f>
        <v/>
      </c>
      <c r="N486" s="9" t="str">
        <f>IF(AND(F486=""),"",IF(AND(J486=""),"",F486-J486))</f>
        <v/>
      </c>
      <c r="O486" s="9" t="str">
        <f t="shared" si="421"/>
        <v/>
      </c>
      <c r="P486" s="9" t="str">
        <f>IF(AND(Y479=""),"",IF(AND(N486=""),"",ROUND(N486*AA$1%,0)))</f>
        <v/>
      </c>
      <c r="Q486" s="9" t="str">
        <f>IF(AND(Y479=""),"",IF(AND(C486=""),"",IF(AND(O486=""),"",SUM(O486,P486))))</f>
        <v/>
      </c>
      <c r="R486" s="9" t="str">
        <f t="shared" si="422"/>
        <v/>
      </c>
      <c r="S486" s="20"/>
    </row>
    <row r="487" spans="1:25" ht="23.25" customHeight="1">
      <c r="A487" s="108" t="s">
        <v>9</v>
      </c>
      <c r="B487" s="109"/>
      <c r="C487" s="64">
        <f>IF(AND(Y479=""),"",SUM(C484:C486))</f>
        <v>0</v>
      </c>
      <c r="D487" s="64">
        <f>IF(AND(Y479=""),"",SUM(D484:D486))</f>
        <v>0</v>
      </c>
      <c r="E487" s="64">
        <f>IF(AND(Y479=""),"",SUM(E484:E486))</f>
        <v>0</v>
      </c>
      <c r="F487" s="64">
        <f>IF(AND(Y479=""),"",SUM(F484:F486))</f>
        <v>0</v>
      </c>
      <c r="G487" s="64">
        <f>IF(AND(Y479=""),"",SUM(G484:G486))</f>
        <v>0</v>
      </c>
      <c r="H487" s="64">
        <f>IF(AND(Y479=""),"",SUM(H484:H486))</f>
        <v>0</v>
      </c>
      <c r="I487" s="64">
        <f>IF(AND(Y479=""),"",SUM(I484:I486))</f>
        <v>0</v>
      </c>
      <c r="J487" s="64">
        <f>IF(AND(Y479=""),"",SUM(J484:J486))</f>
        <v>0</v>
      </c>
      <c r="K487" s="64">
        <f>IF(AND(Y479=""),"",SUM(K484:K486))</f>
        <v>0</v>
      </c>
      <c r="L487" s="64">
        <f>IF(AND(Y479=""),"",SUM(L484:L486))</f>
        <v>0</v>
      </c>
      <c r="M487" s="64">
        <f>IF(AND(Y479=""),"",SUM(M484:M486))</f>
        <v>0</v>
      </c>
      <c r="N487" s="64">
        <f>IF(AND(Y479=""),"",SUM(N484:N486))</f>
        <v>0</v>
      </c>
      <c r="O487" s="64">
        <f>IF(AND(Y479=""),"",SUM(O484:O486))</f>
        <v>0</v>
      </c>
      <c r="P487" s="64">
        <f>IF(AND(Y479=""),"",SUM(P484:P486))</f>
        <v>0</v>
      </c>
      <c r="Q487" s="64">
        <f>IF(AND(Y479=""),"",SUM(Q484:Q486))</f>
        <v>0</v>
      </c>
      <c r="R487" s="64">
        <f>IF(AND(Y479=""),"",SUM(R484:R486))</f>
        <v>0</v>
      </c>
      <c r="S487" s="50"/>
    </row>
    <row r="488" spans="1:25" ht="10.5" customHeight="1">
      <c r="A488" s="75"/>
      <c r="B488" s="75"/>
      <c r="C488" s="76"/>
      <c r="D488" s="76"/>
      <c r="E488" s="76"/>
      <c r="F488" s="76"/>
      <c r="G488" s="76"/>
      <c r="H488" s="76"/>
      <c r="I488" s="76"/>
      <c r="J488" s="76"/>
      <c r="K488" s="76"/>
      <c r="L488" s="76"/>
      <c r="M488" s="76"/>
      <c r="N488" s="76"/>
      <c r="O488" s="76"/>
      <c r="P488" s="76"/>
      <c r="Q488" s="76"/>
      <c r="R488" s="76"/>
      <c r="S488" s="77"/>
    </row>
    <row r="489" spans="1:25" ht="23.25" customHeight="1">
      <c r="E489" s="116" t="s">
        <v>10</v>
      </c>
      <c r="F489" s="116"/>
      <c r="G489" s="116"/>
      <c r="H489" s="116"/>
      <c r="I489" s="116"/>
      <c r="J489" s="115" t="str">
        <f>IF(ISNA(VLOOKUP(Y491,Master!A$8:N$127,2,FALSE)),"",VLOOKUP(Y491,Master!A$8:AH$127,2,FALSE))</f>
        <v/>
      </c>
      <c r="K489" s="115"/>
      <c r="L489" s="115"/>
      <c r="M489" s="115"/>
      <c r="N489" s="115"/>
      <c r="O489" s="61" t="s">
        <v>31</v>
      </c>
      <c r="P489" s="115" t="str">
        <f>IF(ISNA(VLOOKUP(Y491,Master!A$8:N$127,3,FALSE)),"",VLOOKUP(Y491,Master!A$8:AH$127,3,FALSE))</f>
        <v/>
      </c>
      <c r="Q489" s="115"/>
      <c r="R489" s="115"/>
      <c r="S489" s="115"/>
    </row>
    <row r="490" spans="1:25" ht="9" customHeight="1">
      <c r="E490" s="19"/>
      <c r="F490" s="53"/>
      <c r="G490" s="22"/>
      <c r="H490" s="22"/>
      <c r="I490" s="22"/>
      <c r="J490" s="5"/>
      <c r="K490" s="5"/>
      <c r="L490" s="5"/>
      <c r="M490" s="5"/>
      <c r="N490" s="5"/>
      <c r="O490" s="6"/>
      <c r="P490" s="6"/>
    </row>
    <row r="491" spans="1:25" ht="21" customHeight="1">
      <c r="A491" s="8">
        <v>1</v>
      </c>
      <c r="B491" s="23" t="str">
        <f>IFERROR(IF(ISNA(VLOOKUP(Y491,Master!A$8:N$127,8,FALSE)),"",VLOOKUP($Y491,Master!A$8:AH$127,8,FALSE)),"")</f>
        <v/>
      </c>
      <c r="C491" s="9" t="str">
        <f>IF(ISNA(VLOOKUP(Y491,Master!A$8:N$127,5,FALSE)),"",VLOOKUP(Y491,Master!A$8:AH$127,5,FALSE))</f>
        <v/>
      </c>
      <c r="D491" s="9" t="str">
        <f>IF(AND(C491=""),"",IF(AND(Y491=""),"",ROUND(C491*Master!C$5%,0)))</f>
        <v/>
      </c>
      <c r="E491" s="9" t="str">
        <f>IF(AND(C491=""),"",IF(AND(Y491=""),"",ROUND(C491*Master!H$5%,0)))</f>
        <v/>
      </c>
      <c r="F491" s="9" t="str">
        <f t="shared" ref="F491:F493" si="424">IF(AND(C491=""),"",SUM(C491:E491))</f>
        <v/>
      </c>
      <c r="G491" s="9" t="str">
        <f>IF(ISNA(VLOOKUP(Y491,Master!A$8:N$127,5,FALSE)),"",VLOOKUP(Y491,Master!A$8:AH$127,5,FALSE))</f>
        <v/>
      </c>
      <c r="H491" s="9" t="str">
        <f>IF(AND(G491=""),"",IF(AND(Y491=""),"",ROUND(G491*Master!C$4%,0)))</f>
        <v/>
      </c>
      <c r="I491" s="9" t="str">
        <f>IF(AND(G491=""),"",IF(AND(Y491=""),"",ROUND(G491*Master!H$4%,0)))</f>
        <v/>
      </c>
      <c r="J491" s="9" t="str">
        <f t="shared" ref="J491:J493" si="425">IF(AND(C491=""),"",SUM(G491:I491))</f>
        <v/>
      </c>
      <c r="K491" s="9" t="str">
        <f t="shared" ref="K491" si="426">IF(AND(C491=""),"",IF(AND(G491=""),"",C491-G491))</f>
        <v/>
      </c>
      <c r="L491" s="9" t="str">
        <f>IF(AND(D491=""),"",IF(AND(H491=""),"",D491-H491))</f>
        <v/>
      </c>
      <c r="M491" s="9" t="str">
        <f t="shared" ref="M491:M493" si="427">IF(AND(E491=""),"",IF(AND(I491=""),"",E491-I491))</f>
        <v/>
      </c>
      <c r="N491" s="9" t="str">
        <f t="shared" ref="N491:N493" si="428">IF(AND(F491=""),"",IF(AND(J491=""),"",F491-J491))</f>
        <v/>
      </c>
      <c r="O491" s="9" t="str">
        <f>IF(AND(C491=""),"",N491-P491)</f>
        <v/>
      </c>
      <c r="P491" s="9" t="str">
        <f>IF(AND(Y491=""),"",IF(AND(N491=""),"",ROUND(N491*X$16%,0)))</f>
        <v/>
      </c>
      <c r="Q491" s="9" t="str">
        <f>IF(AND(Y491=""),"",IF(AND(C491=""),"",IF(AND(O491=""),"",SUM(O491,P491))))</f>
        <v/>
      </c>
      <c r="R491" s="9" t="str">
        <f>IF(AND(N491=""),"",IF(AND(Q491=""),"",N491-Q491))</f>
        <v/>
      </c>
      <c r="S491" s="20"/>
      <c r="X491" s="62" t="s">
        <v>62</v>
      </c>
      <c r="Y491" s="65">
        <v>44</v>
      </c>
    </row>
    <row r="492" spans="1:25" ht="21" customHeight="1">
      <c r="A492" s="8">
        <v>2</v>
      </c>
      <c r="B492" s="23" t="str">
        <f>IFERROR(DATE(YEAR(B491),MONTH(B491)+1,DAY(B491)),"")</f>
        <v/>
      </c>
      <c r="C492" s="9" t="str">
        <f>IF(AND(Y491=""),"",C491)</f>
        <v/>
      </c>
      <c r="D492" s="9" t="str">
        <f>IF(AND(C492=""),"",IF(AND(Y491=""),"",ROUND(C492*Master!C$5%,0)))</f>
        <v/>
      </c>
      <c r="E492" s="9" t="str">
        <f>IF(AND(C492=""),"",IF(AND(Y491=""),"",ROUND(C492*Master!H$5%,0)))</f>
        <v/>
      </c>
      <c r="F492" s="9" t="str">
        <f t="shared" si="424"/>
        <v/>
      </c>
      <c r="G492" s="9" t="str">
        <f>IF(AND(Y491=""),"",G491)</f>
        <v/>
      </c>
      <c r="H492" s="9" t="str">
        <f>IF(AND(G492=""),"",IF(AND(Y491=""),"",ROUND(G492*Master!C$4%,0)))</f>
        <v/>
      </c>
      <c r="I492" s="9" t="str">
        <f>IF(AND(G492=""),"",IF(AND(Y491=""),"",ROUND(G492*Master!H$4%,0)))</f>
        <v/>
      </c>
      <c r="J492" s="9" t="str">
        <f t="shared" si="425"/>
        <v/>
      </c>
      <c r="K492" s="9" t="str">
        <f>IF(AND(C492=""),"",IF(AND(G492=""),"",C492-G492))</f>
        <v/>
      </c>
      <c r="L492" s="9" t="str">
        <f t="shared" ref="L492:L493" si="429">IF(AND(D492=""),"",IF(AND(H492=""),"",D492-H492))</f>
        <v/>
      </c>
      <c r="M492" s="9" t="str">
        <f t="shared" si="427"/>
        <v/>
      </c>
      <c r="N492" s="9" t="str">
        <f t="shared" si="428"/>
        <v/>
      </c>
      <c r="O492" s="9" t="str">
        <f t="shared" ref="O492:O493" si="430">IF(AND(C492=""),"",N492-P492)</f>
        <v/>
      </c>
      <c r="P492" s="9" t="str">
        <f>IF(AND(Y491=""),"",IF(AND(N492=""),"",ROUND(N492*X$16%,0)))</f>
        <v/>
      </c>
      <c r="Q492" s="9" t="str">
        <f>IF(AND(Y491=""),"",IF(AND(C492=""),"",IF(AND(O492=""),"",SUM(O492,P492))))</f>
        <v/>
      </c>
      <c r="R492" s="9" t="str">
        <f t="shared" ref="R492:R493" si="431">IF(AND(N492=""),"",IF(AND(Q492=""),"",N492-Q492))</f>
        <v/>
      </c>
      <c r="S492" s="20"/>
      <c r="X492" s="4" t="str">
        <f>IF(ISNA(VLOOKUP(Y491,Master!A$8:N$127,7,FALSE)),"",VLOOKUP(Y491,Master!A$8:AH$127,7,FALSE))</f>
        <v/>
      </c>
    </row>
    <row r="493" spans="1:25" ht="21" customHeight="1">
      <c r="A493" s="8">
        <v>3</v>
      </c>
      <c r="B493" s="23" t="str">
        <f>IFERROR(DATE(YEAR(B492),MONTH(B492)+1,DAY(B492)),"")</f>
        <v/>
      </c>
      <c r="C493" s="9" t="str">
        <f>IF(AND(Y491=""),"",C492)</f>
        <v/>
      </c>
      <c r="D493" s="9" t="str">
        <f>IF(AND(C493=""),"",IF(AND(Y491=""),"",ROUND(C493*Master!C$5%,0)))</f>
        <v/>
      </c>
      <c r="E493" s="9" t="str">
        <f>IF(AND(C493=""),"",IF(AND(Y491=""),"",ROUND(C493*Master!H$5%,0)))</f>
        <v/>
      </c>
      <c r="F493" s="9" t="str">
        <f t="shared" si="424"/>
        <v/>
      </c>
      <c r="G493" s="9" t="str">
        <f>IF(AND(Y491=""),"",G492)</f>
        <v/>
      </c>
      <c r="H493" s="9" t="str">
        <f>IF(AND(G493=""),"",IF(AND(Y491=""),"",ROUND(G493*Master!C$4%,0)))</f>
        <v/>
      </c>
      <c r="I493" s="9" t="str">
        <f>IF(AND(G493=""),"",IF(AND(Y491=""),"",ROUND(G493*Master!H$4%,0)))</f>
        <v/>
      </c>
      <c r="J493" s="9" t="str">
        <f t="shared" si="425"/>
        <v/>
      </c>
      <c r="K493" s="9" t="str">
        <f t="shared" ref="K493" si="432">IF(AND(C493=""),"",IF(AND(G493=""),"",C493-G493))</f>
        <v/>
      </c>
      <c r="L493" s="9" t="str">
        <f t="shared" si="429"/>
        <v/>
      </c>
      <c r="M493" s="9" t="str">
        <f t="shared" si="427"/>
        <v/>
      </c>
      <c r="N493" s="9" t="str">
        <f t="shared" si="428"/>
        <v/>
      </c>
      <c r="O493" s="9" t="str">
        <f t="shared" si="430"/>
        <v/>
      </c>
      <c r="P493" s="9" t="str">
        <f>IF(AND(Y491=""),"",IF(AND(N493=""),"",ROUND(N493*X$16%,0)))</f>
        <v/>
      </c>
      <c r="Q493" s="9" t="str">
        <f>IF(AND(Y491=""),"",IF(AND(C493=""),"",IF(AND(O493=""),"",SUM(O493,P493))))</f>
        <v/>
      </c>
      <c r="R493" s="9" t="str">
        <f t="shared" si="431"/>
        <v/>
      </c>
      <c r="S493" s="20"/>
    </row>
    <row r="494" spans="1:25" ht="30.75" customHeight="1">
      <c r="A494" s="108" t="s">
        <v>9</v>
      </c>
      <c r="B494" s="109"/>
      <c r="C494" s="64">
        <f>IF(AND(Y491=""),"",SUM(C491:C493))</f>
        <v>0</v>
      </c>
      <c r="D494" s="64">
        <f>IF(AND(Y491=""),"",SUM(D491:D493))</f>
        <v>0</v>
      </c>
      <c r="E494" s="64">
        <f>IF(AND(Y491=""),"",SUM(E491:E493))</f>
        <v>0</v>
      </c>
      <c r="F494" s="64">
        <f>IF(AND(Y491=""),"",SUM(F491:F493))</f>
        <v>0</v>
      </c>
      <c r="G494" s="64">
        <f>IF(AND(Y491=""),"",SUM(G491:G493))</f>
        <v>0</v>
      </c>
      <c r="H494" s="64">
        <f>IF(AND(Y491=""),"",SUM(H491:H493))</f>
        <v>0</v>
      </c>
      <c r="I494" s="64">
        <f>IF(AND(Y491=""),"",SUM(I491:I493))</f>
        <v>0</v>
      </c>
      <c r="J494" s="64">
        <f>IF(AND(Y491=""),"",SUM(J491:J493))</f>
        <v>0</v>
      </c>
      <c r="K494" s="64">
        <f>IF(AND(Y491=""),"",SUM(K491:K493))</f>
        <v>0</v>
      </c>
      <c r="L494" s="64">
        <f>IF(AND(Y491=""),"",SUM(L491:L493))</f>
        <v>0</v>
      </c>
      <c r="M494" s="64">
        <f>IF(AND(Y491=""),"",SUM(M491:M493))</f>
        <v>0</v>
      </c>
      <c r="N494" s="64">
        <f>IF(AND(Y491=""),"",SUM(N491:N493))</f>
        <v>0</v>
      </c>
      <c r="O494" s="64">
        <f>IF(AND(Y491=""),"",SUM(O491:O493))</f>
        <v>0</v>
      </c>
      <c r="P494" s="64">
        <f>IF(AND(Y491=""),"",SUM(P491:P493))</f>
        <v>0</v>
      </c>
      <c r="Q494" s="64">
        <f>IF(AND(Y491=""),"",SUM(Q491:Q493))</f>
        <v>0</v>
      </c>
      <c r="R494" s="64">
        <f>IF(AND(Y491=""),"",SUM(R491:R493))</f>
        <v>0</v>
      </c>
      <c r="S494" s="50"/>
    </row>
    <row r="495" spans="1:25" ht="11.25" customHeight="1">
      <c r="A495" s="75"/>
      <c r="B495" s="75"/>
      <c r="C495" s="76"/>
      <c r="D495" s="76"/>
      <c r="E495" s="76"/>
      <c r="F495" s="76"/>
      <c r="G495" s="76"/>
      <c r="H495" s="76"/>
      <c r="I495" s="76"/>
      <c r="J495" s="76"/>
      <c r="K495" s="76"/>
      <c r="L495" s="76"/>
      <c r="M495" s="76"/>
      <c r="N495" s="76"/>
      <c r="O495" s="76"/>
      <c r="P495" s="76"/>
      <c r="Q495" s="76"/>
      <c r="R495" s="76"/>
      <c r="S495" s="77"/>
    </row>
    <row r="496" spans="1:25" ht="23.25" customHeight="1">
      <c r="E496" s="116" t="s">
        <v>10</v>
      </c>
      <c r="F496" s="116"/>
      <c r="G496" s="116"/>
      <c r="H496" s="116"/>
      <c r="I496" s="116"/>
      <c r="J496" s="115" t="str">
        <f>IF(ISNA(VLOOKUP(Y498,Master!A$8:N$127,2,FALSE)),"",VLOOKUP(Y498,Master!A$8:AH$127,2,FALSE))</f>
        <v/>
      </c>
      <c r="K496" s="115"/>
      <c r="L496" s="115"/>
      <c r="M496" s="115"/>
      <c r="N496" s="115"/>
      <c r="O496" s="61" t="s">
        <v>31</v>
      </c>
      <c r="P496" s="115" t="str">
        <f>IF(ISNA(VLOOKUP($Y$396,Master!A$8:N$127,3,FALSE)),"",VLOOKUP($Y$396,Master!A$8:AH$127,3,FALSE))</f>
        <v/>
      </c>
      <c r="Q496" s="115"/>
      <c r="R496" s="115"/>
      <c r="S496" s="115"/>
    </row>
    <row r="497" spans="1:27" ht="9" customHeight="1">
      <c r="E497" s="19"/>
      <c r="F497" s="53"/>
      <c r="G497" s="22"/>
      <c r="H497" s="22"/>
      <c r="I497" s="22"/>
      <c r="J497" s="5"/>
      <c r="K497" s="5"/>
      <c r="L497" s="5"/>
      <c r="M497" s="5"/>
      <c r="N497" s="5"/>
      <c r="O497" s="6"/>
      <c r="P497" s="6"/>
    </row>
    <row r="498" spans="1:27" ht="21" customHeight="1">
      <c r="A498" s="8">
        <v>1</v>
      </c>
      <c r="B498" s="23" t="str">
        <f>IFERROR(IF(ISNA(VLOOKUP(Y498,Master!A$8:N$127,8,FALSE)),"",VLOOKUP($Y498,Master!A$8:AH$127,8,FALSE)),"")</f>
        <v/>
      </c>
      <c r="C498" s="9" t="str">
        <f>IF(ISNA(VLOOKUP(Y498,Master!A$8:N$127,5,FALSE)),"",VLOOKUP(Y498,Master!A$8:AH$127,5,FALSE))</f>
        <v/>
      </c>
      <c r="D498" s="9" t="str">
        <f>IF(AND(C498=""),"",IF(AND(Y498=""),"",ROUND(C498*Master!C$5%,0)))</f>
        <v/>
      </c>
      <c r="E498" s="9" t="str">
        <f>IF(AND(C498=""),"",IF(AND(Y498=""),"",ROUND(C498*Master!H$5%,0)))</f>
        <v/>
      </c>
      <c r="F498" s="9" t="str">
        <f t="shared" ref="F498:F500" si="433">IF(AND(C498=""),"",SUM(C498:E498))</f>
        <v/>
      </c>
      <c r="G498" s="9" t="str">
        <f>IF(ISNA(VLOOKUP(Y498,Master!A$8:N$127,5,FALSE)),"",VLOOKUP(Y498,Master!A$8:AH$127,5,FALSE))</f>
        <v/>
      </c>
      <c r="H498" s="9" t="str">
        <f>IF(AND(G498=""),"",IF(AND(Y498=""),"",ROUND(G498*Master!C$4%,0)))</f>
        <v/>
      </c>
      <c r="I498" s="9" t="str">
        <f>IF(AND(G498=""),"",IF(AND(Y498=""),"",ROUND(G498*Master!H$4%,0)))</f>
        <v/>
      </c>
      <c r="J498" s="9" t="str">
        <f t="shared" ref="J498:J500" si="434">IF(AND(C498=""),"",SUM(G498:I498))</f>
        <v/>
      </c>
      <c r="K498" s="9" t="str">
        <f t="shared" ref="K498:K500" si="435">IF(AND(C498=""),"",IF(AND(G498=""),"",C498-G498))</f>
        <v/>
      </c>
      <c r="L498" s="9" t="str">
        <f t="shared" ref="L498:L500" si="436">IF(AND(D498=""),"",IF(AND(H498=""),"",D498-H498))</f>
        <v/>
      </c>
      <c r="M498" s="9" t="str">
        <f t="shared" ref="M498:M500" si="437">IF(AND(E498=""),"",IF(AND(I498=""),"",E498-I498))</f>
        <v/>
      </c>
      <c r="N498" s="9" t="str">
        <f t="shared" ref="N498:N500" si="438">IF(AND(F498=""),"",IF(AND(J498=""),"",F498-J498))</f>
        <v/>
      </c>
      <c r="O498" s="9" t="str">
        <f>IF(AND(C498=""),"",N498-P498)</f>
        <v/>
      </c>
      <c r="P498" s="9" t="str">
        <f>IF(AND(Y498=""),"",IF(AND(N498=""),"",ROUND(N498*AA$1%,0)))</f>
        <v/>
      </c>
      <c r="Q498" s="9" t="str">
        <f>IF(AND(Y498=""),"",IF(AND(C498=""),"",IF(AND(O498=""),"",SUM(O498,P498))))</f>
        <v/>
      </c>
      <c r="R498" s="9" t="str">
        <f>IF(AND(N498=""),"",IF(AND(Q498=""),"",N498-Q498))</f>
        <v/>
      </c>
      <c r="S498" s="20"/>
      <c r="X498" s="62" t="s">
        <v>62</v>
      </c>
      <c r="Y498" s="65">
        <v>45</v>
      </c>
    </row>
    <row r="499" spans="1:27" ht="21" customHeight="1">
      <c r="A499" s="8">
        <v>2</v>
      </c>
      <c r="B499" s="23" t="str">
        <f>IFERROR(DATE(YEAR(B498),MONTH(B498)+1,DAY(B498)),"")</f>
        <v/>
      </c>
      <c r="C499" s="9" t="str">
        <f>IF(AND(Y498=""),"",C498)</f>
        <v/>
      </c>
      <c r="D499" s="9" t="str">
        <f>IF(AND(C499=""),"",IF(AND(Y498=""),"",ROUND(C499*Master!C$5%,0)))</f>
        <v/>
      </c>
      <c r="E499" s="9" t="str">
        <f>IF(AND(C499=""),"",IF(AND(Y498=""),"",ROUND(C499*Master!H$5%,0)))</f>
        <v/>
      </c>
      <c r="F499" s="9" t="str">
        <f t="shared" si="433"/>
        <v/>
      </c>
      <c r="G499" s="9" t="str">
        <f>IF(AND(Y498=""),"",G498)</f>
        <v/>
      </c>
      <c r="H499" s="9" t="str">
        <f>IF(AND(G499=""),"",IF(AND(Y498=""),"",ROUND(G499*Master!C$4%,0)))</f>
        <v/>
      </c>
      <c r="I499" s="9" t="str">
        <f>IF(AND(G499=""),"",IF(AND(Y498=""),"",ROUND(G499*Master!H$4%,0)))</f>
        <v/>
      </c>
      <c r="J499" s="9" t="str">
        <f t="shared" si="434"/>
        <v/>
      </c>
      <c r="K499" s="9" t="str">
        <f t="shared" si="435"/>
        <v/>
      </c>
      <c r="L499" s="9" t="str">
        <f t="shared" si="436"/>
        <v/>
      </c>
      <c r="M499" s="9" t="str">
        <f t="shared" si="437"/>
        <v/>
      </c>
      <c r="N499" s="9" t="str">
        <f t="shared" si="438"/>
        <v/>
      </c>
      <c r="O499" s="9" t="str">
        <f t="shared" ref="O499:O500" si="439">IF(AND(C499=""),"",N499-P499)</f>
        <v/>
      </c>
      <c r="P499" s="9" t="str">
        <f>IF(AND(Y498=""),"",IF(AND(N499=""),"",ROUND(N499*AA$1%,0)))</f>
        <v/>
      </c>
      <c r="Q499" s="9" t="str">
        <f>IF(AND(Y498=""),"",IF(AND(C499=""),"",IF(AND(O499=""),"",SUM(O499,P499))))</f>
        <v/>
      </c>
      <c r="R499" s="9" t="str">
        <f t="shared" ref="R499:R500" si="440">IF(AND(N499=""),"",IF(AND(Q499=""),"",N499-Q499))</f>
        <v/>
      </c>
      <c r="S499" s="20"/>
      <c r="X499" s="4" t="str">
        <f>IF(ISNA(VLOOKUP(Y498,Master!A$8:N$127,7,FALSE)),"",VLOOKUP(Y498,Master!A$8:AH$127,7,FALSE))</f>
        <v/>
      </c>
    </row>
    <row r="500" spans="1:27" ht="21" customHeight="1">
      <c r="A500" s="8">
        <v>3</v>
      </c>
      <c r="B500" s="23" t="str">
        <f>IFERROR(DATE(YEAR(B499),MONTH(B499)+1,DAY(B499)),"")</f>
        <v/>
      </c>
      <c r="C500" s="9" t="str">
        <f>IF(AND(Y498=""),"",C499)</f>
        <v/>
      </c>
      <c r="D500" s="9" t="str">
        <f>IF(AND(C500=""),"",IF(AND(Y498=""),"",ROUND(C500*Master!C$5%,0)))</f>
        <v/>
      </c>
      <c r="E500" s="9" t="str">
        <f>IF(AND(C500=""),"",IF(AND(Y498=""),"",ROUND(C500*Master!H$5%,0)))</f>
        <v/>
      </c>
      <c r="F500" s="9" t="str">
        <f t="shared" si="433"/>
        <v/>
      </c>
      <c r="G500" s="9" t="str">
        <f>IF(AND(Y498=""),"",G499)</f>
        <v/>
      </c>
      <c r="H500" s="9" t="str">
        <f>IF(AND(G500=""),"",IF(AND(Y498=""),"",ROUND(G500*Master!C$4%,0)))</f>
        <v/>
      </c>
      <c r="I500" s="9" t="str">
        <f>IF(AND(G500=""),"",IF(AND(Y498=""),"",ROUND(G500*Master!H$4%,0)))</f>
        <v/>
      </c>
      <c r="J500" s="9" t="str">
        <f t="shared" si="434"/>
        <v/>
      </c>
      <c r="K500" s="9" t="str">
        <f t="shared" si="435"/>
        <v/>
      </c>
      <c r="L500" s="9" t="str">
        <f t="shared" si="436"/>
        <v/>
      </c>
      <c r="M500" s="9" t="str">
        <f t="shared" si="437"/>
        <v/>
      </c>
      <c r="N500" s="9" t="str">
        <f t="shared" si="438"/>
        <v/>
      </c>
      <c r="O500" s="9" t="str">
        <f t="shared" si="439"/>
        <v/>
      </c>
      <c r="P500" s="9" t="str">
        <f>IF(AND(Y498=""),"",IF(AND(N500=""),"",ROUND(N500*AA$1%,0)))</f>
        <v/>
      </c>
      <c r="Q500" s="9" t="str">
        <f>IF(AND(Y498=""),"",IF(AND(C500=""),"",IF(AND(O500=""),"",SUM(O500,P500))))</f>
        <v/>
      </c>
      <c r="R500" s="9" t="str">
        <f t="shared" si="440"/>
        <v/>
      </c>
      <c r="S500" s="20"/>
    </row>
    <row r="501" spans="1:27" ht="30.75" customHeight="1">
      <c r="A501" s="108" t="s">
        <v>9</v>
      </c>
      <c r="B501" s="109"/>
      <c r="C501" s="64">
        <f>IF(AND(Y498=""),"",SUM(C498:C500))</f>
        <v>0</v>
      </c>
      <c r="D501" s="64">
        <f>IF(AND(Y498=""),"",SUM(D498:D500))</f>
        <v>0</v>
      </c>
      <c r="E501" s="64">
        <f>IF(AND(Y498=""),"",SUM(E498:E500))</f>
        <v>0</v>
      </c>
      <c r="F501" s="64">
        <f>IF(AND(Y498=""),"",SUM(F498:F500))</f>
        <v>0</v>
      </c>
      <c r="G501" s="64">
        <f>IF(AND(Y498=""),"",SUM(G498:G500))</f>
        <v>0</v>
      </c>
      <c r="H501" s="64">
        <f>IF(AND(Y498=""),"",SUM(H498:H500))</f>
        <v>0</v>
      </c>
      <c r="I501" s="64">
        <f>IF(AND(Y498=""),"",SUM(I498:I500))</f>
        <v>0</v>
      </c>
      <c r="J501" s="64">
        <f>IF(AND(Y498=""),"",SUM(J498:J500))</f>
        <v>0</v>
      </c>
      <c r="K501" s="64">
        <f>IF(AND(Y498=""),"",SUM(K498:K500))</f>
        <v>0</v>
      </c>
      <c r="L501" s="64">
        <f>IF(AND(Y498=""),"",SUM(L498:L500))</f>
        <v>0</v>
      </c>
      <c r="M501" s="64">
        <f>IF(AND(Y498=""),"",SUM(M498:M500))</f>
        <v>0</v>
      </c>
      <c r="N501" s="64">
        <f>IF(AND(Y498=""),"",SUM(N498:N500))</f>
        <v>0</v>
      </c>
      <c r="O501" s="64">
        <f>IF(AND(Y498=""),"",SUM(O498:O500))</f>
        <v>0</v>
      </c>
      <c r="P501" s="64">
        <f>IF(AND(Y498=""),"",SUM(P498:P500))</f>
        <v>0</v>
      </c>
      <c r="Q501" s="64">
        <f>IF(AND(Y498=""),"",SUM(Q498:Q500))</f>
        <v>0</v>
      </c>
      <c r="R501" s="64">
        <f>IF(AND(Y498=""),"",SUM(R498:R500))</f>
        <v>0</v>
      </c>
      <c r="S501" s="50"/>
    </row>
    <row r="502" spans="1:27" ht="30.75" customHeight="1">
      <c r="A502" s="75"/>
      <c r="B502" s="75"/>
      <c r="C502" s="76"/>
      <c r="D502" s="76"/>
      <c r="E502" s="76"/>
      <c r="F502" s="76"/>
      <c r="G502" s="76"/>
      <c r="H502" s="76"/>
      <c r="I502" s="76"/>
      <c r="J502" s="76"/>
      <c r="K502" s="76"/>
      <c r="L502" s="76"/>
      <c r="M502" s="76"/>
      <c r="N502" s="76"/>
      <c r="O502" s="76"/>
      <c r="P502" s="76"/>
      <c r="Q502" s="76"/>
      <c r="R502" s="76"/>
      <c r="S502" s="77"/>
    </row>
    <row r="503" spans="1:27" ht="18.75">
      <c r="A503" s="21"/>
      <c r="B503" s="59"/>
      <c r="C503" s="59"/>
      <c r="D503" s="59"/>
      <c r="E503" s="59"/>
      <c r="F503" s="59"/>
      <c r="G503" s="59"/>
      <c r="H503" s="60"/>
      <c r="I503" s="60"/>
      <c r="J503" s="60"/>
      <c r="K503" s="68"/>
      <c r="L503" s="68"/>
      <c r="M503" s="68"/>
      <c r="N503" s="68"/>
      <c r="O503" s="107" t="s">
        <v>55</v>
      </c>
      <c r="P503" s="107"/>
      <c r="Q503" s="107"/>
      <c r="R503" s="107"/>
      <c r="S503" s="107"/>
    </row>
    <row r="504" spans="1:27" ht="18.75">
      <c r="A504" s="1"/>
      <c r="B504" s="24" t="s">
        <v>19</v>
      </c>
      <c r="C504" s="118"/>
      <c r="D504" s="118"/>
      <c r="E504" s="118"/>
      <c r="F504" s="118"/>
      <c r="G504" s="118"/>
      <c r="H504" s="25"/>
      <c r="I504" s="121" t="s">
        <v>20</v>
      </c>
      <c r="J504" s="121"/>
      <c r="K504" s="120"/>
      <c r="L504" s="120"/>
      <c r="M504" s="120"/>
      <c r="O504" s="107"/>
      <c r="P504" s="107"/>
      <c r="Q504" s="107"/>
      <c r="R504" s="107"/>
      <c r="S504" s="107"/>
    </row>
    <row r="505" spans="1:27" ht="18.75">
      <c r="A505" s="1"/>
      <c r="B505" s="119" t="s">
        <v>21</v>
      </c>
      <c r="C505" s="119"/>
      <c r="D505" s="119"/>
      <c r="E505" s="119"/>
      <c r="F505" s="119"/>
      <c r="G505" s="119"/>
      <c r="H505" s="119"/>
      <c r="I505" s="27"/>
      <c r="J505" s="26"/>
      <c r="K505" s="26"/>
      <c r="L505" s="26"/>
      <c r="M505" s="26"/>
    </row>
    <row r="506" spans="1:27" ht="18.75">
      <c r="A506" s="22">
        <v>1</v>
      </c>
      <c r="B506" s="117" t="s">
        <v>22</v>
      </c>
      <c r="C506" s="117"/>
      <c r="D506" s="117"/>
      <c r="E506" s="117"/>
      <c r="F506" s="117"/>
      <c r="G506" s="117"/>
      <c r="H506" s="117"/>
      <c r="I506" s="28"/>
      <c r="J506" s="26"/>
      <c r="K506" s="26"/>
      <c r="L506" s="26"/>
      <c r="M506" s="26"/>
    </row>
    <row r="507" spans="1:27" ht="18.75">
      <c r="A507" s="2">
        <v>2</v>
      </c>
      <c r="B507" s="117" t="s">
        <v>23</v>
      </c>
      <c r="C507" s="117"/>
      <c r="D507" s="117"/>
      <c r="E507" s="117"/>
      <c r="F507" s="117"/>
      <c r="G507" s="115"/>
      <c r="H507" s="115"/>
      <c r="I507" s="115"/>
      <c r="J507" s="115"/>
      <c r="K507" s="115"/>
      <c r="L507" s="115"/>
      <c r="M507" s="115"/>
    </row>
    <row r="508" spans="1:27" ht="18.75">
      <c r="A508" s="3">
        <v>3</v>
      </c>
      <c r="B508" s="117" t="s">
        <v>24</v>
      </c>
      <c r="C508" s="117"/>
      <c r="D508" s="117"/>
      <c r="E508" s="29"/>
      <c r="F508" s="28"/>
      <c r="G508" s="28"/>
      <c r="H508" s="30"/>
      <c r="I508" s="31"/>
      <c r="J508" s="26"/>
      <c r="K508" s="26"/>
      <c r="L508" s="26"/>
      <c r="M508" s="26"/>
    </row>
    <row r="509" spans="1:27" ht="15.75">
      <c r="O509" s="107" t="s">
        <v>55</v>
      </c>
      <c r="P509" s="107"/>
      <c r="Q509" s="107"/>
      <c r="R509" s="107"/>
      <c r="S509" s="107"/>
    </row>
    <row r="511" spans="1:27" ht="18" customHeight="1">
      <c r="A511" s="122" t="str">
        <f>A477</f>
        <v xml:space="preserve">DA (38%) Drawn Statement  </v>
      </c>
      <c r="B511" s="122"/>
      <c r="C511" s="122"/>
      <c r="D511" s="122"/>
      <c r="E511" s="122"/>
      <c r="F511" s="122"/>
      <c r="G511" s="122"/>
      <c r="H511" s="122"/>
      <c r="I511" s="122"/>
      <c r="J511" s="122"/>
      <c r="K511" s="122"/>
      <c r="L511" s="122"/>
      <c r="M511" s="122"/>
      <c r="N511" s="122"/>
      <c r="O511" s="122"/>
      <c r="P511" s="122"/>
      <c r="Q511" s="122"/>
      <c r="R511" s="122"/>
      <c r="S511" s="122"/>
      <c r="W511" s="4">
        <f>IF(ISNA(VLOOKUP($Y$3,Master!A$8:N$127,4,FALSE)),"",VLOOKUP($Y$3,Master!A$8:AH$127,4,FALSE))</f>
        <v>3</v>
      </c>
      <c r="X511" s="4" t="str">
        <f>IF(ISNA(VLOOKUP($Y$3,Master!A$8:N$127,6,FALSE)),"",VLOOKUP($Y$3,Master!A$8:AH$127,6,FALSE))</f>
        <v>GPF</v>
      </c>
      <c r="Y511" s="4" t="s">
        <v>58</v>
      </c>
      <c r="Z511" s="4" t="s">
        <v>18</v>
      </c>
      <c r="AA511" s="4" t="str">
        <f>IF(ISNA(VLOOKUP(Y513,Master!A$8:N$127,7,FALSE)),"",VLOOKUP(Y513,Master!A$8:AH$127,7,FALSE))</f>
        <v/>
      </c>
    </row>
    <row r="512" spans="1:27" ht="18">
      <c r="A512" s="114" t="str">
        <f>IF(AND(Master!C513=""),"",CONCATENATE("Office Of  ",Master!C513))</f>
        <v/>
      </c>
      <c r="B512" s="114"/>
      <c r="C512" s="114"/>
      <c r="D512" s="114"/>
      <c r="E512" s="114"/>
      <c r="F512" s="114"/>
      <c r="G512" s="114"/>
      <c r="H512" s="114"/>
      <c r="I512" s="114"/>
      <c r="J512" s="114"/>
      <c r="K512" s="114"/>
      <c r="L512" s="114"/>
      <c r="M512" s="114"/>
      <c r="N512" s="114"/>
      <c r="O512" s="114"/>
      <c r="P512" s="114"/>
      <c r="Q512" s="114"/>
      <c r="R512" s="114"/>
      <c r="S512" s="114"/>
      <c r="X512" s="4">
        <f>IF(ISNA(VLOOKUP($Y$3,Master!A$8:N$127,8,FALSE)),"",VLOOKUP($Y$3,Master!A$8:AH$127,8,FALSE))</f>
        <v>44743</v>
      </c>
      <c r="Y512" s="4" t="s">
        <v>56</v>
      </c>
    </row>
    <row r="513" spans="1:25" ht="18.75">
      <c r="E513" s="116" t="s">
        <v>10</v>
      </c>
      <c r="F513" s="116"/>
      <c r="G513" s="116"/>
      <c r="H513" s="116"/>
      <c r="I513" s="116"/>
      <c r="J513" s="115" t="str">
        <f>IF(ISNA(VLOOKUP(Y513,Master!A$8:N$127,2,FALSE)),"",VLOOKUP(Y513,Master!A$8:AH$127,2,FALSE))</f>
        <v/>
      </c>
      <c r="K513" s="115"/>
      <c r="L513" s="115"/>
      <c r="M513" s="115"/>
      <c r="N513" s="115"/>
      <c r="O513" s="61" t="s">
        <v>31</v>
      </c>
      <c r="P513" s="115" t="str">
        <f>IF(ISNA(VLOOKUP(Y513,Master!A$8:N$127,3,FALSE)),"",VLOOKUP(Y513,Master!A$8:AH$127,3,FALSE))</f>
        <v/>
      </c>
      <c r="Q513" s="115"/>
      <c r="R513" s="115"/>
      <c r="S513" s="115"/>
      <c r="X513" s="62" t="s">
        <v>62</v>
      </c>
      <c r="Y513" s="65">
        <v>46</v>
      </c>
    </row>
    <row r="514" spans="1:25" ht="8.25" customHeight="1">
      <c r="E514" s="19"/>
      <c r="F514" s="53"/>
      <c r="G514" s="22"/>
      <c r="H514" s="22"/>
      <c r="I514" s="22"/>
      <c r="J514" s="5"/>
      <c r="K514" s="5"/>
      <c r="L514" s="5"/>
      <c r="M514" s="5"/>
      <c r="N514" s="5"/>
      <c r="O514" s="6"/>
      <c r="P514" s="6"/>
    </row>
    <row r="515" spans="1:25" ht="24.75" customHeight="1">
      <c r="A515" s="110" t="s">
        <v>0</v>
      </c>
      <c r="B515" s="111" t="s">
        <v>3</v>
      </c>
      <c r="C515" s="112" t="s">
        <v>5</v>
      </c>
      <c r="D515" s="112"/>
      <c r="E515" s="112"/>
      <c r="F515" s="112"/>
      <c r="G515" s="112" t="s">
        <v>6</v>
      </c>
      <c r="H515" s="112"/>
      <c r="I515" s="112"/>
      <c r="J515" s="112"/>
      <c r="K515" s="112" t="s">
        <v>7</v>
      </c>
      <c r="L515" s="112"/>
      <c r="M515" s="112"/>
      <c r="N515" s="112"/>
      <c r="O515" s="97" t="s">
        <v>8</v>
      </c>
      <c r="P515" s="98"/>
      <c r="Q515" s="99"/>
      <c r="R515" s="105" t="s">
        <v>67</v>
      </c>
      <c r="S515" s="105" t="s">
        <v>50</v>
      </c>
    </row>
    <row r="516" spans="1:25" ht="69" customHeight="1">
      <c r="A516" s="110"/>
      <c r="B516" s="111"/>
      <c r="C516" s="55" t="s">
        <v>29</v>
      </c>
      <c r="D516" s="56" t="s">
        <v>1</v>
      </c>
      <c r="E516" s="57" t="s">
        <v>2</v>
      </c>
      <c r="F516" s="55" t="s">
        <v>59</v>
      </c>
      <c r="G516" s="55" t="s">
        <v>29</v>
      </c>
      <c r="H516" s="56" t="s">
        <v>1</v>
      </c>
      <c r="I516" s="57" t="s">
        <v>2</v>
      </c>
      <c r="J516" s="55" t="s">
        <v>60</v>
      </c>
      <c r="K516" s="55" t="s">
        <v>4</v>
      </c>
      <c r="L516" s="56" t="s">
        <v>1</v>
      </c>
      <c r="M516" s="57" t="s">
        <v>2</v>
      </c>
      <c r="N516" s="58" t="s">
        <v>61</v>
      </c>
      <c r="O516" s="54" t="s">
        <v>83</v>
      </c>
      <c r="P516" s="67" t="s">
        <v>51</v>
      </c>
      <c r="Q516" s="58" t="s">
        <v>66</v>
      </c>
      <c r="R516" s="105"/>
      <c r="S516" s="105"/>
    </row>
    <row r="517" spans="1:25" ht="18" customHeight="1">
      <c r="A517" s="7">
        <v>1</v>
      </c>
      <c r="B517" s="7">
        <v>2</v>
      </c>
      <c r="C517" s="7">
        <v>3</v>
      </c>
      <c r="D517" s="7">
        <v>4</v>
      </c>
      <c r="E517" s="7">
        <v>5</v>
      </c>
      <c r="F517" s="7">
        <v>6</v>
      </c>
      <c r="G517" s="7">
        <v>7</v>
      </c>
      <c r="H517" s="7">
        <v>8</v>
      </c>
      <c r="I517" s="7">
        <v>9</v>
      </c>
      <c r="J517" s="7">
        <v>10</v>
      </c>
      <c r="K517" s="7">
        <v>11</v>
      </c>
      <c r="L517" s="7">
        <v>12</v>
      </c>
      <c r="M517" s="7">
        <v>13</v>
      </c>
      <c r="N517" s="7">
        <v>14</v>
      </c>
      <c r="O517" s="7">
        <v>15</v>
      </c>
      <c r="P517" s="7">
        <v>17</v>
      </c>
      <c r="Q517" s="7">
        <v>18</v>
      </c>
      <c r="R517" s="7">
        <v>19</v>
      </c>
      <c r="S517" s="7">
        <v>20</v>
      </c>
    </row>
    <row r="518" spans="1:25" ht="21" customHeight="1">
      <c r="A518" s="8">
        <v>1</v>
      </c>
      <c r="B518" s="23" t="str">
        <f>IFERROR(IF(ISNA(VLOOKUP(Y513,Master!A$8:N$127,8,FALSE)),"",VLOOKUP($Y513,Master!A$8:AH$127,8,FALSE)),"")</f>
        <v/>
      </c>
      <c r="C518" s="9" t="str">
        <f>IF(ISNA(VLOOKUP(Y513,Master!A$8:N$127,5,FALSE)),"",VLOOKUP(Y513,Master!A$8:AH$127,5,FALSE))</f>
        <v/>
      </c>
      <c r="D518" s="9" t="str">
        <f>IF(AND(C518=""),"",IF(AND(Y513=""),"",ROUND(C518*Master!C$5%,0)))</f>
        <v/>
      </c>
      <c r="E518" s="9" t="str">
        <f>IF(AND(C518=""),"",IF(AND(Y513=""),"",ROUND(C518*Master!H$5%,0)))</f>
        <v/>
      </c>
      <c r="F518" s="9" t="str">
        <f t="shared" ref="F518" si="441">IF(AND(C518=""),"",SUM(C518:E518))</f>
        <v/>
      </c>
      <c r="G518" s="9" t="str">
        <f>IF(ISNA(VLOOKUP(Y513,Master!A$8:N$127,5,FALSE)),"",VLOOKUP(Y513,Master!A$8:AH$127,5,FALSE))</f>
        <v/>
      </c>
      <c r="H518" s="9" t="str">
        <f>IF(AND(G518=""),"",IF(AND(Y513=""),"",ROUND(G518*Master!C$4%,0)))</f>
        <v/>
      </c>
      <c r="I518" s="9" t="str">
        <f>IF(AND(G518=""),"",IF(AND(Y513=""),"",ROUND(G518*Master!H$4%,0)))</f>
        <v/>
      </c>
      <c r="J518" s="9" t="str">
        <f t="shared" ref="J518:J519" si="442">IF(AND(C518=""),"",SUM(G518:I518))</f>
        <v/>
      </c>
      <c r="K518" s="9" t="str">
        <f t="shared" ref="K518:K520" si="443">IF(AND(C518=""),"",IF(AND(G518=""),"",C518-G518))</f>
        <v/>
      </c>
      <c r="L518" s="9" t="str">
        <f t="shared" ref="L518:L520" si="444">IF(AND(D518=""),"",IF(AND(H518=""),"",D518-H518))</f>
        <v/>
      </c>
      <c r="M518" s="9" t="str">
        <f t="shared" ref="M518:M519" si="445">IF(AND(E518=""),"",IF(AND(I518=""),"",E518-I518))</f>
        <v/>
      </c>
      <c r="N518" s="9" t="str">
        <f t="shared" ref="N518:N519" si="446">IF(AND(F518=""),"",IF(AND(J518=""),"",F518-J518))</f>
        <v/>
      </c>
      <c r="O518" s="9" t="str">
        <f>IF(AND(C518=""),"",N518-P518)</f>
        <v/>
      </c>
      <c r="P518" s="9" t="str">
        <f>IF(AND(Y513=""),"",IF(AND(N518=""),"",ROUND(N518*AA$1%,0)))</f>
        <v/>
      </c>
      <c r="Q518" s="9" t="str">
        <f>IF(AND(Y513=""),"",IF(AND(C518=""),"",IF(AND(O518=""),"",SUM(O518,P518))))</f>
        <v/>
      </c>
      <c r="R518" s="9" t="str">
        <f>IF(AND(N518=""),"",IF(AND(Q518=""),"",N518-Q518))</f>
        <v/>
      </c>
      <c r="S518" s="20"/>
    </row>
    <row r="519" spans="1:25" ht="21" customHeight="1">
      <c r="A519" s="8">
        <v>2</v>
      </c>
      <c r="B519" s="23" t="str">
        <f>IFERROR(DATE(YEAR(B518),MONTH(B518)+1,DAY(B518)),"")</f>
        <v/>
      </c>
      <c r="C519" s="9" t="str">
        <f>IF(AND(Y513=""),"",C518)</f>
        <v/>
      </c>
      <c r="D519" s="9" t="str">
        <f>IF(AND(C519=""),"",IF(AND(Y513=""),"",ROUND(C519*Master!C$5%,0)))</f>
        <v/>
      </c>
      <c r="E519" s="9" t="str">
        <f>IF(AND(C519=""),"",IF(AND(Y513=""),"",ROUND(C519*Master!H$5%,0)))</f>
        <v/>
      </c>
      <c r="F519" s="9" t="str">
        <f>IF(AND(C519=""),"",SUM(C519:E519))</f>
        <v/>
      </c>
      <c r="G519" s="9" t="str">
        <f>IF(AND(Y513=""),"",G518)</f>
        <v/>
      </c>
      <c r="H519" s="9" t="str">
        <f>IF(AND(G519=""),"",IF(AND(Y513=""),"",ROUND(G519*Master!C$4%,0)))</f>
        <v/>
      </c>
      <c r="I519" s="9" t="str">
        <f>IF(AND(G519=""),"",IF(AND(Y513=""),"",ROUND(G519*Master!H$4%,0)))</f>
        <v/>
      </c>
      <c r="J519" s="9" t="str">
        <f t="shared" si="442"/>
        <v/>
      </c>
      <c r="K519" s="9" t="str">
        <f t="shared" si="443"/>
        <v/>
      </c>
      <c r="L519" s="9" t="str">
        <f t="shared" si="444"/>
        <v/>
      </c>
      <c r="M519" s="9" t="str">
        <f t="shared" si="445"/>
        <v/>
      </c>
      <c r="N519" s="9" t="str">
        <f t="shared" si="446"/>
        <v/>
      </c>
      <c r="O519" s="9" t="str">
        <f t="shared" ref="O519:O520" si="447">IF(AND(C519=""),"",N519-P519)</f>
        <v/>
      </c>
      <c r="P519" s="9" t="str">
        <f>IF(AND(Y513=""),"",IF(AND(N519=""),"",ROUND(N519*AA$1%,0)))</f>
        <v/>
      </c>
      <c r="Q519" s="9" t="str">
        <f>IF(AND(Y513=""),"",IF(AND(C519=""),"",IF(AND(O519=""),"",SUM(O519,P519))))</f>
        <v/>
      </c>
      <c r="R519" s="9" t="str">
        <f t="shared" ref="R519:R520" si="448">IF(AND(N519=""),"",IF(AND(Q519=""),"",N519-Q519))</f>
        <v/>
      </c>
      <c r="S519" s="20"/>
    </row>
    <row r="520" spans="1:25" ht="21" customHeight="1">
      <c r="A520" s="8">
        <v>3</v>
      </c>
      <c r="B520" s="23" t="str">
        <f>IFERROR(DATE(YEAR(B519),MONTH(B519)+1,DAY(B519)),"")</f>
        <v/>
      </c>
      <c r="C520" s="9" t="str">
        <f>IF(AND(Y513=""),"",C519)</f>
        <v/>
      </c>
      <c r="D520" s="9" t="str">
        <f>IF(AND(C520=""),"",IF(AND(Y513=""),"",ROUND(C520*Master!C$5%,0)))</f>
        <v/>
      </c>
      <c r="E520" s="9" t="str">
        <f>IF(AND(C520=""),"",IF(AND(Y513=""),"",ROUND(C520*Master!H$5%,0)))</f>
        <v/>
      </c>
      <c r="F520" s="9" t="str">
        <f t="shared" ref="F520" si="449">IF(AND(C520=""),"",SUM(C520:E520))</f>
        <v/>
      </c>
      <c r="G520" s="9" t="str">
        <f>IF(AND(Y513=""),"",G519)</f>
        <v/>
      </c>
      <c r="H520" s="9" t="str">
        <f>IF(AND(G520=""),"",IF(AND(Y513=""),"",ROUND(G520*Master!C$4%,0)))</f>
        <v/>
      </c>
      <c r="I520" s="9" t="str">
        <f>IF(AND(G520=""),"",IF(AND(Y513=""),"",ROUND(G520*Master!H$4%,0)))</f>
        <v/>
      </c>
      <c r="J520" s="9" t="str">
        <f>IF(AND(C520=""),"",SUM(G520:I520))</f>
        <v/>
      </c>
      <c r="K520" s="9" t="str">
        <f t="shared" si="443"/>
        <v/>
      </c>
      <c r="L520" s="9" t="str">
        <f t="shared" si="444"/>
        <v/>
      </c>
      <c r="M520" s="9" t="str">
        <f>IF(AND(E520=""),"",IF(AND(I520=""),"",E520-I520))</f>
        <v/>
      </c>
      <c r="N520" s="9" t="str">
        <f>IF(AND(F520=""),"",IF(AND(J520=""),"",F520-J520))</f>
        <v/>
      </c>
      <c r="O520" s="9" t="str">
        <f t="shared" si="447"/>
        <v/>
      </c>
      <c r="P520" s="9" t="str">
        <f>IF(AND(Y513=""),"",IF(AND(N520=""),"",ROUND(N520*AA$1%,0)))</f>
        <v/>
      </c>
      <c r="Q520" s="9" t="str">
        <f>IF(AND(Y513=""),"",IF(AND(C520=""),"",IF(AND(O520=""),"",SUM(O520,P520))))</f>
        <v/>
      </c>
      <c r="R520" s="9" t="str">
        <f t="shared" si="448"/>
        <v/>
      </c>
      <c r="S520" s="20"/>
    </row>
    <row r="521" spans="1:25" ht="23.25" customHeight="1">
      <c r="A521" s="108" t="s">
        <v>9</v>
      </c>
      <c r="B521" s="109"/>
      <c r="C521" s="64">
        <f>IF(AND(Y513=""),"",SUM(C518:C520))</f>
        <v>0</v>
      </c>
      <c r="D521" s="64">
        <f>IF(AND(Y513=""),"",SUM(D518:D520))</f>
        <v>0</v>
      </c>
      <c r="E521" s="64">
        <f>IF(AND(Y513=""),"",SUM(E518:E520))</f>
        <v>0</v>
      </c>
      <c r="F521" s="64">
        <f>IF(AND(Y513=""),"",SUM(F518:F520))</f>
        <v>0</v>
      </c>
      <c r="G521" s="64">
        <f>IF(AND(Y513=""),"",SUM(G518:G520))</f>
        <v>0</v>
      </c>
      <c r="H521" s="64">
        <f>IF(AND(Y513=""),"",SUM(H518:H520))</f>
        <v>0</v>
      </c>
      <c r="I521" s="64">
        <f>IF(AND(Y513=""),"",SUM(I518:I520))</f>
        <v>0</v>
      </c>
      <c r="J521" s="64">
        <f>IF(AND(Y513=""),"",SUM(J518:J520))</f>
        <v>0</v>
      </c>
      <c r="K521" s="64">
        <f>IF(AND(Y513=""),"",SUM(K518:K520))</f>
        <v>0</v>
      </c>
      <c r="L521" s="64">
        <f>IF(AND(Y513=""),"",SUM(L518:L520))</f>
        <v>0</v>
      </c>
      <c r="M521" s="64">
        <f>IF(AND(Y513=""),"",SUM(M518:M520))</f>
        <v>0</v>
      </c>
      <c r="N521" s="64">
        <f>IF(AND(Y513=""),"",SUM(N518:N520))</f>
        <v>0</v>
      </c>
      <c r="O521" s="64">
        <f>IF(AND(Y513=""),"",SUM(O518:O520))</f>
        <v>0</v>
      </c>
      <c r="P521" s="64">
        <f>IF(AND(Y513=""),"",SUM(P518:P520))</f>
        <v>0</v>
      </c>
      <c r="Q521" s="64">
        <f>IF(AND(Y513=""),"",SUM(Q518:Q520))</f>
        <v>0</v>
      </c>
      <c r="R521" s="64">
        <f>IF(AND(Y513=""),"",SUM(R518:R520))</f>
        <v>0</v>
      </c>
      <c r="S521" s="50"/>
    </row>
    <row r="522" spans="1:25" ht="10.5" customHeight="1">
      <c r="A522" s="75"/>
      <c r="B522" s="75"/>
      <c r="C522" s="76"/>
      <c r="D522" s="76"/>
      <c r="E522" s="76"/>
      <c r="F522" s="76"/>
      <c r="G522" s="76"/>
      <c r="H522" s="76"/>
      <c r="I522" s="76"/>
      <c r="J522" s="76"/>
      <c r="K522" s="76"/>
      <c r="L522" s="76"/>
      <c r="M522" s="76"/>
      <c r="N522" s="76"/>
      <c r="O522" s="76"/>
      <c r="P522" s="76"/>
      <c r="Q522" s="76"/>
      <c r="R522" s="76"/>
      <c r="S522" s="77"/>
    </row>
    <row r="523" spans="1:25" ht="23.25" customHeight="1">
      <c r="E523" s="116" t="s">
        <v>10</v>
      </c>
      <c r="F523" s="116"/>
      <c r="G523" s="116"/>
      <c r="H523" s="116"/>
      <c r="I523" s="116"/>
      <c r="J523" s="115" t="str">
        <f>IF(ISNA(VLOOKUP(Y525,Master!A$8:N$127,2,FALSE)),"",VLOOKUP(Y525,Master!A$8:AH$127,2,FALSE))</f>
        <v/>
      </c>
      <c r="K523" s="115"/>
      <c r="L523" s="115"/>
      <c r="M523" s="115"/>
      <c r="N523" s="115"/>
      <c r="O523" s="61" t="s">
        <v>31</v>
      </c>
      <c r="P523" s="115" t="str">
        <f>IF(ISNA(VLOOKUP(Y525,Master!A$8:N$127,3,FALSE)),"",VLOOKUP(Y525,Master!A$8:AH$127,3,FALSE))</f>
        <v/>
      </c>
      <c r="Q523" s="115"/>
      <c r="R523" s="115"/>
      <c r="S523" s="115"/>
    </row>
    <row r="524" spans="1:25" ht="9" customHeight="1">
      <c r="E524" s="19"/>
      <c r="F524" s="53"/>
      <c r="G524" s="22"/>
      <c r="H524" s="22"/>
      <c r="I524" s="22"/>
      <c r="J524" s="5"/>
      <c r="K524" s="5"/>
      <c r="L524" s="5"/>
      <c r="M524" s="5"/>
      <c r="N524" s="5"/>
      <c r="O524" s="6"/>
      <c r="P524" s="6"/>
    </row>
    <row r="525" spans="1:25" ht="21" customHeight="1">
      <c r="A525" s="8">
        <v>1</v>
      </c>
      <c r="B525" s="23" t="str">
        <f>IFERROR(IF(ISNA(VLOOKUP(Y525,Master!A$8:N$127,8,FALSE)),"",VLOOKUP($Y525,Master!A$8:AH$127,8,FALSE)),"")</f>
        <v/>
      </c>
      <c r="C525" s="9" t="str">
        <f>IF(ISNA(VLOOKUP(Y525,Master!A$8:N$127,5,FALSE)),"",VLOOKUP(Y525,Master!A$8:AH$127,5,FALSE))</f>
        <v/>
      </c>
      <c r="D525" s="9" t="str">
        <f>IF(AND(C525=""),"",IF(AND(Y525=""),"",ROUND(C525*Master!C$5%,0)))</f>
        <v/>
      </c>
      <c r="E525" s="9" t="str">
        <f>IF(AND(C525=""),"",IF(AND(Y525=""),"",ROUND(C525*Master!H$5%,0)))</f>
        <v/>
      </c>
      <c r="F525" s="9" t="str">
        <f t="shared" ref="F525:F527" si="450">IF(AND(C525=""),"",SUM(C525:E525))</f>
        <v/>
      </c>
      <c r="G525" s="9" t="str">
        <f>IF(ISNA(VLOOKUP(Y525,Master!A$8:N$127,5,FALSE)),"",VLOOKUP(Y525,Master!A$8:AH$127,5,FALSE))</f>
        <v/>
      </c>
      <c r="H525" s="9" t="str">
        <f>IF(AND(G525=""),"",IF(AND(Y525=""),"",ROUND(G525*Master!C$4%,0)))</f>
        <v/>
      </c>
      <c r="I525" s="9" t="str">
        <f>IF(AND(G525=""),"",IF(AND(Y525=""),"",ROUND(G525*Master!H$4%,0)))</f>
        <v/>
      </c>
      <c r="J525" s="9" t="str">
        <f t="shared" ref="J525:J527" si="451">IF(AND(C525=""),"",SUM(G525:I525))</f>
        <v/>
      </c>
      <c r="K525" s="9" t="str">
        <f t="shared" ref="K525" si="452">IF(AND(C525=""),"",IF(AND(G525=""),"",C525-G525))</f>
        <v/>
      </c>
      <c r="L525" s="9" t="str">
        <f>IF(AND(D525=""),"",IF(AND(H525=""),"",D525-H525))</f>
        <v/>
      </c>
      <c r="M525" s="9" t="str">
        <f t="shared" ref="M525:M527" si="453">IF(AND(E525=""),"",IF(AND(I525=""),"",E525-I525))</f>
        <v/>
      </c>
      <c r="N525" s="9" t="str">
        <f t="shared" ref="N525:N527" si="454">IF(AND(F525=""),"",IF(AND(J525=""),"",F525-J525))</f>
        <v/>
      </c>
      <c r="O525" s="9" t="str">
        <f>IF(AND(C525=""),"",N525-P525)</f>
        <v/>
      </c>
      <c r="P525" s="9" t="str">
        <f>IF(AND(Y525=""),"",IF(AND(N525=""),"",ROUND(N525*X$16%,0)))</f>
        <v/>
      </c>
      <c r="Q525" s="9" t="str">
        <f>IF(AND(Y525=""),"",IF(AND(C525=""),"",IF(AND(O525=""),"",SUM(O525,P525))))</f>
        <v/>
      </c>
      <c r="R525" s="9" t="str">
        <f>IF(AND(N525=""),"",IF(AND(Q525=""),"",N525-Q525))</f>
        <v/>
      </c>
      <c r="S525" s="20"/>
      <c r="X525" s="62" t="s">
        <v>62</v>
      </c>
      <c r="Y525" s="65">
        <v>47</v>
      </c>
    </row>
    <row r="526" spans="1:25" ht="21" customHeight="1">
      <c r="A526" s="8">
        <v>2</v>
      </c>
      <c r="B526" s="23" t="str">
        <f>IFERROR(DATE(YEAR(B525),MONTH(B525)+1,DAY(B525)),"")</f>
        <v/>
      </c>
      <c r="C526" s="9" t="str">
        <f>IF(AND(Y525=""),"",C525)</f>
        <v/>
      </c>
      <c r="D526" s="9" t="str">
        <f>IF(AND(C526=""),"",IF(AND(Y525=""),"",ROUND(C526*Master!C$5%,0)))</f>
        <v/>
      </c>
      <c r="E526" s="9" t="str">
        <f>IF(AND(C526=""),"",IF(AND(Y525=""),"",ROUND(C526*Master!H$5%,0)))</f>
        <v/>
      </c>
      <c r="F526" s="9" t="str">
        <f t="shared" si="450"/>
        <v/>
      </c>
      <c r="G526" s="9" t="str">
        <f>IF(AND(Y525=""),"",G525)</f>
        <v/>
      </c>
      <c r="H526" s="9" t="str">
        <f>IF(AND(G526=""),"",IF(AND(Y525=""),"",ROUND(G526*Master!C$4%,0)))</f>
        <v/>
      </c>
      <c r="I526" s="9" t="str">
        <f>IF(AND(G526=""),"",IF(AND(Y525=""),"",ROUND(G526*Master!H$4%,0)))</f>
        <v/>
      </c>
      <c r="J526" s="9" t="str">
        <f t="shared" si="451"/>
        <v/>
      </c>
      <c r="K526" s="9" t="str">
        <f>IF(AND(C526=""),"",IF(AND(G526=""),"",C526-G526))</f>
        <v/>
      </c>
      <c r="L526" s="9" t="str">
        <f t="shared" ref="L526:L527" si="455">IF(AND(D526=""),"",IF(AND(H526=""),"",D526-H526))</f>
        <v/>
      </c>
      <c r="M526" s="9" t="str">
        <f t="shared" si="453"/>
        <v/>
      </c>
      <c r="N526" s="9" t="str">
        <f t="shared" si="454"/>
        <v/>
      </c>
      <c r="O526" s="9" t="str">
        <f t="shared" ref="O526:O527" si="456">IF(AND(C526=""),"",N526-P526)</f>
        <v/>
      </c>
      <c r="P526" s="9" t="str">
        <f>IF(AND(Y525=""),"",IF(AND(N526=""),"",ROUND(N526*X$16%,0)))</f>
        <v/>
      </c>
      <c r="Q526" s="9" t="str">
        <f>IF(AND(Y525=""),"",IF(AND(C526=""),"",IF(AND(O526=""),"",SUM(O526,P526))))</f>
        <v/>
      </c>
      <c r="R526" s="9" t="str">
        <f t="shared" ref="R526:R527" si="457">IF(AND(N526=""),"",IF(AND(Q526=""),"",N526-Q526))</f>
        <v/>
      </c>
      <c r="S526" s="20"/>
      <c r="X526" s="4" t="str">
        <f>IF(ISNA(VLOOKUP(Y525,Master!A$8:N$127,7,FALSE)),"",VLOOKUP(Y525,Master!A$8:AH$127,7,FALSE))</f>
        <v/>
      </c>
    </row>
    <row r="527" spans="1:25" ht="21" customHeight="1">
      <c r="A527" s="8">
        <v>3</v>
      </c>
      <c r="B527" s="23" t="str">
        <f>IFERROR(DATE(YEAR(B526),MONTH(B526)+1,DAY(B526)),"")</f>
        <v/>
      </c>
      <c r="C527" s="9" t="str">
        <f>IF(AND(Y525=""),"",C526)</f>
        <v/>
      </c>
      <c r="D527" s="9" t="str">
        <f>IF(AND(C527=""),"",IF(AND(Y525=""),"",ROUND(C527*Master!C$5%,0)))</f>
        <v/>
      </c>
      <c r="E527" s="9" t="str">
        <f>IF(AND(C527=""),"",IF(AND(Y525=""),"",ROUND(C527*Master!H$5%,0)))</f>
        <v/>
      </c>
      <c r="F527" s="9" t="str">
        <f t="shared" si="450"/>
        <v/>
      </c>
      <c r="G527" s="9" t="str">
        <f>IF(AND(Y525=""),"",G526)</f>
        <v/>
      </c>
      <c r="H527" s="9" t="str">
        <f>IF(AND(G527=""),"",IF(AND(Y525=""),"",ROUND(G527*Master!C$4%,0)))</f>
        <v/>
      </c>
      <c r="I527" s="9" t="str">
        <f>IF(AND(G527=""),"",IF(AND(Y525=""),"",ROUND(G527*Master!H$4%,0)))</f>
        <v/>
      </c>
      <c r="J527" s="9" t="str">
        <f t="shared" si="451"/>
        <v/>
      </c>
      <c r="K527" s="9" t="str">
        <f t="shared" ref="K527" si="458">IF(AND(C527=""),"",IF(AND(G527=""),"",C527-G527))</f>
        <v/>
      </c>
      <c r="L527" s="9" t="str">
        <f t="shared" si="455"/>
        <v/>
      </c>
      <c r="M527" s="9" t="str">
        <f t="shared" si="453"/>
        <v/>
      </c>
      <c r="N527" s="9" t="str">
        <f t="shared" si="454"/>
        <v/>
      </c>
      <c r="O527" s="9" t="str">
        <f t="shared" si="456"/>
        <v/>
      </c>
      <c r="P527" s="9" t="str">
        <f>IF(AND(Y525=""),"",IF(AND(N527=""),"",ROUND(N527*X$16%,0)))</f>
        <v/>
      </c>
      <c r="Q527" s="9" t="str">
        <f>IF(AND(Y525=""),"",IF(AND(C527=""),"",IF(AND(O527=""),"",SUM(O527,P527))))</f>
        <v/>
      </c>
      <c r="R527" s="9" t="str">
        <f t="shared" si="457"/>
        <v/>
      </c>
      <c r="S527" s="20"/>
    </row>
    <row r="528" spans="1:25" ht="30.75" customHeight="1">
      <c r="A528" s="108" t="s">
        <v>9</v>
      </c>
      <c r="B528" s="109"/>
      <c r="C528" s="64">
        <f>IF(AND(Y525=""),"",SUM(C525:C527))</f>
        <v>0</v>
      </c>
      <c r="D528" s="64">
        <f>IF(AND(Y525=""),"",SUM(D525:D527))</f>
        <v>0</v>
      </c>
      <c r="E528" s="64">
        <f>IF(AND(Y525=""),"",SUM(E525:E527))</f>
        <v>0</v>
      </c>
      <c r="F528" s="64">
        <f>IF(AND(Y525=""),"",SUM(F525:F527))</f>
        <v>0</v>
      </c>
      <c r="G528" s="64">
        <f>IF(AND(Y525=""),"",SUM(G525:G527))</f>
        <v>0</v>
      </c>
      <c r="H528" s="64">
        <f>IF(AND(Y525=""),"",SUM(H525:H527))</f>
        <v>0</v>
      </c>
      <c r="I528" s="64">
        <f>IF(AND(Y525=""),"",SUM(I525:I527))</f>
        <v>0</v>
      </c>
      <c r="J528" s="64">
        <f>IF(AND(Y525=""),"",SUM(J525:J527))</f>
        <v>0</v>
      </c>
      <c r="K528" s="64">
        <f>IF(AND(Y525=""),"",SUM(K525:K527))</f>
        <v>0</v>
      </c>
      <c r="L528" s="64">
        <f>IF(AND(Y525=""),"",SUM(L525:L527))</f>
        <v>0</v>
      </c>
      <c r="M528" s="64">
        <f>IF(AND(Y525=""),"",SUM(M525:M527))</f>
        <v>0</v>
      </c>
      <c r="N528" s="64">
        <f>IF(AND(Y525=""),"",SUM(N525:N527))</f>
        <v>0</v>
      </c>
      <c r="O528" s="64">
        <f>IF(AND(Y525=""),"",SUM(O525:O527))</f>
        <v>0</v>
      </c>
      <c r="P528" s="64">
        <f>IF(AND(Y525=""),"",SUM(P525:P527))</f>
        <v>0</v>
      </c>
      <c r="Q528" s="64">
        <f>IF(AND(Y525=""),"",SUM(Q525:Q527))</f>
        <v>0</v>
      </c>
      <c r="R528" s="64">
        <f>IF(AND(Y525=""),"",SUM(R525:R527))</f>
        <v>0</v>
      </c>
      <c r="S528" s="50"/>
    </row>
    <row r="529" spans="1:25" ht="11.25" customHeight="1">
      <c r="A529" s="75"/>
      <c r="B529" s="75"/>
      <c r="C529" s="76"/>
      <c r="D529" s="76"/>
      <c r="E529" s="76"/>
      <c r="F529" s="76"/>
      <c r="G529" s="76"/>
      <c r="H529" s="76"/>
      <c r="I529" s="76"/>
      <c r="J529" s="76"/>
      <c r="K529" s="76"/>
      <c r="L529" s="76"/>
      <c r="M529" s="76"/>
      <c r="N529" s="76"/>
      <c r="O529" s="76"/>
      <c r="P529" s="76"/>
      <c r="Q529" s="76"/>
      <c r="R529" s="76"/>
      <c r="S529" s="77"/>
    </row>
    <row r="530" spans="1:25" ht="23.25" customHeight="1">
      <c r="E530" s="116" t="s">
        <v>10</v>
      </c>
      <c r="F530" s="116"/>
      <c r="G530" s="116"/>
      <c r="H530" s="116"/>
      <c r="I530" s="116"/>
      <c r="J530" s="115" t="str">
        <f>IF(ISNA(VLOOKUP(Y532,Master!A$8:N$127,2,FALSE)),"",VLOOKUP(Y532,Master!A$8:AH$127,2,FALSE))</f>
        <v/>
      </c>
      <c r="K530" s="115"/>
      <c r="L530" s="115"/>
      <c r="M530" s="115"/>
      <c r="N530" s="115"/>
      <c r="O530" s="61" t="s">
        <v>31</v>
      </c>
      <c r="P530" s="115" t="str">
        <f>IF(ISNA(VLOOKUP($Y$396,Master!A$8:N$127,3,FALSE)),"",VLOOKUP($Y$396,Master!A$8:AH$127,3,FALSE))</f>
        <v/>
      </c>
      <c r="Q530" s="115"/>
      <c r="R530" s="115"/>
      <c r="S530" s="115"/>
    </row>
    <row r="531" spans="1:25" ht="9" customHeight="1">
      <c r="E531" s="19"/>
      <c r="F531" s="53"/>
      <c r="G531" s="22"/>
      <c r="H531" s="22"/>
      <c r="I531" s="22"/>
      <c r="J531" s="5"/>
      <c r="K531" s="5"/>
      <c r="L531" s="5"/>
      <c r="M531" s="5"/>
      <c r="N531" s="5"/>
      <c r="O531" s="6"/>
      <c r="P531" s="6"/>
    </row>
    <row r="532" spans="1:25" ht="21" customHeight="1">
      <c r="A532" s="8">
        <v>1</v>
      </c>
      <c r="B532" s="23" t="str">
        <f>IFERROR(IF(ISNA(VLOOKUP(Y532,Master!A$8:N$127,8,FALSE)),"",VLOOKUP($Y532,Master!A$8:AH$127,8,FALSE)),"")</f>
        <v/>
      </c>
      <c r="C532" s="9" t="str">
        <f>IF(ISNA(VLOOKUP(Y532,Master!A$8:N$127,5,FALSE)),"",VLOOKUP(Y532,Master!A$8:AH$127,5,FALSE))</f>
        <v/>
      </c>
      <c r="D532" s="9" t="str">
        <f>IF(AND(C532=""),"",IF(AND(Y532=""),"",ROUND(C532*Master!C$5%,0)))</f>
        <v/>
      </c>
      <c r="E532" s="9" t="str">
        <f>IF(AND(C532=""),"",IF(AND(Y532=""),"",ROUND(C532*Master!H$5%,0)))</f>
        <v/>
      </c>
      <c r="F532" s="9" t="str">
        <f t="shared" ref="F532:F534" si="459">IF(AND(C532=""),"",SUM(C532:E532))</f>
        <v/>
      </c>
      <c r="G532" s="9" t="str">
        <f>IF(ISNA(VLOOKUP(Y532,Master!A$8:N$127,5,FALSE)),"",VLOOKUP(Y532,Master!A$8:AH$127,5,FALSE))</f>
        <v/>
      </c>
      <c r="H532" s="9" t="str">
        <f>IF(AND(G532=""),"",IF(AND(Y532=""),"",ROUND(G532*Master!C$4%,0)))</f>
        <v/>
      </c>
      <c r="I532" s="9" t="str">
        <f>IF(AND(G532=""),"",IF(AND(Y532=""),"",ROUND(G532*Master!H$4%,0)))</f>
        <v/>
      </c>
      <c r="J532" s="9" t="str">
        <f t="shared" ref="J532:J534" si="460">IF(AND(C532=""),"",SUM(G532:I532))</f>
        <v/>
      </c>
      <c r="K532" s="9" t="str">
        <f t="shared" ref="K532:K534" si="461">IF(AND(C532=""),"",IF(AND(G532=""),"",C532-G532))</f>
        <v/>
      </c>
      <c r="L532" s="9" t="str">
        <f t="shared" ref="L532:L534" si="462">IF(AND(D532=""),"",IF(AND(H532=""),"",D532-H532))</f>
        <v/>
      </c>
      <c r="M532" s="9" t="str">
        <f t="shared" ref="M532:M534" si="463">IF(AND(E532=""),"",IF(AND(I532=""),"",E532-I532))</f>
        <v/>
      </c>
      <c r="N532" s="9" t="str">
        <f t="shared" ref="N532:N534" si="464">IF(AND(F532=""),"",IF(AND(J532=""),"",F532-J532))</f>
        <v/>
      </c>
      <c r="O532" s="9" t="str">
        <f>IF(AND(C532=""),"",N532-P532)</f>
        <v/>
      </c>
      <c r="P532" s="9" t="str">
        <f>IF(AND(Y532=""),"",IF(AND(N532=""),"",ROUND(N532*AA$1%,0)))</f>
        <v/>
      </c>
      <c r="Q532" s="9" t="str">
        <f>IF(AND(Y532=""),"",IF(AND(C532=""),"",IF(AND(O532=""),"",SUM(O532,P532))))</f>
        <v/>
      </c>
      <c r="R532" s="9" t="str">
        <f>IF(AND(N532=""),"",IF(AND(Q532=""),"",N532-Q532))</f>
        <v/>
      </c>
      <c r="S532" s="20"/>
      <c r="X532" s="62" t="s">
        <v>62</v>
      </c>
      <c r="Y532" s="65">
        <v>48</v>
      </c>
    </row>
    <row r="533" spans="1:25" ht="21" customHeight="1">
      <c r="A533" s="8">
        <v>2</v>
      </c>
      <c r="B533" s="23" t="str">
        <f>IFERROR(DATE(YEAR(B532),MONTH(B532)+1,DAY(B532)),"")</f>
        <v/>
      </c>
      <c r="C533" s="9" t="str">
        <f>IF(AND(Y532=""),"",C532)</f>
        <v/>
      </c>
      <c r="D533" s="9" t="str">
        <f>IF(AND(C533=""),"",IF(AND(Y532=""),"",ROUND(C533*Master!C$5%,0)))</f>
        <v/>
      </c>
      <c r="E533" s="9" t="str">
        <f>IF(AND(C533=""),"",IF(AND(Y532=""),"",ROUND(C533*Master!H$5%,0)))</f>
        <v/>
      </c>
      <c r="F533" s="9" t="str">
        <f t="shared" si="459"/>
        <v/>
      </c>
      <c r="G533" s="9" t="str">
        <f>IF(AND(Y532=""),"",G532)</f>
        <v/>
      </c>
      <c r="H533" s="9" t="str">
        <f>IF(AND(G533=""),"",IF(AND(Y532=""),"",ROUND(G533*Master!C$4%,0)))</f>
        <v/>
      </c>
      <c r="I533" s="9" t="str">
        <f>IF(AND(G533=""),"",IF(AND(Y532=""),"",ROUND(G533*Master!H$4%,0)))</f>
        <v/>
      </c>
      <c r="J533" s="9" t="str">
        <f t="shared" si="460"/>
        <v/>
      </c>
      <c r="K533" s="9" t="str">
        <f t="shared" si="461"/>
        <v/>
      </c>
      <c r="L533" s="9" t="str">
        <f t="shared" si="462"/>
        <v/>
      </c>
      <c r="M533" s="9" t="str">
        <f t="shared" si="463"/>
        <v/>
      </c>
      <c r="N533" s="9" t="str">
        <f t="shared" si="464"/>
        <v/>
      </c>
      <c r="O533" s="9" t="str">
        <f t="shared" ref="O533:O534" si="465">IF(AND(C533=""),"",N533-P533)</f>
        <v/>
      </c>
      <c r="P533" s="9" t="str">
        <f>IF(AND(Y532=""),"",IF(AND(N533=""),"",ROUND(N533*AA$1%,0)))</f>
        <v/>
      </c>
      <c r="Q533" s="9" t="str">
        <f>IF(AND(Y532=""),"",IF(AND(C533=""),"",IF(AND(O533=""),"",SUM(O533,P533))))</f>
        <v/>
      </c>
      <c r="R533" s="9" t="str">
        <f t="shared" ref="R533:R534" si="466">IF(AND(N533=""),"",IF(AND(Q533=""),"",N533-Q533))</f>
        <v/>
      </c>
      <c r="S533" s="20"/>
      <c r="X533" s="4" t="str">
        <f>IF(ISNA(VLOOKUP(Y532,Master!A$8:N$127,7,FALSE)),"",VLOOKUP(Y532,Master!A$8:AH$127,7,FALSE))</f>
        <v/>
      </c>
    </row>
    <row r="534" spans="1:25" ht="21" customHeight="1">
      <c r="A534" s="8">
        <v>3</v>
      </c>
      <c r="B534" s="23" t="str">
        <f>IFERROR(DATE(YEAR(B533),MONTH(B533)+1,DAY(B533)),"")</f>
        <v/>
      </c>
      <c r="C534" s="9" t="str">
        <f>IF(AND(Y532=""),"",C533)</f>
        <v/>
      </c>
      <c r="D534" s="9" t="str">
        <f>IF(AND(C534=""),"",IF(AND(Y532=""),"",ROUND(C534*Master!C$5%,0)))</f>
        <v/>
      </c>
      <c r="E534" s="9" t="str">
        <f>IF(AND(C534=""),"",IF(AND(Y532=""),"",ROUND(C534*Master!H$5%,0)))</f>
        <v/>
      </c>
      <c r="F534" s="9" t="str">
        <f t="shared" si="459"/>
        <v/>
      </c>
      <c r="G534" s="9" t="str">
        <f>IF(AND(Y532=""),"",G533)</f>
        <v/>
      </c>
      <c r="H534" s="9" t="str">
        <f>IF(AND(G534=""),"",IF(AND(Y532=""),"",ROUND(G534*Master!C$4%,0)))</f>
        <v/>
      </c>
      <c r="I534" s="9" t="str">
        <f>IF(AND(G534=""),"",IF(AND(Y532=""),"",ROUND(G534*Master!H$4%,0)))</f>
        <v/>
      </c>
      <c r="J534" s="9" t="str">
        <f t="shared" si="460"/>
        <v/>
      </c>
      <c r="K534" s="9" t="str">
        <f t="shared" si="461"/>
        <v/>
      </c>
      <c r="L534" s="9" t="str">
        <f t="shared" si="462"/>
        <v/>
      </c>
      <c r="M534" s="9" t="str">
        <f t="shared" si="463"/>
        <v/>
      </c>
      <c r="N534" s="9" t="str">
        <f t="shared" si="464"/>
        <v/>
      </c>
      <c r="O534" s="9" t="str">
        <f t="shared" si="465"/>
        <v/>
      </c>
      <c r="P534" s="9" t="str">
        <f>IF(AND(Y532=""),"",IF(AND(N534=""),"",ROUND(N534*AA$1%,0)))</f>
        <v/>
      </c>
      <c r="Q534" s="9" t="str">
        <f>IF(AND(Y532=""),"",IF(AND(C534=""),"",IF(AND(O534=""),"",SUM(O534,P534))))</f>
        <v/>
      </c>
      <c r="R534" s="9" t="str">
        <f t="shared" si="466"/>
        <v/>
      </c>
      <c r="S534" s="20"/>
    </row>
    <row r="535" spans="1:25" ht="30.75" customHeight="1">
      <c r="A535" s="108" t="s">
        <v>9</v>
      </c>
      <c r="B535" s="109"/>
      <c r="C535" s="64">
        <f>IF(AND(Y532=""),"",SUM(C532:C534))</f>
        <v>0</v>
      </c>
      <c r="D535" s="64">
        <f>IF(AND(Y532=""),"",SUM(D532:D534))</f>
        <v>0</v>
      </c>
      <c r="E535" s="64">
        <f>IF(AND(Y532=""),"",SUM(E532:E534))</f>
        <v>0</v>
      </c>
      <c r="F535" s="64">
        <f>IF(AND(Y532=""),"",SUM(F532:F534))</f>
        <v>0</v>
      </c>
      <c r="G535" s="64">
        <f>IF(AND(Y532=""),"",SUM(G532:G534))</f>
        <v>0</v>
      </c>
      <c r="H535" s="64">
        <f>IF(AND(Y532=""),"",SUM(H532:H534))</f>
        <v>0</v>
      </c>
      <c r="I535" s="64">
        <f>IF(AND(Y532=""),"",SUM(I532:I534))</f>
        <v>0</v>
      </c>
      <c r="J535" s="64">
        <f>IF(AND(Y532=""),"",SUM(J532:J534))</f>
        <v>0</v>
      </c>
      <c r="K535" s="64">
        <f>IF(AND(Y532=""),"",SUM(K532:K534))</f>
        <v>0</v>
      </c>
      <c r="L535" s="64">
        <f>IF(AND(Y532=""),"",SUM(L532:L534))</f>
        <v>0</v>
      </c>
      <c r="M535" s="64">
        <f>IF(AND(Y532=""),"",SUM(M532:M534))</f>
        <v>0</v>
      </c>
      <c r="N535" s="64">
        <f>IF(AND(Y532=""),"",SUM(N532:N534))</f>
        <v>0</v>
      </c>
      <c r="O535" s="64">
        <f>IF(AND(Y532=""),"",SUM(O532:O534))</f>
        <v>0</v>
      </c>
      <c r="P535" s="64">
        <f>IF(AND(Y532=""),"",SUM(P532:P534))</f>
        <v>0</v>
      </c>
      <c r="Q535" s="64">
        <f>IF(AND(Y532=""),"",SUM(Q532:Q534))</f>
        <v>0</v>
      </c>
      <c r="R535" s="64">
        <f>IF(AND(Y532=""),"",SUM(R532:R534))</f>
        <v>0</v>
      </c>
      <c r="S535" s="50"/>
    </row>
    <row r="536" spans="1:25" ht="30.75" customHeight="1">
      <c r="A536" s="75"/>
      <c r="B536" s="75"/>
      <c r="C536" s="76"/>
      <c r="D536" s="76"/>
      <c r="E536" s="76"/>
      <c r="F536" s="76"/>
      <c r="G536" s="76"/>
      <c r="H536" s="76"/>
      <c r="I536" s="76"/>
      <c r="J536" s="76"/>
      <c r="K536" s="76"/>
      <c r="L536" s="76"/>
      <c r="M536" s="76"/>
      <c r="N536" s="76"/>
      <c r="O536" s="76"/>
      <c r="P536" s="76"/>
      <c r="Q536" s="76"/>
      <c r="R536" s="76"/>
      <c r="S536" s="77"/>
    </row>
    <row r="537" spans="1:25" ht="18.75">
      <c r="A537" s="21"/>
      <c r="B537" s="59"/>
      <c r="C537" s="59"/>
      <c r="D537" s="59"/>
      <c r="E537" s="59"/>
      <c r="F537" s="59"/>
      <c r="G537" s="59"/>
      <c r="H537" s="60"/>
      <c r="I537" s="60"/>
      <c r="J537" s="60"/>
      <c r="K537" s="68"/>
      <c r="L537" s="68"/>
      <c r="M537" s="68"/>
      <c r="N537" s="68"/>
      <c r="O537" s="107" t="s">
        <v>55</v>
      </c>
      <c r="P537" s="107"/>
      <c r="Q537" s="107"/>
      <c r="R537" s="107"/>
      <c r="S537" s="107"/>
    </row>
    <row r="538" spans="1:25" ht="18.75">
      <c r="A538" s="1"/>
      <c r="B538" s="24" t="s">
        <v>19</v>
      </c>
      <c r="C538" s="118"/>
      <c r="D538" s="118"/>
      <c r="E538" s="118"/>
      <c r="F538" s="118"/>
      <c r="G538" s="118"/>
      <c r="H538" s="25"/>
      <c r="I538" s="121" t="s">
        <v>20</v>
      </c>
      <c r="J538" s="121"/>
      <c r="K538" s="120"/>
      <c r="L538" s="120"/>
      <c r="M538" s="120"/>
      <c r="O538" s="107"/>
      <c r="P538" s="107"/>
      <c r="Q538" s="107"/>
      <c r="R538" s="107"/>
      <c r="S538" s="107"/>
    </row>
    <row r="539" spans="1:25" ht="18.75">
      <c r="A539" s="1"/>
      <c r="B539" s="119" t="s">
        <v>21</v>
      </c>
      <c r="C539" s="119"/>
      <c r="D539" s="119"/>
      <c r="E539" s="119"/>
      <c r="F539" s="119"/>
      <c r="G539" s="119"/>
      <c r="H539" s="119"/>
      <c r="I539" s="27"/>
      <c r="J539" s="26"/>
      <c r="K539" s="26"/>
      <c r="L539" s="26"/>
      <c r="M539" s="26"/>
    </row>
    <row r="540" spans="1:25" ht="18.75">
      <c r="A540" s="22">
        <v>1</v>
      </c>
      <c r="B540" s="117" t="s">
        <v>22</v>
      </c>
      <c r="C540" s="117"/>
      <c r="D540" s="117"/>
      <c r="E540" s="117"/>
      <c r="F540" s="117"/>
      <c r="G540" s="117"/>
      <c r="H540" s="117"/>
      <c r="I540" s="28"/>
      <c r="J540" s="26"/>
      <c r="K540" s="26"/>
      <c r="L540" s="26"/>
      <c r="M540" s="26"/>
    </row>
    <row r="541" spans="1:25" ht="18.75">
      <c r="A541" s="2">
        <v>2</v>
      </c>
      <c r="B541" s="117" t="s">
        <v>23</v>
      </c>
      <c r="C541" s="117"/>
      <c r="D541" s="117"/>
      <c r="E541" s="117"/>
      <c r="F541" s="117"/>
      <c r="G541" s="115"/>
      <c r="H541" s="115"/>
      <c r="I541" s="115"/>
      <c r="J541" s="115"/>
      <c r="K541" s="115"/>
      <c r="L541" s="115"/>
      <c r="M541" s="115"/>
    </row>
    <row r="542" spans="1:25" ht="18.75">
      <c r="A542" s="3">
        <v>3</v>
      </c>
      <c r="B542" s="117" t="s">
        <v>24</v>
      </c>
      <c r="C542" s="117"/>
      <c r="D542" s="117"/>
      <c r="E542" s="29"/>
      <c r="F542" s="28"/>
      <c r="G542" s="28"/>
      <c r="H542" s="30"/>
      <c r="I542" s="31"/>
      <c r="J542" s="26"/>
      <c r="K542" s="26"/>
      <c r="L542" s="26"/>
      <c r="M542" s="26"/>
    </row>
    <row r="543" spans="1:25" ht="15.75">
      <c r="O543" s="107" t="s">
        <v>55</v>
      </c>
      <c r="P543" s="107"/>
      <c r="Q543" s="107"/>
      <c r="R543" s="107"/>
      <c r="S543" s="107"/>
    </row>
    <row r="545" spans="1:27" ht="18" customHeight="1">
      <c r="A545" s="122" t="str">
        <f>A511</f>
        <v xml:space="preserve">DA (38%) Drawn Statement  </v>
      </c>
      <c r="B545" s="122"/>
      <c r="C545" s="122"/>
      <c r="D545" s="122"/>
      <c r="E545" s="122"/>
      <c r="F545" s="122"/>
      <c r="G545" s="122"/>
      <c r="H545" s="122"/>
      <c r="I545" s="122"/>
      <c r="J545" s="122"/>
      <c r="K545" s="122"/>
      <c r="L545" s="122"/>
      <c r="M545" s="122"/>
      <c r="N545" s="122"/>
      <c r="O545" s="122"/>
      <c r="P545" s="122"/>
      <c r="Q545" s="122"/>
      <c r="R545" s="122"/>
      <c r="S545" s="122"/>
      <c r="W545" s="4">
        <f>IF(ISNA(VLOOKUP($Y$3,Master!A$8:N$127,4,FALSE)),"",VLOOKUP($Y$3,Master!A$8:AH$127,4,FALSE))</f>
        <v>3</v>
      </c>
      <c r="X545" s="4" t="str">
        <f>IF(ISNA(VLOOKUP($Y$3,Master!A$8:N$127,6,FALSE)),"",VLOOKUP($Y$3,Master!A$8:AH$127,6,FALSE))</f>
        <v>GPF</v>
      </c>
      <c r="Y545" s="4" t="s">
        <v>58</v>
      </c>
      <c r="Z545" s="4" t="s">
        <v>18</v>
      </c>
      <c r="AA545" s="4" t="str">
        <f>IF(ISNA(VLOOKUP(Y547,Master!A$8:N$127,7,FALSE)),"",VLOOKUP(Y547,Master!A$8:AH$127,7,FALSE))</f>
        <v/>
      </c>
    </row>
    <row r="546" spans="1:27" ht="18">
      <c r="A546" s="114" t="str">
        <f>IF(AND(Master!C547=""),"",CONCATENATE("Office Of  ",Master!C547))</f>
        <v/>
      </c>
      <c r="B546" s="114"/>
      <c r="C546" s="114"/>
      <c r="D546" s="114"/>
      <c r="E546" s="114"/>
      <c r="F546" s="114"/>
      <c r="G546" s="114"/>
      <c r="H546" s="114"/>
      <c r="I546" s="114"/>
      <c r="J546" s="114"/>
      <c r="K546" s="114"/>
      <c r="L546" s="114"/>
      <c r="M546" s="114"/>
      <c r="N546" s="114"/>
      <c r="O546" s="114"/>
      <c r="P546" s="114"/>
      <c r="Q546" s="114"/>
      <c r="R546" s="114"/>
      <c r="S546" s="114"/>
      <c r="X546" s="4">
        <f>IF(ISNA(VLOOKUP($Y$3,Master!A$8:N$127,8,FALSE)),"",VLOOKUP($Y$3,Master!A$8:AH$127,8,FALSE))</f>
        <v>44743</v>
      </c>
      <c r="Y546" s="4" t="s">
        <v>56</v>
      </c>
    </row>
    <row r="547" spans="1:27" ht="18.75">
      <c r="E547" s="116" t="s">
        <v>10</v>
      </c>
      <c r="F547" s="116"/>
      <c r="G547" s="116"/>
      <c r="H547" s="116"/>
      <c r="I547" s="116"/>
      <c r="J547" s="115" t="str">
        <f>IF(ISNA(VLOOKUP(Y547,Master!A$8:N$127,2,FALSE)),"",VLOOKUP(Y547,Master!A$8:AH$127,2,FALSE))</f>
        <v/>
      </c>
      <c r="K547" s="115"/>
      <c r="L547" s="115"/>
      <c r="M547" s="115"/>
      <c r="N547" s="115"/>
      <c r="O547" s="61" t="s">
        <v>31</v>
      </c>
      <c r="P547" s="115" t="str">
        <f>IF(ISNA(VLOOKUP(Y547,Master!A$8:N$127,3,FALSE)),"",VLOOKUP(Y547,Master!A$8:AH$127,3,FALSE))</f>
        <v/>
      </c>
      <c r="Q547" s="115"/>
      <c r="R547" s="115"/>
      <c r="S547" s="115"/>
      <c r="X547" s="62" t="s">
        <v>62</v>
      </c>
      <c r="Y547" s="65">
        <v>49</v>
      </c>
    </row>
    <row r="548" spans="1:27" ht="8.25" customHeight="1">
      <c r="E548" s="19"/>
      <c r="F548" s="53"/>
      <c r="G548" s="22"/>
      <c r="H548" s="22"/>
      <c r="I548" s="22"/>
      <c r="J548" s="5"/>
      <c r="K548" s="5"/>
      <c r="L548" s="5"/>
      <c r="M548" s="5"/>
      <c r="N548" s="5"/>
      <c r="O548" s="6"/>
      <c r="P548" s="6"/>
    </row>
    <row r="549" spans="1:27" ht="24.75" customHeight="1">
      <c r="A549" s="110" t="s">
        <v>0</v>
      </c>
      <c r="B549" s="111" t="s">
        <v>3</v>
      </c>
      <c r="C549" s="112" t="s">
        <v>5</v>
      </c>
      <c r="D549" s="112"/>
      <c r="E549" s="112"/>
      <c r="F549" s="112"/>
      <c r="G549" s="112" t="s">
        <v>6</v>
      </c>
      <c r="H549" s="112"/>
      <c r="I549" s="112"/>
      <c r="J549" s="112"/>
      <c r="K549" s="112" t="s">
        <v>7</v>
      </c>
      <c r="L549" s="112"/>
      <c r="M549" s="112"/>
      <c r="N549" s="112"/>
      <c r="O549" s="97" t="s">
        <v>8</v>
      </c>
      <c r="P549" s="98"/>
      <c r="Q549" s="99"/>
      <c r="R549" s="105" t="s">
        <v>67</v>
      </c>
      <c r="S549" s="105" t="s">
        <v>50</v>
      </c>
    </row>
    <row r="550" spans="1:27" ht="69" customHeight="1">
      <c r="A550" s="110"/>
      <c r="B550" s="111"/>
      <c r="C550" s="55" t="s">
        <v>29</v>
      </c>
      <c r="D550" s="56" t="s">
        <v>1</v>
      </c>
      <c r="E550" s="57" t="s">
        <v>2</v>
      </c>
      <c r="F550" s="55" t="s">
        <v>59</v>
      </c>
      <c r="G550" s="55" t="s">
        <v>29</v>
      </c>
      <c r="H550" s="56" t="s">
        <v>1</v>
      </c>
      <c r="I550" s="57" t="s">
        <v>2</v>
      </c>
      <c r="J550" s="55" t="s">
        <v>60</v>
      </c>
      <c r="K550" s="55" t="s">
        <v>4</v>
      </c>
      <c r="L550" s="56" t="s">
        <v>1</v>
      </c>
      <c r="M550" s="57" t="s">
        <v>2</v>
      </c>
      <c r="N550" s="58" t="s">
        <v>61</v>
      </c>
      <c r="O550" s="54" t="s">
        <v>83</v>
      </c>
      <c r="P550" s="67" t="s">
        <v>51</v>
      </c>
      <c r="Q550" s="58" t="s">
        <v>66</v>
      </c>
      <c r="R550" s="105"/>
      <c r="S550" s="105"/>
    </row>
    <row r="551" spans="1:27" ht="18" customHeight="1">
      <c r="A551" s="7">
        <v>1</v>
      </c>
      <c r="B551" s="7">
        <v>2</v>
      </c>
      <c r="C551" s="7">
        <v>3</v>
      </c>
      <c r="D551" s="7">
        <v>4</v>
      </c>
      <c r="E551" s="7">
        <v>5</v>
      </c>
      <c r="F551" s="7">
        <v>6</v>
      </c>
      <c r="G551" s="7">
        <v>7</v>
      </c>
      <c r="H551" s="7">
        <v>8</v>
      </c>
      <c r="I551" s="7">
        <v>9</v>
      </c>
      <c r="J551" s="7">
        <v>10</v>
      </c>
      <c r="K551" s="7">
        <v>11</v>
      </c>
      <c r="L551" s="7">
        <v>12</v>
      </c>
      <c r="M551" s="7">
        <v>13</v>
      </c>
      <c r="N551" s="7">
        <v>14</v>
      </c>
      <c r="O551" s="7">
        <v>15</v>
      </c>
      <c r="P551" s="7">
        <v>17</v>
      </c>
      <c r="Q551" s="7">
        <v>18</v>
      </c>
      <c r="R551" s="7">
        <v>19</v>
      </c>
      <c r="S551" s="7">
        <v>20</v>
      </c>
    </row>
    <row r="552" spans="1:27" ht="21" customHeight="1">
      <c r="A552" s="8">
        <v>1</v>
      </c>
      <c r="B552" s="23" t="str">
        <f>IFERROR(IF(ISNA(VLOOKUP(Y547,Master!A$8:N$127,8,FALSE)),"",VLOOKUP($Y547,Master!A$8:AH$127,8,FALSE)),"")</f>
        <v/>
      </c>
      <c r="C552" s="9" t="str">
        <f>IF(ISNA(VLOOKUP(Y547,Master!A$8:N$127,5,FALSE)),"",VLOOKUP(Y547,Master!A$8:AH$127,5,FALSE))</f>
        <v/>
      </c>
      <c r="D552" s="9" t="str">
        <f>IF(AND(C552=""),"",IF(AND(Y547=""),"",ROUND(C552*Master!C$5%,0)))</f>
        <v/>
      </c>
      <c r="E552" s="9" t="str">
        <f>IF(AND(C552=""),"",IF(AND(Y547=""),"",ROUND(C552*Master!H$5%,0)))</f>
        <v/>
      </c>
      <c r="F552" s="9" t="str">
        <f t="shared" ref="F552" si="467">IF(AND(C552=""),"",SUM(C552:E552))</f>
        <v/>
      </c>
      <c r="G552" s="9" t="str">
        <f>IF(ISNA(VLOOKUP(Y547,Master!A$8:N$127,5,FALSE)),"",VLOOKUP(Y547,Master!A$8:AH$127,5,FALSE))</f>
        <v/>
      </c>
      <c r="H552" s="9" t="str">
        <f>IF(AND(G552=""),"",IF(AND(Y547=""),"",ROUND(G552*Master!C$4%,0)))</f>
        <v/>
      </c>
      <c r="I552" s="9" t="str">
        <f>IF(AND(G552=""),"",IF(AND(Y547=""),"",ROUND(G552*Master!H$4%,0)))</f>
        <v/>
      </c>
      <c r="J552" s="9" t="str">
        <f t="shared" ref="J552:J553" si="468">IF(AND(C552=""),"",SUM(G552:I552))</f>
        <v/>
      </c>
      <c r="K552" s="9" t="str">
        <f t="shared" ref="K552:K554" si="469">IF(AND(C552=""),"",IF(AND(G552=""),"",C552-G552))</f>
        <v/>
      </c>
      <c r="L552" s="9" t="str">
        <f t="shared" ref="L552:L554" si="470">IF(AND(D552=""),"",IF(AND(H552=""),"",D552-H552))</f>
        <v/>
      </c>
      <c r="M552" s="9" t="str">
        <f t="shared" ref="M552:M553" si="471">IF(AND(E552=""),"",IF(AND(I552=""),"",E552-I552))</f>
        <v/>
      </c>
      <c r="N552" s="9" t="str">
        <f t="shared" ref="N552:N553" si="472">IF(AND(F552=""),"",IF(AND(J552=""),"",F552-J552))</f>
        <v/>
      </c>
      <c r="O552" s="9" t="str">
        <f>IF(AND(C552=""),"",N552-P552)</f>
        <v/>
      </c>
      <c r="P552" s="9" t="str">
        <f>IF(AND(Y547=""),"",IF(AND(N552=""),"",ROUND(N552*AA$1%,0)))</f>
        <v/>
      </c>
      <c r="Q552" s="9" t="str">
        <f>IF(AND(Y547=""),"",IF(AND(C552=""),"",IF(AND(O552=""),"",SUM(O552,P552))))</f>
        <v/>
      </c>
      <c r="R552" s="9" t="str">
        <f>IF(AND(N552=""),"",IF(AND(Q552=""),"",N552-Q552))</f>
        <v/>
      </c>
      <c r="S552" s="20"/>
    </row>
    <row r="553" spans="1:27" ht="21" customHeight="1">
      <c r="A553" s="8">
        <v>2</v>
      </c>
      <c r="B553" s="23" t="str">
        <f>IFERROR(DATE(YEAR(B552),MONTH(B552)+1,DAY(B552)),"")</f>
        <v/>
      </c>
      <c r="C553" s="9" t="str">
        <f>IF(AND(Y547=""),"",C552)</f>
        <v/>
      </c>
      <c r="D553" s="9" t="str">
        <f>IF(AND(C553=""),"",IF(AND(Y547=""),"",ROUND(C553*Master!C$5%,0)))</f>
        <v/>
      </c>
      <c r="E553" s="9" t="str">
        <f>IF(AND(C553=""),"",IF(AND(Y547=""),"",ROUND(C553*Master!H$5%,0)))</f>
        <v/>
      </c>
      <c r="F553" s="9" t="str">
        <f>IF(AND(C553=""),"",SUM(C553:E553))</f>
        <v/>
      </c>
      <c r="G553" s="9" t="str">
        <f>IF(AND(Y547=""),"",G552)</f>
        <v/>
      </c>
      <c r="H553" s="9" t="str">
        <f>IF(AND(G553=""),"",IF(AND(Y547=""),"",ROUND(G553*Master!C$4%,0)))</f>
        <v/>
      </c>
      <c r="I553" s="9" t="str">
        <f>IF(AND(G553=""),"",IF(AND(Y547=""),"",ROUND(G553*Master!H$4%,0)))</f>
        <v/>
      </c>
      <c r="J553" s="9" t="str">
        <f t="shared" si="468"/>
        <v/>
      </c>
      <c r="K553" s="9" t="str">
        <f t="shared" si="469"/>
        <v/>
      </c>
      <c r="L553" s="9" t="str">
        <f t="shared" si="470"/>
        <v/>
      </c>
      <c r="M553" s="9" t="str">
        <f t="shared" si="471"/>
        <v/>
      </c>
      <c r="N553" s="9" t="str">
        <f t="shared" si="472"/>
        <v/>
      </c>
      <c r="O553" s="9" t="str">
        <f t="shared" ref="O553:O554" si="473">IF(AND(C553=""),"",N553-P553)</f>
        <v/>
      </c>
      <c r="P553" s="9" t="str">
        <f>IF(AND(Y547=""),"",IF(AND(N553=""),"",ROUND(N553*AA$1%,0)))</f>
        <v/>
      </c>
      <c r="Q553" s="9" t="str">
        <f>IF(AND(Y547=""),"",IF(AND(C553=""),"",IF(AND(O553=""),"",SUM(O553,P553))))</f>
        <v/>
      </c>
      <c r="R553" s="9" t="str">
        <f t="shared" ref="R553:R554" si="474">IF(AND(N553=""),"",IF(AND(Q553=""),"",N553-Q553))</f>
        <v/>
      </c>
      <c r="S553" s="20"/>
    </row>
    <row r="554" spans="1:27" ht="21" customHeight="1">
      <c r="A554" s="8">
        <v>3</v>
      </c>
      <c r="B554" s="23" t="str">
        <f>IFERROR(DATE(YEAR(B553),MONTH(B553)+1,DAY(B553)),"")</f>
        <v/>
      </c>
      <c r="C554" s="9" t="str">
        <f>IF(AND(Y547=""),"",C553)</f>
        <v/>
      </c>
      <c r="D554" s="9" t="str">
        <f>IF(AND(C554=""),"",IF(AND(Y547=""),"",ROUND(C554*Master!C$5%,0)))</f>
        <v/>
      </c>
      <c r="E554" s="9" t="str">
        <f>IF(AND(C554=""),"",IF(AND(Y547=""),"",ROUND(C554*Master!H$5%,0)))</f>
        <v/>
      </c>
      <c r="F554" s="9" t="str">
        <f t="shared" ref="F554" si="475">IF(AND(C554=""),"",SUM(C554:E554))</f>
        <v/>
      </c>
      <c r="G554" s="9" t="str">
        <f>IF(AND(Y547=""),"",G553)</f>
        <v/>
      </c>
      <c r="H554" s="9" t="str">
        <f>IF(AND(G554=""),"",IF(AND(Y547=""),"",ROUND(G554*Master!C$4%,0)))</f>
        <v/>
      </c>
      <c r="I554" s="9" t="str">
        <f>IF(AND(G554=""),"",IF(AND(Y547=""),"",ROUND(G554*Master!H$4%,0)))</f>
        <v/>
      </c>
      <c r="J554" s="9" t="str">
        <f>IF(AND(C554=""),"",SUM(G554:I554))</f>
        <v/>
      </c>
      <c r="K554" s="9" t="str">
        <f t="shared" si="469"/>
        <v/>
      </c>
      <c r="L554" s="9" t="str">
        <f t="shared" si="470"/>
        <v/>
      </c>
      <c r="M554" s="9" t="str">
        <f>IF(AND(E554=""),"",IF(AND(I554=""),"",E554-I554))</f>
        <v/>
      </c>
      <c r="N554" s="9" t="str">
        <f>IF(AND(F554=""),"",IF(AND(J554=""),"",F554-J554))</f>
        <v/>
      </c>
      <c r="O554" s="9" t="str">
        <f t="shared" si="473"/>
        <v/>
      </c>
      <c r="P554" s="9" t="str">
        <f>IF(AND(Y547=""),"",IF(AND(N554=""),"",ROUND(N554*AA$1%,0)))</f>
        <v/>
      </c>
      <c r="Q554" s="9" t="str">
        <f>IF(AND(Y547=""),"",IF(AND(C554=""),"",IF(AND(O554=""),"",SUM(O554,P554))))</f>
        <v/>
      </c>
      <c r="R554" s="9" t="str">
        <f t="shared" si="474"/>
        <v/>
      </c>
      <c r="S554" s="20"/>
    </row>
    <row r="555" spans="1:27" ht="23.25" customHeight="1">
      <c r="A555" s="108" t="s">
        <v>9</v>
      </c>
      <c r="B555" s="109"/>
      <c r="C555" s="64">
        <f>IF(AND(Y547=""),"",SUM(C552:C554))</f>
        <v>0</v>
      </c>
      <c r="D555" s="64">
        <f>IF(AND(Y547=""),"",SUM(D552:D554))</f>
        <v>0</v>
      </c>
      <c r="E555" s="64">
        <f>IF(AND(Y547=""),"",SUM(E552:E554))</f>
        <v>0</v>
      </c>
      <c r="F555" s="64">
        <f>IF(AND(Y547=""),"",SUM(F552:F554))</f>
        <v>0</v>
      </c>
      <c r="G555" s="64">
        <f>IF(AND(Y547=""),"",SUM(G552:G554))</f>
        <v>0</v>
      </c>
      <c r="H555" s="64">
        <f>IF(AND(Y547=""),"",SUM(H552:H554))</f>
        <v>0</v>
      </c>
      <c r="I555" s="64">
        <f>IF(AND(Y547=""),"",SUM(I552:I554))</f>
        <v>0</v>
      </c>
      <c r="J555" s="64">
        <f>IF(AND(Y547=""),"",SUM(J552:J554))</f>
        <v>0</v>
      </c>
      <c r="K555" s="64">
        <f>IF(AND(Y547=""),"",SUM(K552:K554))</f>
        <v>0</v>
      </c>
      <c r="L555" s="64">
        <f>IF(AND(Y547=""),"",SUM(L552:L554))</f>
        <v>0</v>
      </c>
      <c r="M555" s="64">
        <f>IF(AND(Y547=""),"",SUM(M552:M554))</f>
        <v>0</v>
      </c>
      <c r="N555" s="64">
        <f>IF(AND(Y547=""),"",SUM(N552:N554))</f>
        <v>0</v>
      </c>
      <c r="O555" s="64">
        <f>IF(AND(Y547=""),"",SUM(O552:O554))</f>
        <v>0</v>
      </c>
      <c r="P555" s="64">
        <f>IF(AND(Y547=""),"",SUM(P552:P554))</f>
        <v>0</v>
      </c>
      <c r="Q555" s="64">
        <f>IF(AND(Y547=""),"",SUM(Q552:Q554))</f>
        <v>0</v>
      </c>
      <c r="R555" s="64">
        <f>IF(AND(Y547=""),"",SUM(R552:R554))</f>
        <v>0</v>
      </c>
      <c r="S555" s="50"/>
    </row>
    <row r="556" spans="1:27" ht="10.5" customHeight="1">
      <c r="A556" s="75"/>
      <c r="B556" s="75"/>
      <c r="C556" s="76"/>
      <c r="D556" s="76"/>
      <c r="E556" s="76"/>
      <c r="F556" s="76"/>
      <c r="G556" s="76"/>
      <c r="H556" s="76"/>
      <c r="I556" s="76"/>
      <c r="J556" s="76"/>
      <c r="K556" s="76"/>
      <c r="L556" s="76"/>
      <c r="M556" s="76"/>
      <c r="N556" s="76"/>
      <c r="O556" s="76"/>
      <c r="P556" s="76"/>
      <c r="Q556" s="76"/>
      <c r="R556" s="76"/>
      <c r="S556" s="77"/>
    </row>
    <row r="557" spans="1:27" ht="23.25" customHeight="1">
      <c r="E557" s="116" t="s">
        <v>10</v>
      </c>
      <c r="F557" s="116"/>
      <c r="G557" s="116"/>
      <c r="H557" s="116"/>
      <c r="I557" s="116"/>
      <c r="J557" s="115" t="str">
        <f>IF(ISNA(VLOOKUP(Y559,Master!A$8:N$127,2,FALSE)),"",VLOOKUP(Y559,Master!A$8:AH$127,2,FALSE))</f>
        <v/>
      </c>
      <c r="K557" s="115"/>
      <c r="L557" s="115"/>
      <c r="M557" s="115"/>
      <c r="N557" s="115"/>
      <c r="O557" s="61" t="s">
        <v>31</v>
      </c>
      <c r="P557" s="115" t="str">
        <f>IF(ISNA(VLOOKUP(Y559,Master!A$8:N$127,3,FALSE)),"",VLOOKUP(Y559,Master!A$8:AH$127,3,FALSE))</f>
        <v/>
      </c>
      <c r="Q557" s="115"/>
      <c r="R557" s="115"/>
      <c r="S557" s="115"/>
    </row>
    <row r="558" spans="1:27" ht="9" customHeight="1">
      <c r="E558" s="19"/>
      <c r="F558" s="53"/>
      <c r="G558" s="22"/>
      <c r="H558" s="22"/>
      <c r="I558" s="22"/>
      <c r="J558" s="5"/>
      <c r="K558" s="5"/>
      <c r="L558" s="5"/>
      <c r="M558" s="5"/>
      <c r="N558" s="5"/>
      <c r="O558" s="6"/>
      <c r="P558" s="6"/>
    </row>
    <row r="559" spans="1:27" ht="21" customHeight="1">
      <c r="A559" s="8">
        <v>1</v>
      </c>
      <c r="B559" s="23" t="str">
        <f>IFERROR(IF(ISNA(VLOOKUP(Y559,Master!A$8:N$127,8,FALSE)),"",VLOOKUP($Y559,Master!A$8:AH$127,8,FALSE)),"")</f>
        <v/>
      </c>
      <c r="C559" s="9" t="str">
        <f>IF(ISNA(VLOOKUP(Y559,Master!A$8:N$127,5,FALSE)),"",VLOOKUP(Y559,Master!A$8:AH$127,5,FALSE))</f>
        <v/>
      </c>
      <c r="D559" s="9" t="str">
        <f>IF(AND(C559=""),"",IF(AND(Y559=""),"",ROUND(C559*Master!C$5%,0)))</f>
        <v/>
      </c>
      <c r="E559" s="9" t="str">
        <f>IF(AND(C559=""),"",IF(AND(Y559=""),"",ROUND(C559*Master!H$5%,0)))</f>
        <v/>
      </c>
      <c r="F559" s="9" t="str">
        <f t="shared" ref="F559:F561" si="476">IF(AND(C559=""),"",SUM(C559:E559))</f>
        <v/>
      </c>
      <c r="G559" s="9" t="str">
        <f>IF(ISNA(VLOOKUP(Y559,Master!A$8:N$127,5,FALSE)),"",VLOOKUP(Y559,Master!A$8:AH$127,5,FALSE))</f>
        <v/>
      </c>
      <c r="H559" s="9" t="str">
        <f>IF(AND(G559=""),"",IF(AND(Y559=""),"",ROUND(G559*Master!C$4%,0)))</f>
        <v/>
      </c>
      <c r="I559" s="9" t="str">
        <f>IF(AND(G559=""),"",IF(AND(Y559=""),"",ROUND(G559*Master!H$4%,0)))</f>
        <v/>
      </c>
      <c r="J559" s="9" t="str">
        <f t="shared" ref="J559:J561" si="477">IF(AND(C559=""),"",SUM(G559:I559))</f>
        <v/>
      </c>
      <c r="K559" s="9" t="str">
        <f t="shared" ref="K559" si="478">IF(AND(C559=""),"",IF(AND(G559=""),"",C559-G559))</f>
        <v/>
      </c>
      <c r="L559" s="9" t="str">
        <f>IF(AND(D559=""),"",IF(AND(H559=""),"",D559-H559))</f>
        <v/>
      </c>
      <c r="M559" s="9" t="str">
        <f t="shared" ref="M559:M561" si="479">IF(AND(E559=""),"",IF(AND(I559=""),"",E559-I559))</f>
        <v/>
      </c>
      <c r="N559" s="9" t="str">
        <f t="shared" ref="N559:N561" si="480">IF(AND(F559=""),"",IF(AND(J559=""),"",F559-J559))</f>
        <v/>
      </c>
      <c r="O559" s="9" t="str">
        <f>IF(AND(C559=""),"",N559-P559)</f>
        <v/>
      </c>
      <c r="P559" s="9" t="str">
        <f>IF(AND(Y559=""),"",IF(AND(N559=""),"",ROUND(N559*X$16%,0)))</f>
        <v/>
      </c>
      <c r="Q559" s="9" t="str">
        <f>IF(AND(Y559=""),"",IF(AND(C559=""),"",IF(AND(O559=""),"",SUM(O559,P559))))</f>
        <v/>
      </c>
      <c r="R559" s="9" t="str">
        <f>IF(AND(N559=""),"",IF(AND(Q559=""),"",N559-Q559))</f>
        <v/>
      </c>
      <c r="S559" s="20"/>
      <c r="X559" s="62" t="s">
        <v>62</v>
      </c>
      <c r="Y559" s="65">
        <v>50</v>
      </c>
    </row>
    <row r="560" spans="1:27" ht="21" customHeight="1">
      <c r="A560" s="8">
        <v>2</v>
      </c>
      <c r="B560" s="23" t="str">
        <f>IFERROR(DATE(YEAR(B559),MONTH(B559)+1,DAY(B559)),"")</f>
        <v/>
      </c>
      <c r="C560" s="9" t="str">
        <f>IF(AND(Y559=""),"",C559)</f>
        <v/>
      </c>
      <c r="D560" s="9" t="str">
        <f>IF(AND(C560=""),"",IF(AND(Y559=""),"",ROUND(C560*Master!C$5%,0)))</f>
        <v/>
      </c>
      <c r="E560" s="9" t="str">
        <f>IF(AND(C560=""),"",IF(AND(Y559=""),"",ROUND(C560*Master!H$5%,0)))</f>
        <v/>
      </c>
      <c r="F560" s="9" t="str">
        <f t="shared" si="476"/>
        <v/>
      </c>
      <c r="G560" s="9" t="str">
        <f>IF(AND(Y559=""),"",G559)</f>
        <v/>
      </c>
      <c r="H560" s="9" t="str">
        <f>IF(AND(G560=""),"",IF(AND(Y559=""),"",ROUND(G560*Master!C$4%,0)))</f>
        <v/>
      </c>
      <c r="I560" s="9" t="str">
        <f>IF(AND(G560=""),"",IF(AND(Y559=""),"",ROUND(G560*Master!H$4%,0)))</f>
        <v/>
      </c>
      <c r="J560" s="9" t="str">
        <f t="shared" si="477"/>
        <v/>
      </c>
      <c r="K560" s="9" t="str">
        <f>IF(AND(C560=""),"",IF(AND(G560=""),"",C560-G560))</f>
        <v/>
      </c>
      <c r="L560" s="9" t="str">
        <f t="shared" ref="L560:L561" si="481">IF(AND(D560=""),"",IF(AND(H560=""),"",D560-H560))</f>
        <v/>
      </c>
      <c r="M560" s="9" t="str">
        <f t="shared" si="479"/>
        <v/>
      </c>
      <c r="N560" s="9" t="str">
        <f t="shared" si="480"/>
        <v/>
      </c>
      <c r="O560" s="9" t="str">
        <f t="shared" ref="O560:O561" si="482">IF(AND(C560=""),"",N560-P560)</f>
        <v/>
      </c>
      <c r="P560" s="9" t="str">
        <f>IF(AND(Y559=""),"",IF(AND(N560=""),"",ROUND(N560*X$16%,0)))</f>
        <v/>
      </c>
      <c r="Q560" s="9" t="str">
        <f>IF(AND(Y559=""),"",IF(AND(C560=""),"",IF(AND(O560=""),"",SUM(O560,P560))))</f>
        <v/>
      </c>
      <c r="R560" s="9" t="str">
        <f t="shared" ref="R560:R561" si="483">IF(AND(N560=""),"",IF(AND(Q560=""),"",N560-Q560))</f>
        <v/>
      </c>
      <c r="S560" s="20"/>
      <c r="X560" s="4" t="str">
        <f>IF(ISNA(VLOOKUP(Y559,Master!A$8:N$127,7,FALSE)),"",VLOOKUP(Y559,Master!A$8:AH$127,7,FALSE))</f>
        <v/>
      </c>
    </row>
    <row r="561" spans="1:25" ht="21" customHeight="1">
      <c r="A561" s="8">
        <v>3</v>
      </c>
      <c r="B561" s="23" t="str">
        <f>IFERROR(DATE(YEAR(B560),MONTH(B560)+1,DAY(B560)),"")</f>
        <v/>
      </c>
      <c r="C561" s="9" t="str">
        <f>IF(AND(Y559=""),"",C560)</f>
        <v/>
      </c>
      <c r="D561" s="9" t="str">
        <f>IF(AND(C561=""),"",IF(AND(Y559=""),"",ROUND(C561*Master!C$5%,0)))</f>
        <v/>
      </c>
      <c r="E561" s="9" t="str">
        <f>IF(AND(C561=""),"",IF(AND(Y559=""),"",ROUND(C561*Master!H$5%,0)))</f>
        <v/>
      </c>
      <c r="F561" s="9" t="str">
        <f t="shared" si="476"/>
        <v/>
      </c>
      <c r="G561" s="9" t="str">
        <f>IF(AND(Y559=""),"",G560)</f>
        <v/>
      </c>
      <c r="H561" s="9" t="str">
        <f>IF(AND(G561=""),"",IF(AND(Y559=""),"",ROUND(G561*Master!C$4%,0)))</f>
        <v/>
      </c>
      <c r="I561" s="9" t="str">
        <f>IF(AND(G561=""),"",IF(AND(Y559=""),"",ROUND(G561*Master!H$4%,0)))</f>
        <v/>
      </c>
      <c r="J561" s="9" t="str">
        <f t="shared" si="477"/>
        <v/>
      </c>
      <c r="K561" s="9" t="str">
        <f t="shared" ref="K561" si="484">IF(AND(C561=""),"",IF(AND(G561=""),"",C561-G561))</f>
        <v/>
      </c>
      <c r="L561" s="9" t="str">
        <f t="shared" si="481"/>
        <v/>
      </c>
      <c r="M561" s="9" t="str">
        <f t="shared" si="479"/>
        <v/>
      </c>
      <c r="N561" s="9" t="str">
        <f t="shared" si="480"/>
        <v/>
      </c>
      <c r="O561" s="9" t="str">
        <f t="shared" si="482"/>
        <v/>
      </c>
      <c r="P561" s="9" t="str">
        <f>IF(AND(Y559=""),"",IF(AND(N561=""),"",ROUND(N561*X$16%,0)))</f>
        <v/>
      </c>
      <c r="Q561" s="9" t="str">
        <f>IF(AND(Y559=""),"",IF(AND(C561=""),"",IF(AND(O561=""),"",SUM(O561,P561))))</f>
        <v/>
      </c>
      <c r="R561" s="9" t="str">
        <f t="shared" si="483"/>
        <v/>
      </c>
      <c r="S561" s="20"/>
    </row>
    <row r="562" spans="1:25" ht="30.75" customHeight="1">
      <c r="A562" s="108" t="s">
        <v>9</v>
      </c>
      <c r="B562" s="109"/>
      <c r="C562" s="64">
        <f>IF(AND(Y559=""),"",SUM(C559:C561))</f>
        <v>0</v>
      </c>
      <c r="D562" s="64">
        <f>IF(AND(Y559=""),"",SUM(D559:D561))</f>
        <v>0</v>
      </c>
      <c r="E562" s="64">
        <f>IF(AND(Y559=""),"",SUM(E559:E561))</f>
        <v>0</v>
      </c>
      <c r="F562" s="64">
        <f>IF(AND(Y559=""),"",SUM(F559:F561))</f>
        <v>0</v>
      </c>
      <c r="G562" s="64">
        <f>IF(AND(Y559=""),"",SUM(G559:G561))</f>
        <v>0</v>
      </c>
      <c r="H562" s="64">
        <f>IF(AND(Y559=""),"",SUM(H559:H561))</f>
        <v>0</v>
      </c>
      <c r="I562" s="64">
        <f>IF(AND(Y559=""),"",SUM(I559:I561))</f>
        <v>0</v>
      </c>
      <c r="J562" s="64">
        <f>IF(AND(Y559=""),"",SUM(J559:J561))</f>
        <v>0</v>
      </c>
      <c r="K562" s="64">
        <f>IF(AND(Y559=""),"",SUM(K559:K561))</f>
        <v>0</v>
      </c>
      <c r="L562" s="64">
        <f>IF(AND(Y559=""),"",SUM(L559:L561))</f>
        <v>0</v>
      </c>
      <c r="M562" s="64">
        <f>IF(AND(Y559=""),"",SUM(M559:M561))</f>
        <v>0</v>
      </c>
      <c r="N562" s="64">
        <f>IF(AND(Y559=""),"",SUM(N559:N561))</f>
        <v>0</v>
      </c>
      <c r="O562" s="64">
        <f>IF(AND(Y559=""),"",SUM(O559:O561))</f>
        <v>0</v>
      </c>
      <c r="P562" s="64">
        <f>IF(AND(Y559=""),"",SUM(P559:P561))</f>
        <v>0</v>
      </c>
      <c r="Q562" s="64">
        <f>IF(AND(Y559=""),"",SUM(Q559:Q561))</f>
        <v>0</v>
      </c>
      <c r="R562" s="64">
        <f>IF(AND(Y559=""),"",SUM(R559:R561))</f>
        <v>0</v>
      </c>
      <c r="S562" s="50"/>
    </row>
    <row r="563" spans="1:25" ht="11.25" customHeight="1">
      <c r="A563" s="75"/>
      <c r="B563" s="75"/>
      <c r="C563" s="76"/>
      <c r="D563" s="76"/>
      <c r="E563" s="76"/>
      <c r="F563" s="76"/>
      <c r="G563" s="76"/>
      <c r="H563" s="76"/>
      <c r="I563" s="76"/>
      <c r="J563" s="76"/>
      <c r="K563" s="76"/>
      <c r="L563" s="76"/>
      <c r="M563" s="76"/>
      <c r="N563" s="76"/>
      <c r="O563" s="76"/>
      <c r="P563" s="76"/>
      <c r="Q563" s="76"/>
      <c r="R563" s="76"/>
      <c r="S563" s="77"/>
    </row>
    <row r="564" spans="1:25" ht="23.25" customHeight="1">
      <c r="E564" s="116" t="s">
        <v>10</v>
      </c>
      <c r="F564" s="116"/>
      <c r="G564" s="116"/>
      <c r="H564" s="116"/>
      <c r="I564" s="116"/>
      <c r="J564" s="115" t="str">
        <f>IF(ISNA(VLOOKUP(Y566,Master!A$8:N$127,2,FALSE)),"",VLOOKUP(Y566,Master!A$8:AH$127,2,FALSE))</f>
        <v/>
      </c>
      <c r="K564" s="115"/>
      <c r="L564" s="115"/>
      <c r="M564" s="115"/>
      <c r="N564" s="115"/>
      <c r="O564" s="61" t="s">
        <v>31</v>
      </c>
      <c r="P564" s="115" t="str">
        <f>IF(ISNA(VLOOKUP($Y$396,Master!A$8:N$127,3,FALSE)),"",VLOOKUP($Y$396,Master!A$8:AH$127,3,FALSE))</f>
        <v/>
      </c>
      <c r="Q564" s="115"/>
      <c r="R564" s="115"/>
      <c r="S564" s="115"/>
    </row>
    <row r="565" spans="1:25" ht="9" customHeight="1">
      <c r="E565" s="19"/>
      <c r="F565" s="53"/>
      <c r="G565" s="22"/>
      <c r="H565" s="22"/>
      <c r="I565" s="22"/>
      <c r="J565" s="5"/>
      <c r="K565" s="5"/>
      <c r="L565" s="5"/>
      <c r="M565" s="5"/>
      <c r="N565" s="5"/>
      <c r="O565" s="6"/>
      <c r="P565" s="6"/>
    </row>
    <row r="566" spans="1:25" ht="21" customHeight="1">
      <c r="A566" s="8">
        <v>1</v>
      </c>
      <c r="B566" s="23" t="str">
        <f>IFERROR(IF(ISNA(VLOOKUP(Y566,Master!A$8:N$127,8,FALSE)),"",VLOOKUP($Y566,Master!A$8:AH$127,8,FALSE)),"")</f>
        <v/>
      </c>
      <c r="C566" s="9" t="str">
        <f>IF(ISNA(VLOOKUP(Y566,Master!A$8:N$127,5,FALSE)),"",VLOOKUP(Y566,Master!A$8:AH$127,5,FALSE))</f>
        <v/>
      </c>
      <c r="D566" s="9" t="str">
        <f>IF(AND(C566=""),"",IF(AND(Y566=""),"",ROUND(C566*Master!C$5%,0)))</f>
        <v/>
      </c>
      <c r="E566" s="9" t="str">
        <f>IF(AND(C566=""),"",IF(AND(Y566=""),"",ROUND(C566*Master!H$5%,0)))</f>
        <v/>
      </c>
      <c r="F566" s="9" t="str">
        <f t="shared" ref="F566:F568" si="485">IF(AND(C566=""),"",SUM(C566:E566))</f>
        <v/>
      </c>
      <c r="G566" s="9" t="str">
        <f>IF(ISNA(VLOOKUP(Y566,Master!A$8:N$127,5,FALSE)),"",VLOOKUP(Y566,Master!A$8:AH$127,5,FALSE))</f>
        <v/>
      </c>
      <c r="H566" s="9" t="str">
        <f>IF(AND(G566=""),"",IF(AND(Y566=""),"",ROUND(G566*Master!C$4%,0)))</f>
        <v/>
      </c>
      <c r="I566" s="9" t="str">
        <f>IF(AND(G566=""),"",IF(AND(Y566=""),"",ROUND(G566*Master!H$4%,0)))</f>
        <v/>
      </c>
      <c r="J566" s="9" t="str">
        <f t="shared" ref="J566:J568" si="486">IF(AND(C566=""),"",SUM(G566:I566))</f>
        <v/>
      </c>
      <c r="K566" s="9" t="str">
        <f t="shared" ref="K566:K568" si="487">IF(AND(C566=""),"",IF(AND(G566=""),"",C566-G566))</f>
        <v/>
      </c>
      <c r="L566" s="9" t="str">
        <f t="shared" ref="L566:L568" si="488">IF(AND(D566=""),"",IF(AND(H566=""),"",D566-H566))</f>
        <v/>
      </c>
      <c r="M566" s="9" t="str">
        <f t="shared" ref="M566:M568" si="489">IF(AND(E566=""),"",IF(AND(I566=""),"",E566-I566))</f>
        <v/>
      </c>
      <c r="N566" s="9" t="str">
        <f t="shared" ref="N566:N568" si="490">IF(AND(F566=""),"",IF(AND(J566=""),"",F566-J566))</f>
        <v/>
      </c>
      <c r="O566" s="9" t="str">
        <f>IF(AND(C566=""),"",N566-P566)</f>
        <v/>
      </c>
      <c r="P566" s="9" t="str">
        <f>IF(AND(Y566=""),"",IF(AND(N566=""),"",ROUND(N566*AA$1%,0)))</f>
        <v/>
      </c>
      <c r="Q566" s="9" t="str">
        <f>IF(AND(Y566=""),"",IF(AND(C566=""),"",IF(AND(O566=""),"",SUM(O566,P566))))</f>
        <v/>
      </c>
      <c r="R566" s="9" t="str">
        <f>IF(AND(N566=""),"",IF(AND(Q566=""),"",N566-Q566))</f>
        <v/>
      </c>
      <c r="S566" s="20"/>
      <c r="X566" s="62" t="s">
        <v>62</v>
      </c>
      <c r="Y566" s="65">
        <v>51</v>
      </c>
    </row>
    <row r="567" spans="1:25" ht="21" customHeight="1">
      <c r="A567" s="8">
        <v>2</v>
      </c>
      <c r="B567" s="23" t="str">
        <f>IFERROR(DATE(YEAR(B566),MONTH(B566)+1,DAY(B566)),"")</f>
        <v/>
      </c>
      <c r="C567" s="9" t="str">
        <f>IF(AND(Y566=""),"",C566)</f>
        <v/>
      </c>
      <c r="D567" s="9" t="str">
        <f>IF(AND(C567=""),"",IF(AND(Y566=""),"",ROUND(C567*Master!C$5%,0)))</f>
        <v/>
      </c>
      <c r="E567" s="9" t="str">
        <f>IF(AND(C567=""),"",IF(AND(Y566=""),"",ROUND(C567*Master!H$5%,0)))</f>
        <v/>
      </c>
      <c r="F567" s="9" t="str">
        <f t="shared" si="485"/>
        <v/>
      </c>
      <c r="G567" s="9" t="str">
        <f>IF(AND(Y566=""),"",G566)</f>
        <v/>
      </c>
      <c r="H567" s="9" t="str">
        <f>IF(AND(G567=""),"",IF(AND(Y566=""),"",ROUND(G567*Master!C$4%,0)))</f>
        <v/>
      </c>
      <c r="I567" s="9" t="str">
        <f>IF(AND(G567=""),"",IF(AND(Y566=""),"",ROUND(G567*Master!H$4%,0)))</f>
        <v/>
      </c>
      <c r="J567" s="9" t="str">
        <f t="shared" si="486"/>
        <v/>
      </c>
      <c r="K567" s="9" t="str">
        <f t="shared" si="487"/>
        <v/>
      </c>
      <c r="L567" s="9" t="str">
        <f t="shared" si="488"/>
        <v/>
      </c>
      <c r="M567" s="9" t="str">
        <f t="shared" si="489"/>
        <v/>
      </c>
      <c r="N567" s="9" t="str">
        <f t="shared" si="490"/>
        <v/>
      </c>
      <c r="O567" s="9" t="str">
        <f t="shared" ref="O567:O568" si="491">IF(AND(C567=""),"",N567-P567)</f>
        <v/>
      </c>
      <c r="P567" s="9" t="str">
        <f>IF(AND(Y566=""),"",IF(AND(N567=""),"",ROUND(N567*AA$1%,0)))</f>
        <v/>
      </c>
      <c r="Q567" s="9" t="str">
        <f>IF(AND(Y566=""),"",IF(AND(C567=""),"",IF(AND(O567=""),"",SUM(O567,P567))))</f>
        <v/>
      </c>
      <c r="R567" s="9" t="str">
        <f t="shared" ref="R567:R568" si="492">IF(AND(N567=""),"",IF(AND(Q567=""),"",N567-Q567))</f>
        <v/>
      </c>
      <c r="S567" s="20"/>
      <c r="X567" s="4" t="str">
        <f>IF(ISNA(VLOOKUP(Y566,Master!A$8:N$127,7,FALSE)),"",VLOOKUP(Y566,Master!A$8:AH$127,7,FALSE))</f>
        <v/>
      </c>
    </row>
    <row r="568" spans="1:25" ht="21" customHeight="1">
      <c r="A568" s="8">
        <v>3</v>
      </c>
      <c r="B568" s="23" t="str">
        <f>IFERROR(DATE(YEAR(B567),MONTH(B567)+1,DAY(B567)),"")</f>
        <v/>
      </c>
      <c r="C568" s="9" t="str">
        <f>IF(AND(Y566=""),"",C567)</f>
        <v/>
      </c>
      <c r="D568" s="9" t="str">
        <f>IF(AND(C568=""),"",IF(AND(Y566=""),"",ROUND(C568*Master!C$5%,0)))</f>
        <v/>
      </c>
      <c r="E568" s="9" t="str">
        <f>IF(AND(C568=""),"",IF(AND(Y566=""),"",ROUND(C568*Master!H$5%,0)))</f>
        <v/>
      </c>
      <c r="F568" s="9" t="str">
        <f t="shared" si="485"/>
        <v/>
      </c>
      <c r="G568" s="9" t="str">
        <f>IF(AND(Y566=""),"",G567)</f>
        <v/>
      </c>
      <c r="H568" s="9" t="str">
        <f>IF(AND(G568=""),"",IF(AND(Y566=""),"",ROUND(G568*Master!C$4%,0)))</f>
        <v/>
      </c>
      <c r="I568" s="9" t="str">
        <f>IF(AND(G568=""),"",IF(AND(Y566=""),"",ROUND(G568*Master!H$4%,0)))</f>
        <v/>
      </c>
      <c r="J568" s="9" t="str">
        <f t="shared" si="486"/>
        <v/>
      </c>
      <c r="K568" s="9" t="str">
        <f t="shared" si="487"/>
        <v/>
      </c>
      <c r="L568" s="9" t="str">
        <f t="shared" si="488"/>
        <v/>
      </c>
      <c r="M568" s="9" t="str">
        <f t="shared" si="489"/>
        <v/>
      </c>
      <c r="N568" s="9" t="str">
        <f t="shared" si="490"/>
        <v/>
      </c>
      <c r="O568" s="9" t="str">
        <f t="shared" si="491"/>
        <v/>
      </c>
      <c r="P568" s="9" t="str">
        <f>IF(AND(Y566=""),"",IF(AND(N568=""),"",ROUND(N568*AA$1%,0)))</f>
        <v/>
      </c>
      <c r="Q568" s="9" t="str">
        <f>IF(AND(Y566=""),"",IF(AND(C568=""),"",IF(AND(O568=""),"",SUM(O568,P568))))</f>
        <v/>
      </c>
      <c r="R568" s="9" t="str">
        <f t="shared" si="492"/>
        <v/>
      </c>
      <c r="S568" s="20"/>
    </row>
    <row r="569" spans="1:25" ht="30.75" customHeight="1">
      <c r="A569" s="108" t="s">
        <v>9</v>
      </c>
      <c r="B569" s="109"/>
      <c r="C569" s="64">
        <f>IF(AND(Y566=""),"",SUM(C566:C568))</f>
        <v>0</v>
      </c>
      <c r="D569" s="64">
        <f>IF(AND(Y566=""),"",SUM(D566:D568))</f>
        <v>0</v>
      </c>
      <c r="E569" s="64">
        <f>IF(AND(Y566=""),"",SUM(E566:E568))</f>
        <v>0</v>
      </c>
      <c r="F569" s="64">
        <f>IF(AND(Y566=""),"",SUM(F566:F568))</f>
        <v>0</v>
      </c>
      <c r="G569" s="64">
        <f>IF(AND(Y566=""),"",SUM(G566:G568))</f>
        <v>0</v>
      </c>
      <c r="H569" s="64">
        <f>IF(AND(Y566=""),"",SUM(H566:H568))</f>
        <v>0</v>
      </c>
      <c r="I569" s="64">
        <f>IF(AND(Y566=""),"",SUM(I566:I568))</f>
        <v>0</v>
      </c>
      <c r="J569" s="64">
        <f>IF(AND(Y566=""),"",SUM(J566:J568))</f>
        <v>0</v>
      </c>
      <c r="K569" s="64">
        <f>IF(AND(Y566=""),"",SUM(K566:K568))</f>
        <v>0</v>
      </c>
      <c r="L569" s="64">
        <f>IF(AND(Y566=""),"",SUM(L566:L568))</f>
        <v>0</v>
      </c>
      <c r="M569" s="64">
        <f>IF(AND(Y566=""),"",SUM(M566:M568))</f>
        <v>0</v>
      </c>
      <c r="N569" s="64">
        <f>IF(AND(Y566=""),"",SUM(N566:N568))</f>
        <v>0</v>
      </c>
      <c r="O569" s="64">
        <f>IF(AND(Y566=""),"",SUM(O566:O568))</f>
        <v>0</v>
      </c>
      <c r="P569" s="64">
        <f>IF(AND(Y566=""),"",SUM(P566:P568))</f>
        <v>0</v>
      </c>
      <c r="Q569" s="64">
        <f>IF(AND(Y566=""),"",SUM(Q566:Q568))</f>
        <v>0</v>
      </c>
      <c r="R569" s="64">
        <f>IF(AND(Y566=""),"",SUM(R566:R568))</f>
        <v>0</v>
      </c>
      <c r="S569" s="50"/>
    </row>
    <row r="570" spans="1:25" ht="30.75" customHeight="1">
      <c r="A570" s="75"/>
      <c r="B570" s="75"/>
      <c r="C570" s="76"/>
      <c r="D570" s="76"/>
      <c r="E570" s="76"/>
      <c r="F570" s="76"/>
      <c r="G570" s="76"/>
      <c r="H570" s="76"/>
      <c r="I570" s="76"/>
      <c r="J570" s="76"/>
      <c r="K570" s="76"/>
      <c r="L570" s="76"/>
      <c r="M570" s="76"/>
      <c r="N570" s="76"/>
      <c r="O570" s="76"/>
      <c r="P570" s="76"/>
      <c r="Q570" s="76"/>
      <c r="R570" s="76"/>
      <c r="S570" s="77"/>
    </row>
    <row r="571" spans="1:25" ht="18.75">
      <c r="A571" s="21"/>
      <c r="B571" s="59"/>
      <c r="C571" s="59"/>
      <c r="D571" s="59"/>
      <c r="E571" s="59"/>
      <c r="F571" s="59"/>
      <c r="G571" s="59"/>
      <c r="H571" s="60"/>
      <c r="I571" s="60"/>
      <c r="J571" s="60"/>
      <c r="K571" s="68"/>
      <c r="L571" s="68"/>
      <c r="M571" s="68"/>
      <c r="N571" s="68"/>
      <c r="O571" s="107" t="s">
        <v>55</v>
      </c>
      <c r="P571" s="107"/>
      <c r="Q571" s="107"/>
      <c r="R571" s="107"/>
      <c r="S571" s="107"/>
    </row>
    <row r="572" spans="1:25" ht="18.75">
      <c r="A572" s="1"/>
      <c r="B572" s="24" t="s">
        <v>19</v>
      </c>
      <c r="C572" s="118"/>
      <c r="D572" s="118"/>
      <c r="E572" s="118"/>
      <c r="F572" s="118"/>
      <c r="G572" s="118"/>
      <c r="H572" s="25"/>
      <c r="I572" s="121" t="s">
        <v>20</v>
      </c>
      <c r="J572" s="121"/>
      <c r="K572" s="120"/>
      <c r="L572" s="120"/>
      <c r="M572" s="120"/>
      <c r="O572" s="107"/>
      <c r="P572" s="107"/>
      <c r="Q572" s="107"/>
      <c r="R572" s="107"/>
      <c r="S572" s="107"/>
    </row>
    <row r="573" spans="1:25" ht="18.75">
      <c r="A573" s="1"/>
      <c r="B573" s="119" t="s">
        <v>21</v>
      </c>
      <c r="C573" s="119"/>
      <c r="D573" s="119"/>
      <c r="E573" s="119"/>
      <c r="F573" s="119"/>
      <c r="G573" s="119"/>
      <c r="H573" s="119"/>
      <c r="I573" s="27"/>
      <c r="J573" s="26"/>
      <c r="K573" s="26"/>
      <c r="L573" s="26"/>
      <c r="M573" s="26"/>
    </row>
    <row r="574" spans="1:25" ht="18.75">
      <c r="A574" s="22">
        <v>1</v>
      </c>
      <c r="B574" s="117" t="s">
        <v>22</v>
      </c>
      <c r="C574" s="117"/>
      <c r="D574" s="117"/>
      <c r="E574" s="117"/>
      <c r="F574" s="117"/>
      <c r="G574" s="117"/>
      <c r="H574" s="117"/>
      <c r="I574" s="28"/>
      <c r="J574" s="26"/>
      <c r="K574" s="26"/>
      <c r="L574" s="26"/>
      <c r="M574" s="26"/>
    </row>
    <row r="575" spans="1:25" ht="18.75">
      <c r="A575" s="2">
        <v>2</v>
      </c>
      <c r="B575" s="117" t="s">
        <v>23</v>
      </c>
      <c r="C575" s="117"/>
      <c r="D575" s="117"/>
      <c r="E575" s="117"/>
      <c r="F575" s="117"/>
      <c r="G575" s="115"/>
      <c r="H575" s="115"/>
      <c r="I575" s="115"/>
      <c r="J575" s="115"/>
      <c r="K575" s="115"/>
      <c r="L575" s="115"/>
      <c r="M575" s="115"/>
    </row>
    <row r="576" spans="1:25" ht="18.75">
      <c r="A576" s="3">
        <v>3</v>
      </c>
      <c r="B576" s="117" t="s">
        <v>24</v>
      </c>
      <c r="C576" s="117"/>
      <c r="D576" s="117"/>
      <c r="E576" s="29"/>
      <c r="F576" s="28"/>
      <c r="G576" s="28"/>
      <c r="H576" s="30"/>
      <c r="I576" s="31"/>
      <c r="J576" s="26"/>
      <c r="K576" s="26"/>
      <c r="L576" s="26"/>
      <c r="M576" s="26"/>
    </row>
    <row r="577" spans="1:27" ht="15.75">
      <c r="O577" s="107" t="s">
        <v>55</v>
      </c>
      <c r="P577" s="107"/>
      <c r="Q577" s="107"/>
      <c r="R577" s="107"/>
      <c r="S577" s="107"/>
    </row>
    <row r="579" spans="1:27" ht="18" customHeight="1">
      <c r="A579" s="122" t="str">
        <f>A545</f>
        <v xml:space="preserve">DA (38%) Drawn Statement  </v>
      </c>
      <c r="B579" s="122"/>
      <c r="C579" s="122"/>
      <c r="D579" s="122"/>
      <c r="E579" s="122"/>
      <c r="F579" s="122"/>
      <c r="G579" s="122"/>
      <c r="H579" s="122"/>
      <c r="I579" s="122"/>
      <c r="J579" s="122"/>
      <c r="K579" s="122"/>
      <c r="L579" s="122"/>
      <c r="M579" s="122"/>
      <c r="N579" s="122"/>
      <c r="O579" s="122"/>
      <c r="P579" s="122"/>
      <c r="Q579" s="122"/>
      <c r="R579" s="122"/>
      <c r="S579" s="122"/>
      <c r="W579" s="4">
        <f>IF(ISNA(VLOOKUP($Y$3,Master!A$8:N$127,4,FALSE)),"",VLOOKUP($Y$3,Master!A$8:AH$127,4,FALSE))</f>
        <v>3</v>
      </c>
      <c r="X579" s="4" t="str">
        <f>IF(ISNA(VLOOKUP($Y$3,Master!A$8:N$127,6,FALSE)),"",VLOOKUP($Y$3,Master!A$8:AH$127,6,FALSE))</f>
        <v>GPF</v>
      </c>
      <c r="Y579" s="4" t="s">
        <v>58</v>
      </c>
      <c r="Z579" s="4" t="s">
        <v>18</v>
      </c>
      <c r="AA579" s="4" t="str">
        <f>IF(ISNA(VLOOKUP(Y581,Master!A$8:N$127,7,FALSE)),"",VLOOKUP(Y581,Master!A$8:AH$127,7,FALSE))</f>
        <v/>
      </c>
    </row>
    <row r="580" spans="1:27" ht="18">
      <c r="A580" s="114" t="str">
        <f>IF(AND(Master!C581=""),"",CONCATENATE("Office Of  ",Master!C581))</f>
        <v/>
      </c>
      <c r="B580" s="114"/>
      <c r="C580" s="114"/>
      <c r="D580" s="114"/>
      <c r="E580" s="114"/>
      <c r="F580" s="114"/>
      <c r="G580" s="114"/>
      <c r="H580" s="114"/>
      <c r="I580" s="114"/>
      <c r="J580" s="114"/>
      <c r="K580" s="114"/>
      <c r="L580" s="114"/>
      <c r="M580" s="114"/>
      <c r="N580" s="114"/>
      <c r="O580" s="114"/>
      <c r="P580" s="114"/>
      <c r="Q580" s="114"/>
      <c r="R580" s="114"/>
      <c r="S580" s="114"/>
      <c r="X580" s="4">
        <f>IF(ISNA(VLOOKUP($Y$3,Master!A$8:N$127,8,FALSE)),"",VLOOKUP($Y$3,Master!A$8:AH$127,8,FALSE))</f>
        <v>44743</v>
      </c>
      <c r="Y580" s="4" t="s">
        <v>56</v>
      </c>
    </row>
    <row r="581" spans="1:27" ht="18.75">
      <c r="E581" s="116" t="s">
        <v>10</v>
      </c>
      <c r="F581" s="116"/>
      <c r="G581" s="116"/>
      <c r="H581" s="116"/>
      <c r="I581" s="116"/>
      <c r="J581" s="115" t="str">
        <f>IF(ISNA(VLOOKUP(Y581,Master!A$8:N$127,2,FALSE)),"",VLOOKUP(Y581,Master!A$8:AH$127,2,FALSE))</f>
        <v/>
      </c>
      <c r="K581" s="115"/>
      <c r="L581" s="115"/>
      <c r="M581" s="115"/>
      <c r="N581" s="115"/>
      <c r="O581" s="61" t="s">
        <v>31</v>
      </c>
      <c r="P581" s="115" t="str">
        <f>IF(ISNA(VLOOKUP(Y581,Master!A$8:N$127,3,FALSE)),"",VLOOKUP(Y581,Master!A$8:AH$127,3,FALSE))</f>
        <v/>
      </c>
      <c r="Q581" s="115"/>
      <c r="R581" s="115"/>
      <c r="S581" s="115"/>
      <c r="X581" s="62" t="s">
        <v>62</v>
      </c>
      <c r="Y581" s="65">
        <v>52</v>
      </c>
    </row>
    <row r="582" spans="1:27" ht="8.25" customHeight="1">
      <c r="E582" s="19"/>
      <c r="F582" s="53"/>
      <c r="G582" s="22"/>
      <c r="H582" s="22"/>
      <c r="I582" s="22"/>
      <c r="J582" s="5"/>
      <c r="K582" s="5"/>
      <c r="L582" s="5"/>
      <c r="M582" s="5"/>
      <c r="N582" s="5"/>
      <c r="O582" s="6"/>
      <c r="P582" s="6"/>
    </row>
    <row r="583" spans="1:27" ht="24.75" customHeight="1">
      <c r="A583" s="110" t="s">
        <v>0</v>
      </c>
      <c r="B583" s="111" t="s">
        <v>3</v>
      </c>
      <c r="C583" s="112" t="s">
        <v>5</v>
      </c>
      <c r="D583" s="112"/>
      <c r="E583" s="112"/>
      <c r="F583" s="112"/>
      <c r="G583" s="112" t="s">
        <v>6</v>
      </c>
      <c r="H583" s="112"/>
      <c r="I583" s="112"/>
      <c r="J583" s="112"/>
      <c r="K583" s="112" t="s">
        <v>7</v>
      </c>
      <c r="L583" s="112"/>
      <c r="M583" s="112"/>
      <c r="N583" s="112"/>
      <c r="O583" s="97" t="s">
        <v>8</v>
      </c>
      <c r="P583" s="98"/>
      <c r="Q583" s="99"/>
      <c r="R583" s="105" t="s">
        <v>67</v>
      </c>
      <c r="S583" s="105" t="s">
        <v>50</v>
      </c>
    </row>
    <row r="584" spans="1:27" ht="69" customHeight="1">
      <c r="A584" s="110"/>
      <c r="B584" s="111"/>
      <c r="C584" s="55" t="s">
        <v>29</v>
      </c>
      <c r="D584" s="56" t="s">
        <v>1</v>
      </c>
      <c r="E584" s="57" t="s">
        <v>2</v>
      </c>
      <c r="F584" s="55" t="s">
        <v>59</v>
      </c>
      <c r="G584" s="55" t="s">
        <v>29</v>
      </c>
      <c r="H584" s="56" t="s">
        <v>1</v>
      </c>
      <c r="I584" s="57" t="s">
        <v>2</v>
      </c>
      <c r="J584" s="55" t="s">
        <v>60</v>
      </c>
      <c r="K584" s="55" t="s">
        <v>4</v>
      </c>
      <c r="L584" s="56" t="s">
        <v>1</v>
      </c>
      <c r="M584" s="57" t="s">
        <v>2</v>
      </c>
      <c r="N584" s="58" t="s">
        <v>61</v>
      </c>
      <c r="O584" s="54" t="s">
        <v>83</v>
      </c>
      <c r="P584" s="67" t="s">
        <v>51</v>
      </c>
      <c r="Q584" s="58" t="s">
        <v>66</v>
      </c>
      <c r="R584" s="105"/>
      <c r="S584" s="105"/>
    </row>
    <row r="585" spans="1:27" ht="18" customHeight="1">
      <c r="A585" s="7">
        <v>1</v>
      </c>
      <c r="B585" s="7">
        <v>2</v>
      </c>
      <c r="C585" s="7">
        <v>3</v>
      </c>
      <c r="D585" s="7">
        <v>4</v>
      </c>
      <c r="E585" s="7">
        <v>5</v>
      </c>
      <c r="F585" s="7">
        <v>6</v>
      </c>
      <c r="G585" s="7">
        <v>7</v>
      </c>
      <c r="H585" s="7">
        <v>8</v>
      </c>
      <c r="I585" s="7">
        <v>9</v>
      </c>
      <c r="J585" s="7">
        <v>10</v>
      </c>
      <c r="K585" s="7">
        <v>11</v>
      </c>
      <c r="L585" s="7">
        <v>12</v>
      </c>
      <c r="M585" s="7">
        <v>13</v>
      </c>
      <c r="N585" s="7">
        <v>14</v>
      </c>
      <c r="O585" s="7">
        <v>15</v>
      </c>
      <c r="P585" s="7">
        <v>17</v>
      </c>
      <c r="Q585" s="7">
        <v>18</v>
      </c>
      <c r="R585" s="7">
        <v>19</v>
      </c>
      <c r="S585" s="7">
        <v>20</v>
      </c>
    </row>
    <row r="586" spans="1:27" ht="21" customHeight="1">
      <c r="A586" s="8">
        <v>1</v>
      </c>
      <c r="B586" s="23" t="str">
        <f>IFERROR(IF(ISNA(VLOOKUP(Y581,Master!A$8:N$127,8,FALSE)),"",VLOOKUP($Y581,Master!A$8:AH$127,8,FALSE)),"")</f>
        <v/>
      </c>
      <c r="C586" s="9" t="str">
        <f>IF(ISNA(VLOOKUP(Y581,Master!A$8:N$127,5,FALSE)),"",VLOOKUP(Y581,Master!A$8:AH$127,5,FALSE))</f>
        <v/>
      </c>
      <c r="D586" s="9" t="str">
        <f>IF(AND(C586=""),"",IF(AND(Y581=""),"",ROUND(C586*Master!C$5%,0)))</f>
        <v/>
      </c>
      <c r="E586" s="9" t="str">
        <f>IF(AND(C586=""),"",IF(AND(Y581=""),"",ROUND(C586*Master!H$5%,0)))</f>
        <v/>
      </c>
      <c r="F586" s="9" t="str">
        <f t="shared" ref="F586" si="493">IF(AND(C586=""),"",SUM(C586:E586))</f>
        <v/>
      </c>
      <c r="G586" s="9" t="str">
        <f>IF(ISNA(VLOOKUP(Y581,Master!A$8:N$127,5,FALSE)),"",VLOOKUP(Y581,Master!A$8:AH$127,5,FALSE))</f>
        <v/>
      </c>
      <c r="H586" s="9" t="str">
        <f>IF(AND(G586=""),"",IF(AND(Y581=""),"",ROUND(G586*Master!C$4%,0)))</f>
        <v/>
      </c>
      <c r="I586" s="9" t="str">
        <f>IF(AND(G586=""),"",IF(AND(Y581=""),"",ROUND(G586*Master!H$4%,0)))</f>
        <v/>
      </c>
      <c r="J586" s="9" t="str">
        <f t="shared" ref="J586:J587" si="494">IF(AND(C586=""),"",SUM(G586:I586))</f>
        <v/>
      </c>
      <c r="K586" s="9" t="str">
        <f t="shared" ref="K586:K588" si="495">IF(AND(C586=""),"",IF(AND(G586=""),"",C586-G586))</f>
        <v/>
      </c>
      <c r="L586" s="9" t="str">
        <f t="shared" ref="L586:L588" si="496">IF(AND(D586=""),"",IF(AND(H586=""),"",D586-H586))</f>
        <v/>
      </c>
      <c r="M586" s="9" t="str">
        <f t="shared" ref="M586:M587" si="497">IF(AND(E586=""),"",IF(AND(I586=""),"",E586-I586))</f>
        <v/>
      </c>
      <c r="N586" s="9" t="str">
        <f t="shared" ref="N586:N587" si="498">IF(AND(F586=""),"",IF(AND(J586=""),"",F586-J586))</f>
        <v/>
      </c>
      <c r="O586" s="9" t="str">
        <f>IF(AND(C586=""),"",N586-P586)</f>
        <v/>
      </c>
      <c r="P586" s="9" t="str">
        <f>IF(AND(Y581=""),"",IF(AND(N586=""),"",ROUND(N586*AA$1%,0)))</f>
        <v/>
      </c>
      <c r="Q586" s="9" t="str">
        <f>IF(AND(Y581=""),"",IF(AND(C586=""),"",IF(AND(O586=""),"",SUM(O586,P586))))</f>
        <v/>
      </c>
      <c r="R586" s="9" t="str">
        <f>IF(AND(N586=""),"",IF(AND(Q586=""),"",N586-Q586))</f>
        <v/>
      </c>
      <c r="S586" s="20"/>
    </row>
    <row r="587" spans="1:27" ht="21" customHeight="1">
      <c r="A587" s="8">
        <v>2</v>
      </c>
      <c r="B587" s="23" t="str">
        <f>IFERROR(DATE(YEAR(B586),MONTH(B586)+1,DAY(B586)),"")</f>
        <v/>
      </c>
      <c r="C587" s="9" t="str">
        <f>IF(AND(Y581=""),"",C586)</f>
        <v/>
      </c>
      <c r="D587" s="9" t="str">
        <f>IF(AND(C587=""),"",IF(AND(Y581=""),"",ROUND(C587*Master!C$5%,0)))</f>
        <v/>
      </c>
      <c r="E587" s="9" t="str">
        <f>IF(AND(C587=""),"",IF(AND(Y581=""),"",ROUND(C587*Master!H$5%,0)))</f>
        <v/>
      </c>
      <c r="F587" s="9" t="str">
        <f>IF(AND(C587=""),"",SUM(C587:E587))</f>
        <v/>
      </c>
      <c r="G587" s="9" t="str">
        <f>IF(AND(Y581=""),"",G586)</f>
        <v/>
      </c>
      <c r="H587" s="9" t="str">
        <f>IF(AND(G587=""),"",IF(AND(Y581=""),"",ROUND(G587*Master!C$4%,0)))</f>
        <v/>
      </c>
      <c r="I587" s="9" t="str">
        <f>IF(AND(G587=""),"",IF(AND(Y581=""),"",ROUND(G587*Master!H$4%,0)))</f>
        <v/>
      </c>
      <c r="J587" s="9" t="str">
        <f t="shared" si="494"/>
        <v/>
      </c>
      <c r="K587" s="9" t="str">
        <f t="shared" si="495"/>
        <v/>
      </c>
      <c r="L587" s="9" t="str">
        <f t="shared" si="496"/>
        <v/>
      </c>
      <c r="M587" s="9" t="str">
        <f t="shared" si="497"/>
        <v/>
      </c>
      <c r="N587" s="9" t="str">
        <f t="shared" si="498"/>
        <v/>
      </c>
      <c r="O587" s="9" t="str">
        <f t="shared" ref="O587:O588" si="499">IF(AND(C587=""),"",N587-P587)</f>
        <v/>
      </c>
      <c r="P587" s="9" t="str">
        <f>IF(AND(Y581=""),"",IF(AND(N587=""),"",ROUND(N587*AA$1%,0)))</f>
        <v/>
      </c>
      <c r="Q587" s="9" t="str">
        <f>IF(AND(Y581=""),"",IF(AND(C587=""),"",IF(AND(O587=""),"",SUM(O587,P587))))</f>
        <v/>
      </c>
      <c r="R587" s="9" t="str">
        <f t="shared" ref="R587:R588" si="500">IF(AND(N587=""),"",IF(AND(Q587=""),"",N587-Q587))</f>
        <v/>
      </c>
      <c r="S587" s="20"/>
    </row>
    <row r="588" spans="1:27" ht="21" customHeight="1">
      <c r="A588" s="8">
        <v>3</v>
      </c>
      <c r="B588" s="23" t="str">
        <f>IFERROR(DATE(YEAR(B587),MONTH(B587)+1,DAY(B587)),"")</f>
        <v/>
      </c>
      <c r="C588" s="9" t="str">
        <f>IF(AND(Y581=""),"",C587)</f>
        <v/>
      </c>
      <c r="D588" s="9" t="str">
        <f>IF(AND(C588=""),"",IF(AND(Y581=""),"",ROUND(C588*Master!C$5%,0)))</f>
        <v/>
      </c>
      <c r="E588" s="9" t="str">
        <f>IF(AND(C588=""),"",IF(AND(Y581=""),"",ROUND(C588*Master!H$5%,0)))</f>
        <v/>
      </c>
      <c r="F588" s="9" t="str">
        <f t="shared" ref="F588" si="501">IF(AND(C588=""),"",SUM(C588:E588))</f>
        <v/>
      </c>
      <c r="G588" s="9" t="str">
        <f>IF(AND(Y581=""),"",G587)</f>
        <v/>
      </c>
      <c r="H588" s="9" t="str">
        <f>IF(AND(G588=""),"",IF(AND(Y581=""),"",ROUND(G588*Master!C$4%,0)))</f>
        <v/>
      </c>
      <c r="I588" s="9" t="str">
        <f>IF(AND(G588=""),"",IF(AND(Y581=""),"",ROUND(G588*Master!H$4%,0)))</f>
        <v/>
      </c>
      <c r="J588" s="9" t="str">
        <f>IF(AND(C588=""),"",SUM(G588:I588))</f>
        <v/>
      </c>
      <c r="K588" s="9" t="str">
        <f t="shared" si="495"/>
        <v/>
      </c>
      <c r="L588" s="9" t="str">
        <f t="shared" si="496"/>
        <v/>
      </c>
      <c r="M588" s="9" t="str">
        <f>IF(AND(E588=""),"",IF(AND(I588=""),"",E588-I588))</f>
        <v/>
      </c>
      <c r="N588" s="9" t="str">
        <f>IF(AND(F588=""),"",IF(AND(J588=""),"",F588-J588))</f>
        <v/>
      </c>
      <c r="O588" s="9" t="str">
        <f t="shared" si="499"/>
        <v/>
      </c>
      <c r="P588" s="9" t="str">
        <f>IF(AND(Y581=""),"",IF(AND(N588=""),"",ROUND(N588*AA$1%,0)))</f>
        <v/>
      </c>
      <c r="Q588" s="9" t="str">
        <f>IF(AND(Y581=""),"",IF(AND(C588=""),"",IF(AND(O588=""),"",SUM(O588,P588))))</f>
        <v/>
      </c>
      <c r="R588" s="9" t="str">
        <f t="shared" si="500"/>
        <v/>
      </c>
      <c r="S588" s="20"/>
    </row>
    <row r="589" spans="1:27" ht="23.25" customHeight="1">
      <c r="A589" s="108" t="s">
        <v>9</v>
      </c>
      <c r="B589" s="109"/>
      <c r="C589" s="64">
        <f>IF(AND(Y581=""),"",SUM(C586:C588))</f>
        <v>0</v>
      </c>
      <c r="D589" s="64">
        <f>IF(AND(Y581=""),"",SUM(D586:D588))</f>
        <v>0</v>
      </c>
      <c r="E589" s="64">
        <f>IF(AND(Y581=""),"",SUM(E586:E588))</f>
        <v>0</v>
      </c>
      <c r="F589" s="64">
        <f>IF(AND(Y581=""),"",SUM(F586:F588))</f>
        <v>0</v>
      </c>
      <c r="G589" s="64">
        <f>IF(AND(Y581=""),"",SUM(G586:G588))</f>
        <v>0</v>
      </c>
      <c r="H589" s="64">
        <f>IF(AND(Y581=""),"",SUM(H586:H588))</f>
        <v>0</v>
      </c>
      <c r="I589" s="64">
        <f>IF(AND(Y581=""),"",SUM(I586:I588))</f>
        <v>0</v>
      </c>
      <c r="J589" s="64">
        <f>IF(AND(Y581=""),"",SUM(J586:J588))</f>
        <v>0</v>
      </c>
      <c r="K589" s="64">
        <f>IF(AND(Y581=""),"",SUM(K586:K588))</f>
        <v>0</v>
      </c>
      <c r="L589" s="64">
        <f>IF(AND(Y581=""),"",SUM(L586:L588))</f>
        <v>0</v>
      </c>
      <c r="M589" s="64">
        <f>IF(AND(Y581=""),"",SUM(M586:M588))</f>
        <v>0</v>
      </c>
      <c r="N589" s="64">
        <f>IF(AND(Y581=""),"",SUM(N586:N588))</f>
        <v>0</v>
      </c>
      <c r="O589" s="64">
        <f>IF(AND(Y581=""),"",SUM(O586:O588))</f>
        <v>0</v>
      </c>
      <c r="P589" s="64">
        <f>IF(AND(Y581=""),"",SUM(P586:P588))</f>
        <v>0</v>
      </c>
      <c r="Q589" s="64">
        <f>IF(AND(Y581=""),"",SUM(Q586:Q588))</f>
        <v>0</v>
      </c>
      <c r="R589" s="64">
        <f>IF(AND(Y581=""),"",SUM(R586:R588))</f>
        <v>0</v>
      </c>
      <c r="S589" s="50"/>
    </row>
    <row r="590" spans="1:27" ht="10.5" customHeight="1">
      <c r="A590" s="75"/>
      <c r="B590" s="75"/>
      <c r="C590" s="76"/>
      <c r="D590" s="76"/>
      <c r="E590" s="76"/>
      <c r="F590" s="76"/>
      <c r="G590" s="76"/>
      <c r="H590" s="76"/>
      <c r="I590" s="76"/>
      <c r="J590" s="76"/>
      <c r="K590" s="76"/>
      <c r="L590" s="76"/>
      <c r="M590" s="76"/>
      <c r="N590" s="76"/>
      <c r="O590" s="76"/>
      <c r="P590" s="76"/>
      <c r="Q590" s="76"/>
      <c r="R590" s="76"/>
      <c r="S590" s="77"/>
    </row>
    <row r="591" spans="1:27" ht="23.25" customHeight="1">
      <c r="E591" s="116" t="s">
        <v>10</v>
      </c>
      <c r="F591" s="116"/>
      <c r="G591" s="116"/>
      <c r="H591" s="116"/>
      <c r="I591" s="116"/>
      <c r="J591" s="115" t="str">
        <f>IF(ISNA(VLOOKUP(Y593,Master!A$8:N$127,2,FALSE)),"",VLOOKUP(Y593,Master!A$8:AH$127,2,FALSE))</f>
        <v/>
      </c>
      <c r="K591" s="115"/>
      <c r="L591" s="115"/>
      <c r="M591" s="115"/>
      <c r="N591" s="115"/>
      <c r="O591" s="61" t="s">
        <v>31</v>
      </c>
      <c r="P591" s="115" t="str">
        <f>IF(ISNA(VLOOKUP(Y593,Master!A$8:N$127,3,FALSE)),"",VLOOKUP(Y593,Master!A$8:AH$127,3,FALSE))</f>
        <v/>
      </c>
      <c r="Q591" s="115"/>
      <c r="R591" s="115"/>
      <c r="S591" s="115"/>
    </row>
    <row r="592" spans="1:27" ht="9" customHeight="1">
      <c r="E592" s="19"/>
      <c r="F592" s="53"/>
      <c r="G592" s="22"/>
      <c r="H592" s="22"/>
      <c r="I592" s="22"/>
      <c r="J592" s="5"/>
      <c r="K592" s="5"/>
      <c r="L592" s="5"/>
      <c r="M592" s="5"/>
      <c r="N592" s="5"/>
      <c r="O592" s="6"/>
      <c r="P592" s="6"/>
    </row>
    <row r="593" spans="1:25" ht="21" customHeight="1">
      <c r="A593" s="8">
        <v>1</v>
      </c>
      <c r="B593" s="23" t="str">
        <f>IFERROR(IF(ISNA(VLOOKUP(Y593,Master!A$8:N$127,8,FALSE)),"",VLOOKUP($Y593,Master!A$8:AH$127,8,FALSE)),"")</f>
        <v/>
      </c>
      <c r="C593" s="9" t="str">
        <f>IF(ISNA(VLOOKUP(Y593,Master!A$8:N$127,5,FALSE)),"",VLOOKUP(Y593,Master!A$8:AH$127,5,FALSE))</f>
        <v/>
      </c>
      <c r="D593" s="9" t="str">
        <f>IF(AND(C593=""),"",IF(AND(Y593=""),"",ROUND(C593*Master!C$5%,0)))</f>
        <v/>
      </c>
      <c r="E593" s="9" t="str">
        <f>IF(AND(C593=""),"",IF(AND(Y593=""),"",ROUND(C593*Master!H$5%,0)))</f>
        <v/>
      </c>
      <c r="F593" s="9" t="str">
        <f t="shared" ref="F593:F595" si="502">IF(AND(C593=""),"",SUM(C593:E593))</f>
        <v/>
      </c>
      <c r="G593" s="9" t="str">
        <f>IF(ISNA(VLOOKUP(Y593,Master!A$8:N$127,5,FALSE)),"",VLOOKUP(Y593,Master!A$8:AH$127,5,FALSE))</f>
        <v/>
      </c>
      <c r="H593" s="9" t="str">
        <f>IF(AND(G593=""),"",IF(AND(Y593=""),"",ROUND(G593*Master!C$4%,0)))</f>
        <v/>
      </c>
      <c r="I593" s="9" t="str">
        <f>IF(AND(G593=""),"",IF(AND(Y593=""),"",ROUND(G593*Master!H$4%,0)))</f>
        <v/>
      </c>
      <c r="J593" s="9" t="str">
        <f t="shared" ref="J593:J595" si="503">IF(AND(C593=""),"",SUM(G593:I593))</f>
        <v/>
      </c>
      <c r="K593" s="9" t="str">
        <f t="shared" ref="K593" si="504">IF(AND(C593=""),"",IF(AND(G593=""),"",C593-G593))</f>
        <v/>
      </c>
      <c r="L593" s="9" t="str">
        <f>IF(AND(D593=""),"",IF(AND(H593=""),"",D593-H593))</f>
        <v/>
      </c>
      <c r="M593" s="9" t="str">
        <f t="shared" ref="M593:M595" si="505">IF(AND(E593=""),"",IF(AND(I593=""),"",E593-I593))</f>
        <v/>
      </c>
      <c r="N593" s="9" t="str">
        <f t="shared" ref="N593:N595" si="506">IF(AND(F593=""),"",IF(AND(J593=""),"",F593-J593))</f>
        <v/>
      </c>
      <c r="O593" s="9" t="str">
        <f>IF(AND(C593=""),"",N593-P593)</f>
        <v/>
      </c>
      <c r="P593" s="9" t="str">
        <f>IF(AND(Y593=""),"",IF(AND(N593=""),"",ROUND(N593*X$16%,0)))</f>
        <v/>
      </c>
      <c r="Q593" s="9" t="str">
        <f>IF(AND(Y593=""),"",IF(AND(C593=""),"",IF(AND(O593=""),"",SUM(O593,P593))))</f>
        <v/>
      </c>
      <c r="R593" s="9" t="str">
        <f>IF(AND(N593=""),"",IF(AND(Q593=""),"",N593-Q593))</f>
        <v/>
      </c>
      <c r="S593" s="20"/>
      <c r="X593" s="62" t="s">
        <v>62</v>
      </c>
      <c r="Y593" s="65">
        <v>53</v>
      </c>
    </row>
    <row r="594" spans="1:25" ht="21" customHeight="1">
      <c r="A594" s="8">
        <v>2</v>
      </c>
      <c r="B594" s="23" t="str">
        <f>IFERROR(DATE(YEAR(B593),MONTH(B593)+1,DAY(B593)),"")</f>
        <v/>
      </c>
      <c r="C594" s="9" t="str">
        <f>IF(AND(Y593=""),"",C593)</f>
        <v/>
      </c>
      <c r="D594" s="9" t="str">
        <f>IF(AND(C594=""),"",IF(AND(Y593=""),"",ROUND(C594*Master!C$5%,0)))</f>
        <v/>
      </c>
      <c r="E594" s="9" t="str">
        <f>IF(AND(C594=""),"",IF(AND(Y593=""),"",ROUND(C594*Master!H$5%,0)))</f>
        <v/>
      </c>
      <c r="F594" s="9" t="str">
        <f t="shared" si="502"/>
        <v/>
      </c>
      <c r="G594" s="9" t="str">
        <f>IF(AND(Y593=""),"",G593)</f>
        <v/>
      </c>
      <c r="H594" s="9" t="str">
        <f>IF(AND(G594=""),"",IF(AND(Y593=""),"",ROUND(G594*Master!C$4%,0)))</f>
        <v/>
      </c>
      <c r="I594" s="9" t="str">
        <f>IF(AND(G594=""),"",IF(AND(Y593=""),"",ROUND(G594*Master!H$4%,0)))</f>
        <v/>
      </c>
      <c r="J594" s="9" t="str">
        <f t="shared" si="503"/>
        <v/>
      </c>
      <c r="K594" s="9" t="str">
        <f>IF(AND(C594=""),"",IF(AND(G594=""),"",C594-G594))</f>
        <v/>
      </c>
      <c r="L594" s="9" t="str">
        <f t="shared" ref="L594:L595" si="507">IF(AND(D594=""),"",IF(AND(H594=""),"",D594-H594))</f>
        <v/>
      </c>
      <c r="M594" s="9" t="str">
        <f t="shared" si="505"/>
        <v/>
      </c>
      <c r="N594" s="9" t="str">
        <f t="shared" si="506"/>
        <v/>
      </c>
      <c r="O594" s="9" t="str">
        <f t="shared" ref="O594:O595" si="508">IF(AND(C594=""),"",N594-P594)</f>
        <v/>
      </c>
      <c r="P594" s="9" t="str">
        <f>IF(AND(Y593=""),"",IF(AND(N594=""),"",ROUND(N594*X$16%,0)))</f>
        <v/>
      </c>
      <c r="Q594" s="9" t="str">
        <f>IF(AND(Y593=""),"",IF(AND(C594=""),"",IF(AND(O594=""),"",SUM(O594,P594))))</f>
        <v/>
      </c>
      <c r="R594" s="9" t="str">
        <f t="shared" ref="R594:R595" si="509">IF(AND(N594=""),"",IF(AND(Q594=""),"",N594-Q594))</f>
        <v/>
      </c>
      <c r="S594" s="20"/>
      <c r="X594" s="4" t="str">
        <f>IF(ISNA(VLOOKUP(Y593,Master!A$8:N$127,7,FALSE)),"",VLOOKUP(Y593,Master!A$8:AH$127,7,FALSE))</f>
        <v/>
      </c>
    </row>
    <row r="595" spans="1:25" ht="21" customHeight="1">
      <c r="A595" s="8">
        <v>3</v>
      </c>
      <c r="B595" s="23" t="str">
        <f>IFERROR(DATE(YEAR(B594),MONTH(B594)+1,DAY(B594)),"")</f>
        <v/>
      </c>
      <c r="C595" s="9" t="str">
        <f>IF(AND(Y593=""),"",C594)</f>
        <v/>
      </c>
      <c r="D595" s="9" t="str">
        <f>IF(AND(C595=""),"",IF(AND(Y593=""),"",ROUND(C595*Master!C$5%,0)))</f>
        <v/>
      </c>
      <c r="E595" s="9" t="str">
        <f>IF(AND(C595=""),"",IF(AND(Y593=""),"",ROUND(C595*Master!H$5%,0)))</f>
        <v/>
      </c>
      <c r="F595" s="9" t="str">
        <f t="shared" si="502"/>
        <v/>
      </c>
      <c r="G595" s="9" t="str">
        <f>IF(AND(Y593=""),"",G594)</f>
        <v/>
      </c>
      <c r="H595" s="9" t="str">
        <f>IF(AND(G595=""),"",IF(AND(Y593=""),"",ROUND(G595*Master!C$4%,0)))</f>
        <v/>
      </c>
      <c r="I595" s="9" t="str">
        <f>IF(AND(G595=""),"",IF(AND(Y593=""),"",ROUND(G595*Master!H$4%,0)))</f>
        <v/>
      </c>
      <c r="J595" s="9" t="str">
        <f t="shared" si="503"/>
        <v/>
      </c>
      <c r="K595" s="9" t="str">
        <f t="shared" ref="K595" si="510">IF(AND(C595=""),"",IF(AND(G595=""),"",C595-G595))</f>
        <v/>
      </c>
      <c r="L595" s="9" t="str">
        <f t="shared" si="507"/>
        <v/>
      </c>
      <c r="M595" s="9" t="str">
        <f t="shared" si="505"/>
        <v/>
      </c>
      <c r="N595" s="9" t="str">
        <f t="shared" si="506"/>
        <v/>
      </c>
      <c r="O595" s="9" t="str">
        <f t="shared" si="508"/>
        <v/>
      </c>
      <c r="P595" s="9" t="str">
        <f>IF(AND(Y593=""),"",IF(AND(N595=""),"",ROUND(N595*X$16%,0)))</f>
        <v/>
      </c>
      <c r="Q595" s="9" t="str">
        <f>IF(AND(Y593=""),"",IF(AND(C595=""),"",IF(AND(O595=""),"",SUM(O595,P595))))</f>
        <v/>
      </c>
      <c r="R595" s="9" t="str">
        <f t="shared" si="509"/>
        <v/>
      </c>
      <c r="S595" s="20"/>
    </row>
    <row r="596" spans="1:25" ht="30.75" customHeight="1">
      <c r="A596" s="108" t="s">
        <v>9</v>
      </c>
      <c r="B596" s="109"/>
      <c r="C596" s="64">
        <f>IF(AND(Y593=""),"",SUM(C593:C595))</f>
        <v>0</v>
      </c>
      <c r="D596" s="64">
        <f>IF(AND(Y593=""),"",SUM(D593:D595))</f>
        <v>0</v>
      </c>
      <c r="E596" s="64">
        <f>IF(AND(Y593=""),"",SUM(E593:E595))</f>
        <v>0</v>
      </c>
      <c r="F596" s="64">
        <f>IF(AND(Y593=""),"",SUM(F593:F595))</f>
        <v>0</v>
      </c>
      <c r="G596" s="64">
        <f>IF(AND(Y593=""),"",SUM(G593:G595))</f>
        <v>0</v>
      </c>
      <c r="H596" s="64">
        <f>IF(AND(Y593=""),"",SUM(H593:H595))</f>
        <v>0</v>
      </c>
      <c r="I596" s="64">
        <f>IF(AND(Y593=""),"",SUM(I593:I595))</f>
        <v>0</v>
      </c>
      <c r="J596" s="64">
        <f>IF(AND(Y593=""),"",SUM(J593:J595))</f>
        <v>0</v>
      </c>
      <c r="K596" s="64">
        <f>IF(AND(Y593=""),"",SUM(K593:K595))</f>
        <v>0</v>
      </c>
      <c r="L596" s="64">
        <f>IF(AND(Y593=""),"",SUM(L593:L595))</f>
        <v>0</v>
      </c>
      <c r="M596" s="64">
        <f>IF(AND(Y593=""),"",SUM(M593:M595))</f>
        <v>0</v>
      </c>
      <c r="N596" s="64">
        <f>IF(AND(Y593=""),"",SUM(N593:N595))</f>
        <v>0</v>
      </c>
      <c r="O596" s="64">
        <f>IF(AND(Y593=""),"",SUM(O593:O595))</f>
        <v>0</v>
      </c>
      <c r="P596" s="64">
        <f>IF(AND(Y593=""),"",SUM(P593:P595))</f>
        <v>0</v>
      </c>
      <c r="Q596" s="64">
        <f>IF(AND(Y593=""),"",SUM(Q593:Q595))</f>
        <v>0</v>
      </c>
      <c r="R596" s="64">
        <f>IF(AND(Y593=""),"",SUM(R593:R595))</f>
        <v>0</v>
      </c>
      <c r="S596" s="50"/>
    </row>
    <row r="597" spans="1:25" ht="11.25" customHeight="1">
      <c r="A597" s="75"/>
      <c r="B597" s="75"/>
      <c r="C597" s="76"/>
      <c r="D597" s="76"/>
      <c r="E597" s="76"/>
      <c r="F597" s="76"/>
      <c r="G597" s="76"/>
      <c r="H597" s="76"/>
      <c r="I597" s="76"/>
      <c r="J597" s="76"/>
      <c r="K597" s="76"/>
      <c r="L597" s="76"/>
      <c r="M597" s="76"/>
      <c r="N597" s="76"/>
      <c r="O597" s="76"/>
      <c r="P597" s="76"/>
      <c r="Q597" s="76"/>
      <c r="R597" s="76"/>
      <c r="S597" s="77"/>
    </row>
    <row r="598" spans="1:25" ht="23.25" customHeight="1">
      <c r="E598" s="116" t="s">
        <v>10</v>
      </c>
      <c r="F598" s="116"/>
      <c r="G598" s="116"/>
      <c r="H598" s="116"/>
      <c r="I598" s="116"/>
      <c r="J598" s="115" t="str">
        <f>IF(ISNA(VLOOKUP(Y600,Master!A$8:N$127,2,FALSE)),"",VLOOKUP(Y600,Master!A$8:AH$127,2,FALSE))</f>
        <v/>
      </c>
      <c r="K598" s="115"/>
      <c r="L598" s="115"/>
      <c r="M598" s="115"/>
      <c r="N598" s="115"/>
      <c r="O598" s="61" t="s">
        <v>31</v>
      </c>
      <c r="P598" s="115" t="str">
        <f>IF(ISNA(VLOOKUP($Y$396,Master!A$8:N$127,3,FALSE)),"",VLOOKUP($Y$396,Master!A$8:AH$127,3,FALSE))</f>
        <v/>
      </c>
      <c r="Q598" s="115"/>
      <c r="R598" s="115"/>
      <c r="S598" s="115"/>
    </row>
    <row r="599" spans="1:25" ht="9" customHeight="1">
      <c r="E599" s="19"/>
      <c r="F599" s="53"/>
      <c r="G599" s="22"/>
      <c r="H599" s="22"/>
      <c r="I599" s="22"/>
      <c r="J599" s="5"/>
      <c r="K599" s="5"/>
      <c r="L599" s="5"/>
      <c r="M599" s="5"/>
      <c r="N599" s="5"/>
      <c r="O599" s="6"/>
      <c r="P599" s="6"/>
    </row>
    <row r="600" spans="1:25" ht="21" customHeight="1">
      <c r="A600" s="8">
        <v>1</v>
      </c>
      <c r="B600" s="23" t="str">
        <f>IFERROR(IF(ISNA(VLOOKUP(Y600,Master!A$8:N$127,8,FALSE)),"",VLOOKUP($Y600,Master!A$8:AH$127,8,FALSE)),"")</f>
        <v/>
      </c>
      <c r="C600" s="9" t="str">
        <f>IF(ISNA(VLOOKUP(Y600,Master!A$8:N$127,5,FALSE)),"",VLOOKUP(Y600,Master!A$8:AH$127,5,FALSE))</f>
        <v/>
      </c>
      <c r="D600" s="9" t="str">
        <f>IF(AND(C600=""),"",IF(AND(Y600=""),"",ROUND(C600*Master!C$5%,0)))</f>
        <v/>
      </c>
      <c r="E600" s="9" t="str">
        <f>IF(AND(C600=""),"",IF(AND(Y600=""),"",ROUND(C600*Master!H$5%,0)))</f>
        <v/>
      </c>
      <c r="F600" s="9" t="str">
        <f t="shared" ref="F600:F602" si="511">IF(AND(C600=""),"",SUM(C600:E600))</f>
        <v/>
      </c>
      <c r="G600" s="9" t="str">
        <f>IF(ISNA(VLOOKUP(Y600,Master!A$8:N$127,5,FALSE)),"",VLOOKUP(Y600,Master!A$8:AH$127,5,FALSE))</f>
        <v/>
      </c>
      <c r="H600" s="9" t="str">
        <f>IF(AND(G600=""),"",IF(AND(Y600=""),"",ROUND(G600*Master!C$4%,0)))</f>
        <v/>
      </c>
      <c r="I600" s="9" t="str">
        <f>IF(AND(G600=""),"",IF(AND(Y600=""),"",ROUND(G600*Master!H$4%,0)))</f>
        <v/>
      </c>
      <c r="J600" s="9" t="str">
        <f t="shared" ref="J600:J602" si="512">IF(AND(C600=""),"",SUM(G600:I600))</f>
        <v/>
      </c>
      <c r="K600" s="9" t="str">
        <f t="shared" ref="K600:K602" si="513">IF(AND(C600=""),"",IF(AND(G600=""),"",C600-G600))</f>
        <v/>
      </c>
      <c r="L600" s="9" t="str">
        <f t="shared" ref="L600:L602" si="514">IF(AND(D600=""),"",IF(AND(H600=""),"",D600-H600))</f>
        <v/>
      </c>
      <c r="M600" s="9" t="str">
        <f t="shared" ref="M600:M602" si="515">IF(AND(E600=""),"",IF(AND(I600=""),"",E600-I600))</f>
        <v/>
      </c>
      <c r="N600" s="9" t="str">
        <f t="shared" ref="N600:N602" si="516">IF(AND(F600=""),"",IF(AND(J600=""),"",F600-J600))</f>
        <v/>
      </c>
      <c r="O600" s="9" t="str">
        <f>IF(AND(C600=""),"",N600-P600)</f>
        <v/>
      </c>
      <c r="P600" s="9" t="str">
        <f>IF(AND(Y600=""),"",IF(AND(N600=""),"",ROUND(N600*AA$1%,0)))</f>
        <v/>
      </c>
      <c r="Q600" s="9" t="str">
        <f>IF(AND(Y600=""),"",IF(AND(C600=""),"",IF(AND(O600=""),"",SUM(O600,P600))))</f>
        <v/>
      </c>
      <c r="R600" s="9" t="str">
        <f>IF(AND(N600=""),"",IF(AND(Q600=""),"",N600-Q600))</f>
        <v/>
      </c>
      <c r="S600" s="20"/>
      <c r="X600" s="62" t="s">
        <v>62</v>
      </c>
      <c r="Y600" s="65">
        <v>54</v>
      </c>
    </row>
    <row r="601" spans="1:25" ht="21" customHeight="1">
      <c r="A601" s="8">
        <v>2</v>
      </c>
      <c r="B601" s="23" t="str">
        <f>IFERROR(DATE(YEAR(B600),MONTH(B600)+1,DAY(B600)),"")</f>
        <v/>
      </c>
      <c r="C601" s="9" t="str">
        <f>IF(AND(Y600=""),"",C600)</f>
        <v/>
      </c>
      <c r="D601" s="9" t="str">
        <f>IF(AND(C601=""),"",IF(AND(Y600=""),"",ROUND(C601*Master!C$5%,0)))</f>
        <v/>
      </c>
      <c r="E601" s="9" t="str">
        <f>IF(AND(C601=""),"",IF(AND(Y600=""),"",ROUND(C601*Master!H$5%,0)))</f>
        <v/>
      </c>
      <c r="F601" s="9" t="str">
        <f t="shared" si="511"/>
        <v/>
      </c>
      <c r="G601" s="9" t="str">
        <f>IF(AND(Y600=""),"",G600)</f>
        <v/>
      </c>
      <c r="H601" s="9" t="str">
        <f>IF(AND(G601=""),"",IF(AND(Y600=""),"",ROUND(G601*Master!C$4%,0)))</f>
        <v/>
      </c>
      <c r="I601" s="9" t="str">
        <f>IF(AND(G601=""),"",IF(AND(Y600=""),"",ROUND(G601*Master!H$4%,0)))</f>
        <v/>
      </c>
      <c r="J601" s="9" t="str">
        <f t="shared" si="512"/>
        <v/>
      </c>
      <c r="K601" s="9" t="str">
        <f t="shared" si="513"/>
        <v/>
      </c>
      <c r="L601" s="9" t="str">
        <f t="shared" si="514"/>
        <v/>
      </c>
      <c r="M601" s="9" t="str">
        <f t="shared" si="515"/>
        <v/>
      </c>
      <c r="N601" s="9" t="str">
        <f t="shared" si="516"/>
        <v/>
      </c>
      <c r="O601" s="9" t="str">
        <f t="shared" ref="O601:O602" si="517">IF(AND(C601=""),"",N601-P601)</f>
        <v/>
      </c>
      <c r="P601" s="9" t="str">
        <f>IF(AND(Y600=""),"",IF(AND(N601=""),"",ROUND(N601*AA$1%,0)))</f>
        <v/>
      </c>
      <c r="Q601" s="9" t="str">
        <f>IF(AND(Y600=""),"",IF(AND(C601=""),"",IF(AND(O601=""),"",SUM(O601,P601))))</f>
        <v/>
      </c>
      <c r="R601" s="9" t="str">
        <f t="shared" ref="R601:R602" si="518">IF(AND(N601=""),"",IF(AND(Q601=""),"",N601-Q601))</f>
        <v/>
      </c>
      <c r="S601" s="20"/>
      <c r="X601" s="4" t="str">
        <f>IF(ISNA(VLOOKUP(Y600,Master!A$8:N$127,7,FALSE)),"",VLOOKUP(Y600,Master!A$8:AH$127,7,FALSE))</f>
        <v/>
      </c>
    </row>
    <row r="602" spans="1:25" ht="21" customHeight="1">
      <c r="A602" s="8">
        <v>3</v>
      </c>
      <c r="B602" s="23" t="str">
        <f>IFERROR(DATE(YEAR(B601),MONTH(B601)+1,DAY(B601)),"")</f>
        <v/>
      </c>
      <c r="C602" s="9" t="str">
        <f>IF(AND(Y600=""),"",C601)</f>
        <v/>
      </c>
      <c r="D602" s="9" t="str">
        <f>IF(AND(C602=""),"",IF(AND(Y600=""),"",ROUND(C602*Master!C$5%,0)))</f>
        <v/>
      </c>
      <c r="E602" s="9" t="str">
        <f>IF(AND(C602=""),"",IF(AND(Y600=""),"",ROUND(C602*Master!H$5%,0)))</f>
        <v/>
      </c>
      <c r="F602" s="9" t="str">
        <f t="shared" si="511"/>
        <v/>
      </c>
      <c r="G602" s="9" t="str">
        <f>IF(AND(Y600=""),"",G601)</f>
        <v/>
      </c>
      <c r="H602" s="9" t="str">
        <f>IF(AND(G602=""),"",IF(AND(Y600=""),"",ROUND(G602*Master!C$4%,0)))</f>
        <v/>
      </c>
      <c r="I602" s="9" t="str">
        <f>IF(AND(G602=""),"",IF(AND(Y600=""),"",ROUND(G602*Master!H$4%,0)))</f>
        <v/>
      </c>
      <c r="J602" s="9" t="str">
        <f t="shared" si="512"/>
        <v/>
      </c>
      <c r="K602" s="9" t="str">
        <f t="shared" si="513"/>
        <v/>
      </c>
      <c r="L602" s="9" t="str">
        <f t="shared" si="514"/>
        <v/>
      </c>
      <c r="M602" s="9" t="str">
        <f t="shared" si="515"/>
        <v/>
      </c>
      <c r="N602" s="9" t="str">
        <f t="shared" si="516"/>
        <v/>
      </c>
      <c r="O602" s="9" t="str">
        <f t="shared" si="517"/>
        <v/>
      </c>
      <c r="P602" s="9" t="str">
        <f>IF(AND(Y600=""),"",IF(AND(N602=""),"",ROUND(N602*AA$1%,0)))</f>
        <v/>
      </c>
      <c r="Q602" s="9" t="str">
        <f>IF(AND(Y600=""),"",IF(AND(C602=""),"",IF(AND(O602=""),"",SUM(O602,P602))))</f>
        <v/>
      </c>
      <c r="R602" s="9" t="str">
        <f t="shared" si="518"/>
        <v/>
      </c>
      <c r="S602" s="20"/>
    </row>
    <row r="603" spans="1:25" ht="30.75" customHeight="1">
      <c r="A603" s="108" t="s">
        <v>9</v>
      </c>
      <c r="B603" s="109"/>
      <c r="C603" s="64">
        <f>IF(AND(Y600=""),"",SUM(C600:C602))</f>
        <v>0</v>
      </c>
      <c r="D603" s="64">
        <f>IF(AND(Y600=""),"",SUM(D600:D602))</f>
        <v>0</v>
      </c>
      <c r="E603" s="64">
        <f>IF(AND(Y600=""),"",SUM(E600:E602))</f>
        <v>0</v>
      </c>
      <c r="F603" s="64">
        <f>IF(AND(Y600=""),"",SUM(F600:F602))</f>
        <v>0</v>
      </c>
      <c r="G603" s="64">
        <f>IF(AND(Y600=""),"",SUM(G600:G602))</f>
        <v>0</v>
      </c>
      <c r="H603" s="64">
        <f>IF(AND(Y600=""),"",SUM(H600:H602))</f>
        <v>0</v>
      </c>
      <c r="I603" s="64">
        <f>IF(AND(Y600=""),"",SUM(I600:I602))</f>
        <v>0</v>
      </c>
      <c r="J603" s="64">
        <f>IF(AND(Y600=""),"",SUM(J600:J602))</f>
        <v>0</v>
      </c>
      <c r="K603" s="64">
        <f>IF(AND(Y600=""),"",SUM(K600:K602))</f>
        <v>0</v>
      </c>
      <c r="L603" s="64">
        <f>IF(AND(Y600=""),"",SUM(L600:L602))</f>
        <v>0</v>
      </c>
      <c r="M603" s="64">
        <f>IF(AND(Y600=""),"",SUM(M600:M602))</f>
        <v>0</v>
      </c>
      <c r="N603" s="64">
        <f>IF(AND(Y600=""),"",SUM(N600:N602))</f>
        <v>0</v>
      </c>
      <c r="O603" s="64">
        <f>IF(AND(Y600=""),"",SUM(O600:O602))</f>
        <v>0</v>
      </c>
      <c r="P603" s="64">
        <f>IF(AND(Y600=""),"",SUM(P600:P602))</f>
        <v>0</v>
      </c>
      <c r="Q603" s="64">
        <f>IF(AND(Y600=""),"",SUM(Q600:Q602))</f>
        <v>0</v>
      </c>
      <c r="R603" s="64">
        <f>IF(AND(Y600=""),"",SUM(R600:R602))</f>
        <v>0</v>
      </c>
      <c r="S603" s="50"/>
    </row>
    <row r="604" spans="1:25" ht="30.75" customHeight="1">
      <c r="A604" s="75"/>
      <c r="B604" s="75"/>
      <c r="C604" s="76"/>
      <c r="D604" s="76"/>
      <c r="E604" s="76"/>
      <c r="F604" s="76"/>
      <c r="G604" s="76"/>
      <c r="H604" s="76"/>
      <c r="I604" s="76"/>
      <c r="J604" s="76"/>
      <c r="K604" s="76"/>
      <c r="L604" s="76"/>
      <c r="M604" s="76"/>
      <c r="N604" s="76"/>
      <c r="O604" s="76"/>
      <c r="P604" s="76"/>
      <c r="Q604" s="76"/>
      <c r="R604" s="76"/>
      <c r="S604" s="77"/>
    </row>
    <row r="605" spans="1:25" ht="18.75">
      <c r="A605" s="21"/>
      <c r="B605" s="59"/>
      <c r="C605" s="59"/>
      <c r="D605" s="59"/>
      <c r="E605" s="59"/>
      <c r="F605" s="59"/>
      <c r="G605" s="59"/>
      <c r="H605" s="60"/>
      <c r="I605" s="60"/>
      <c r="J605" s="60"/>
      <c r="K605" s="68"/>
      <c r="L605" s="68"/>
      <c r="M605" s="68"/>
      <c r="N605" s="68"/>
      <c r="O605" s="107" t="s">
        <v>55</v>
      </c>
      <c r="P605" s="107"/>
      <c r="Q605" s="107"/>
      <c r="R605" s="107"/>
      <c r="S605" s="107"/>
    </row>
    <row r="606" spans="1:25" ht="18.75">
      <c r="A606" s="1"/>
      <c r="B606" s="24" t="s">
        <v>19</v>
      </c>
      <c r="C606" s="118"/>
      <c r="D606" s="118"/>
      <c r="E606" s="118"/>
      <c r="F606" s="118"/>
      <c r="G606" s="118"/>
      <c r="H606" s="25"/>
      <c r="I606" s="121" t="s">
        <v>20</v>
      </c>
      <c r="J606" s="121"/>
      <c r="K606" s="120"/>
      <c r="L606" s="120"/>
      <c r="M606" s="120"/>
      <c r="O606" s="107"/>
      <c r="P606" s="107"/>
      <c r="Q606" s="107"/>
      <c r="R606" s="107"/>
      <c r="S606" s="107"/>
    </row>
    <row r="607" spans="1:25" ht="18.75">
      <c r="A607" s="1"/>
      <c r="B607" s="119" t="s">
        <v>21</v>
      </c>
      <c r="C607" s="119"/>
      <c r="D607" s="119"/>
      <c r="E607" s="119"/>
      <c r="F607" s="119"/>
      <c r="G607" s="119"/>
      <c r="H607" s="119"/>
      <c r="I607" s="27"/>
      <c r="J607" s="26"/>
      <c r="K607" s="26"/>
      <c r="L607" s="26"/>
      <c r="M607" s="26"/>
    </row>
    <row r="608" spans="1:25" ht="18.75">
      <c r="A608" s="22">
        <v>1</v>
      </c>
      <c r="B608" s="117" t="s">
        <v>22</v>
      </c>
      <c r="C608" s="117"/>
      <c r="D608" s="117"/>
      <c r="E608" s="117"/>
      <c r="F608" s="117"/>
      <c r="G608" s="117"/>
      <c r="H608" s="117"/>
      <c r="I608" s="28"/>
      <c r="J608" s="26"/>
      <c r="K608" s="26"/>
      <c r="L608" s="26"/>
      <c r="M608" s="26"/>
    </row>
    <row r="609" spans="1:27" ht="18.75">
      <c r="A609" s="2">
        <v>2</v>
      </c>
      <c r="B609" s="117" t="s">
        <v>23</v>
      </c>
      <c r="C609" s="117"/>
      <c r="D609" s="117"/>
      <c r="E609" s="117"/>
      <c r="F609" s="117"/>
      <c r="G609" s="115"/>
      <c r="H609" s="115"/>
      <c r="I609" s="115"/>
      <c r="J609" s="115"/>
      <c r="K609" s="115"/>
      <c r="L609" s="115"/>
      <c r="M609" s="115"/>
    </row>
    <row r="610" spans="1:27" ht="18.75">
      <c r="A610" s="3">
        <v>3</v>
      </c>
      <c r="B610" s="117" t="s">
        <v>24</v>
      </c>
      <c r="C610" s="117"/>
      <c r="D610" s="117"/>
      <c r="E610" s="29"/>
      <c r="F610" s="28"/>
      <c r="G610" s="28"/>
      <c r="H610" s="30"/>
      <c r="I610" s="31"/>
      <c r="J610" s="26"/>
      <c r="K610" s="26"/>
      <c r="L610" s="26"/>
      <c r="M610" s="26"/>
    </row>
    <row r="611" spans="1:27" ht="15.75">
      <c r="O611" s="107" t="s">
        <v>55</v>
      </c>
      <c r="P611" s="107"/>
      <c r="Q611" s="107"/>
      <c r="R611" s="107"/>
      <c r="S611" s="107"/>
    </row>
    <row r="613" spans="1:27" ht="18" customHeight="1">
      <c r="A613" s="122" t="str">
        <f>A579</f>
        <v xml:space="preserve">DA (38%) Drawn Statement  </v>
      </c>
      <c r="B613" s="122"/>
      <c r="C613" s="122"/>
      <c r="D613" s="122"/>
      <c r="E613" s="122"/>
      <c r="F613" s="122"/>
      <c r="G613" s="122"/>
      <c r="H613" s="122"/>
      <c r="I613" s="122"/>
      <c r="J613" s="122"/>
      <c r="K613" s="122"/>
      <c r="L613" s="122"/>
      <c r="M613" s="122"/>
      <c r="N613" s="122"/>
      <c r="O613" s="122"/>
      <c r="P613" s="122"/>
      <c r="Q613" s="122"/>
      <c r="R613" s="122"/>
      <c r="S613" s="122"/>
      <c r="W613" s="4">
        <f>IF(ISNA(VLOOKUP($Y$3,Master!A$8:N$127,4,FALSE)),"",VLOOKUP($Y$3,Master!A$8:AH$127,4,FALSE))</f>
        <v>3</v>
      </c>
      <c r="X613" s="4" t="str">
        <f>IF(ISNA(VLOOKUP($Y$3,Master!A$8:N$127,6,FALSE)),"",VLOOKUP($Y$3,Master!A$8:AH$127,6,FALSE))</f>
        <v>GPF</v>
      </c>
      <c r="Y613" s="4" t="s">
        <v>58</v>
      </c>
      <c r="Z613" s="4" t="s">
        <v>18</v>
      </c>
      <c r="AA613" s="4" t="str">
        <f>IF(ISNA(VLOOKUP(Y615,Master!A$8:N$127,7,FALSE)),"",VLOOKUP(Y615,Master!A$8:AH$127,7,FALSE))</f>
        <v/>
      </c>
    </row>
    <row r="614" spans="1:27" ht="18">
      <c r="A614" s="114" t="str">
        <f>IF(AND(Master!C615=""),"",CONCATENATE("Office Of  ",Master!C615))</f>
        <v/>
      </c>
      <c r="B614" s="114"/>
      <c r="C614" s="114"/>
      <c r="D614" s="114"/>
      <c r="E614" s="114"/>
      <c r="F614" s="114"/>
      <c r="G614" s="114"/>
      <c r="H614" s="114"/>
      <c r="I614" s="114"/>
      <c r="J614" s="114"/>
      <c r="K614" s="114"/>
      <c r="L614" s="114"/>
      <c r="M614" s="114"/>
      <c r="N614" s="114"/>
      <c r="O614" s="114"/>
      <c r="P614" s="114"/>
      <c r="Q614" s="114"/>
      <c r="R614" s="114"/>
      <c r="S614" s="114"/>
      <c r="X614" s="4">
        <f>IF(ISNA(VLOOKUP($Y$3,Master!A$8:N$127,8,FALSE)),"",VLOOKUP($Y$3,Master!A$8:AH$127,8,FALSE))</f>
        <v>44743</v>
      </c>
      <c r="Y614" s="4" t="s">
        <v>56</v>
      </c>
    </row>
    <row r="615" spans="1:27" ht="18.75">
      <c r="E615" s="116" t="s">
        <v>10</v>
      </c>
      <c r="F615" s="116"/>
      <c r="G615" s="116"/>
      <c r="H615" s="116"/>
      <c r="I615" s="116"/>
      <c r="J615" s="115" t="str">
        <f>IF(ISNA(VLOOKUP(Y615,Master!A$8:N$127,2,FALSE)),"",VLOOKUP(Y615,Master!A$8:AH$127,2,FALSE))</f>
        <v/>
      </c>
      <c r="K615" s="115"/>
      <c r="L615" s="115"/>
      <c r="M615" s="115"/>
      <c r="N615" s="115"/>
      <c r="O615" s="61" t="s">
        <v>31</v>
      </c>
      <c r="P615" s="115" t="str">
        <f>IF(ISNA(VLOOKUP(Y615,Master!A$8:N$127,3,FALSE)),"",VLOOKUP(Y615,Master!A$8:AH$127,3,FALSE))</f>
        <v/>
      </c>
      <c r="Q615" s="115"/>
      <c r="R615" s="115"/>
      <c r="S615" s="115"/>
      <c r="X615" s="62" t="s">
        <v>62</v>
      </c>
      <c r="Y615" s="65">
        <v>55</v>
      </c>
    </row>
    <row r="616" spans="1:27" ht="8.25" customHeight="1">
      <c r="E616" s="19"/>
      <c r="F616" s="53"/>
      <c r="G616" s="22"/>
      <c r="H616" s="22"/>
      <c r="I616" s="22"/>
      <c r="J616" s="5"/>
      <c r="K616" s="5"/>
      <c r="L616" s="5"/>
      <c r="M616" s="5"/>
      <c r="N616" s="5"/>
      <c r="O616" s="6"/>
      <c r="P616" s="6"/>
    </row>
    <row r="617" spans="1:27" ht="24.75" customHeight="1">
      <c r="A617" s="110" t="s">
        <v>0</v>
      </c>
      <c r="B617" s="111" t="s">
        <v>3</v>
      </c>
      <c r="C617" s="112" t="s">
        <v>5</v>
      </c>
      <c r="D617" s="112"/>
      <c r="E617" s="112"/>
      <c r="F617" s="112"/>
      <c r="G617" s="112" t="s">
        <v>6</v>
      </c>
      <c r="H617" s="112"/>
      <c r="I617" s="112"/>
      <c r="J617" s="112"/>
      <c r="K617" s="112" t="s">
        <v>7</v>
      </c>
      <c r="L617" s="112"/>
      <c r="M617" s="112"/>
      <c r="N617" s="112"/>
      <c r="O617" s="97" t="s">
        <v>8</v>
      </c>
      <c r="P617" s="98"/>
      <c r="Q617" s="99"/>
      <c r="R617" s="105" t="s">
        <v>67</v>
      </c>
      <c r="S617" s="105" t="s">
        <v>50</v>
      </c>
    </row>
    <row r="618" spans="1:27" ht="69" customHeight="1">
      <c r="A618" s="110"/>
      <c r="B618" s="111"/>
      <c r="C618" s="55" t="s">
        <v>29</v>
      </c>
      <c r="D618" s="56" t="s">
        <v>1</v>
      </c>
      <c r="E618" s="57" t="s">
        <v>2</v>
      </c>
      <c r="F618" s="55" t="s">
        <v>59</v>
      </c>
      <c r="G618" s="55" t="s">
        <v>29</v>
      </c>
      <c r="H618" s="56" t="s">
        <v>1</v>
      </c>
      <c r="I618" s="57" t="s">
        <v>2</v>
      </c>
      <c r="J618" s="55" t="s">
        <v>60</v>
      </c>
      <c r="K618" s="55" t="s">
        <v>4</v>
      </c>
      <c r="L618" s="56" t="s">
        <v>1</v>
      </c>
      <c r="M618" s="57" t="s">
        <v>2</v>
      </c>
      <c r="N618" s="58" t="s">
        <v>61</v>
      </c>
      <c r="O618" s="54" t="s">
        <v>83</v>
      </c>
      <c r="P618" s="67" t="s">
        <v>51</v>
      </c>
      <c r="Q618" s="58" t="s">
        <v>66</v>
      </c>
      <c r="R618" s="105"/>
      <c r="S618" s="105"/>
    </row>
    <row r="619" spans="1:27" ht="18" customHeight="1">
      <c r="A619" s="7">
        <v>1</v>
      </c>
      <c r="B619" s="7">
        <v>2</v>
      </c>
      <c r="C619" s="7">
        <v>3</v>
      </c>
      <c r="D619" s="7">
        <v>4</v>
      </c>
      <c r="E619" s="7">
        <v>5</v>
      </c>
      <c r="F619" s="7">
        <v>6</v>
      </c>
      <c r="G619" s="7">
        <v>7</v>
      </c>
      <c r="H619" s="7">
        <v>8</v>
      </c>
      <c r="I619" s="7">
        <v>9</v>
      </c>
      <c r="J619" s="7">
        <v>10</v>
      </c>
      <c r="K619" s="7">
        <v>11</v>
      </c>
      <c r="L619" s="7">
        <v>12</v>
      </c>
      <c r="M619" s="7">
        <v>13</v>
      </c>
      <c r="N619" s="7">
        <v>14</v>
      </c>
      <c r="O619" s="7">
        <v>15</v>
      </c>
      <c r="P619" s="7">
        <v>17</v>
      </c>
      <c r="Q619" s="7">
        <v>18</v>
      </c>
      <c r="R619" s="7">
        <v>19</v>
      </c>
      <c r="S619" s="7">
        <v>20</v>
      </c>
    </row>
    <row r="620" spans="1:27" ht="21" customHeight="1">
      <c r="A620" s="8">
        <v>1</v>
      </c>
      <c r="B620" s="23" t="str">
        <f>IFERROR(IF(ISNA(VLOOKUP(Y615,Master!A$8:N$127,8,FALSE)),"",VLOOKUP($Y615,Master!A$8:AH$127,8,FALSE)),"")</f>
        <v/>
      </c>
      <c r="C620" s="9" t="str">
        <f>IF(ISNA(VLOOKUP(Y615,Master!A$8:N$127,5,FALSE)),"",VLOOKUP(Y615,Master!A$8:AH$127,5,FALSE))</f>
        <v/>
      </c>
      <c r="D620" s="9" t="str">
        <f>IF(AND(C620=""),"",IF(AND(Y615=""),"",ROUND(C620*Master!C$5%,0)))</f>
        <v/>
      </c>
      <c r="E620" s="9" t="str">
        <f>IF(AND(C620=""),"",IF(AND(Y615=""),"",ROUND(C620*Master!H$5%,0)))</f>
        <v/>
      </c>
      <c r="F620" s="9" t="str">
        <f t="shared" ref="F620" si="519">IF(AND(C620=""),"",SUM(C620:E620))</f>
        <v/>
      </c>
      <c r="G620" s="9" t="str">
        <f>IF(ISNA(VLOOKUP(Y615,Master!A$8:N$127,5,FALSE)),"",VLOOKUP(Y615,Master!A$8:AH$127,5,FALSE))</f>
        <v/>
      </c>
      <c r="H620" s="9" t="str">
        <f>IF(AND(G620=""),"",IF(AND(Y615=""),"",ROUND(G620*Master!C$4%,0)))</f>
        <v/>
      </c>
      <c r="I620" s="9" t="str">
        <f>IF(AND(G620=""),"",IF(AND(Y615=""),"",ROUND(G620*Master!H$4%,0)))</f>
        <v/>
      </c>
      <c r="J620" s="9" t="str">
        <f t="shared" ref="J620:J621" si="520">IF(AND(C620=""),"",SUM(G620:I620))</f>
        <v/>
      </c>
      <c r="K620" s="9" t="str">
        <f t="shared" ref="K620:K622" si="521">IF(AND(C620=""),"",IF(AND(G620=""),"",C620-G620))</f>
        <v/>
      </c>
      <c r="L620" s="9" t="str">
        <f t="shared" ref="L620:L622" si="522">IF(AND(D620=""),"",IF(AND(H620=""),"",D620-H620))</f>
        <v/>
      </c>
      <c r="M620" s="9" t="str">
        <f t="shared" ref="M620:M621" si="523">IF(AND(E620=""),"",IF(AND(I620=""),"",E620-I620))</f>
        <v/>
      </c>
      <c r="N620" s="9" t="str">
        <f t="shared" ref="N620:N621" si="524">IF(AND(F620=""),"",IF(AND(J620=""),"",F620-J620))</f>
        <v/>
      </c>
      <c r="O620" s="9" t="str">
        <f>IF(AND(C620=""),"",N620-P620)</f>
        <v/>
      </c>
      <c r="P620" s="9" t="str">
        <f>IF(AND(Y615=""),"",IF(AND(N620=""),"",ROUND(N620*AA$1%,0)))</f>
        <v/>
      </c>
      <c r="Q620" s="9" t="str">
        <f>IF(AND(Y615=""),"",IF(AND(C620=""),"",IF(AND(O620=""),"",SUM(O620,P620))))</f>
        <v/>
      </c>
      <c r="R620" s="9" t="str">
        <f>IF(AND(N620=""),"",IF(AND(Q620=""),"",N620-Q620))</f>
        <v/>
      </c>
      <c r="S620" s="20"/>
    </row>
    <row r="621" spans="1:27" ht="21" customHeight="1">
      <c r="A621" s="8">
        <v>2</v>
      </c>
      <c r="B621" s="23" t="str">
        <f>IFERROR(DATE(YEAR(B620),MONTH(B620)+1,DAY(B620)),"")</f>
        <v/>
      </c>
      <c r="C621" s="9" t="str">
        <f>IF(AND(Y615=""),"",C620)</f>
        <v/>
      </c>
      <c r="D621" s="9" t="str">
        <f>IF(AND(C621=""),"",IF(AND(Y615=""),"",ROUND(C621*Master!C$5%,0)))</f>
        <v/>
      </c>
      <c r="E621" s="9" t="str">
        <f>IF(AND(C621=""),"",IF(AND(Y615=""),"",ROUND(C621*Master!H$5%,0)))</f>
        <v/>
      </c>
      <c r="F621" s="9" t="str">
        <f>IF(AND(C621=""),"",SUM(C621:E621))</f>
        <v/>
      </c>
      <c r="G621" s="9" t="str">
        <f>IF(AND(Y615=""),"",G620)</f>
        <v/>
      </c>
      <c r="H621" s="9" t="str">
        <f>IF(AND(G621=""),"",IF(AND(Y615=""),"",ROUND(G621*Master!C$4%,0)))</f>
        <v/>
      </c>
      <c r="I621" s="9" t="str">
        <f>IF(AND(G621=""),"",IF(AND(Y615=""),"",ROUND(G621*Master!H$4%,0)))</f>
        <v/>
      </c>
      <c r="J621" s="9" t="str">
        <f t="shared" si="520"/>
        <v/>
      </c>
      <c r="K621" s="9" t="str">
        <f t="shared" si="521"/>
        <v/>
      </c>
      <c r="L621" s="9" t="str">
        <f t="shared" si="522"/>
        <v/>
      </c>
      <c r="M621" s="9" t="str">
        <f t="shared" si="523"/>
        <v/>
      </c>
      <c r="N621" s="9" t="str">
        <f t="shared" si="524"/>
        <v/>
      </c>
      <c r="O621" s="9" t="str">
        <f t="shared" ref="O621:O622" si="525">IF(AND(C621=""),"",N621-P621)</f>
        <v/>
      </c>
      <c r="P621" s="9" t="str">
        <f>IF(AND(Y615=""),"",IF(AND(N621=""),"",ROUND(N621*AA$1%,0)))</f>
        <v/>
      </c>
      <c r="Q621" s="9" t="str">
        <f>IF(AND(Y615=""),"",IF(AND(C621=""),"",IF(AND(O621=""),"",SUM(O621,P621))))</f>
        <v/>
      </c>
      <c r="R621" s="9" t="str">
        <f t="shared" ref="R621:R622" si="526">IF(AND(N621=""),"",IF(AND(Q621=""),"",N621-Q621))</f>
        <v/>
      </c>
      <c r="S621" s="20"/>
    </row>
    <row r="622" spans="1:27" ht="21" customHeight="1">
      <c r="A622" s="8">
        <v>3</v>
      </c>
      <c r="B622" s="23" t="str">
        <f>IFERROR(DATE(YEAR(B621),MONTH(B621)+1,DAY(B621)),"")</f>
        <v/>
      </c>
      <c r="C622" s="9" t="str">
        <f>IF(AND(Y615=""),"",C621)</f>
        <v/>
      </c>
      <c r="D622" s="9" t="str">
        <f>IF(AND(C622=""),"",IF(AND(Y615=""),"",ROUND(C622*Master!C$5%,0)))</f>
        <v/>
      </c>
      <c r="E622" s="9" t="str">
        <f>IF(AND(C622=""),"",IF(AND(Y615=""),"",ROUND(C622*Master!H$5%,0)))</f>
        <v/>
      </c>
      <c r="F622" s="9" t="str">
        <f t="shared" ref="F622" si="527">IF(AND(C622=""),"",SUM(C622:E622))</f>
        <v/>
      </c>
      <c r="G622" s="9" t="str">
        <f>IF(AND(Y615=""),"",G621)</f>
        <v/>
      </c>
      <c r="H622" s="9" t="str">
        <f>IF(AND(G622=""),"",IF(AND(Y615=""),"",ROUND(G622*Master!C$4%,0)))</f>
        <v/>
      </c>
      <c r="I622" s="9" t="str">
        <f>IF(AND(G622=""),"",IF(AND(Y615=""),"",ROUND(G622*Master!H$4%,0)))</f>
        <v/>
      </c>
      <c r="J622" s="9" t="str">
        <f>IF(AND(C622=""),"",SUM(G622:I622))</f>
        <v/>
      </c>
      <c r="K622" s="9" t="str">
        <f t="shared" si="521"/>
        <v/>
      </c>
      <c r="L622" s="9" t="str">
        <f t="shared" si="522"/>
        <v/>
      </c>
      <c r="M622" s="9" t="str">
        <f>IF(AND(E622=""),"",IF(AND(I622=""),"",E622-I622))</f>
        <v/>
      </c>
      <c r="N622" s="9" t="str">
        <f>IF(AND(F622=""),"",IF(AND(J622=""),"",F622-J622))</f>
        <v/>
      </c>
      <c r="O622" s="9" t="str">
        <f t="shared" si="525"/>
        <v/>
      </c>
      <c r="P622" s="9" t="str">
        <f>IF(AND(Y615=""),"",IF(AND(N622=""),"",ROUND(N622*AA$1%,0)))</f>
        <v/>
      </c>
      <c r="Q622" s="9" t="str">
        <f>IF(AND(Y615=""),"",IF(AND(C622=""),"",IF(AND(O622=""),"",SUM(O622,P622))))</f>
        <v/>
      </c>
      <c r="R622" s="9" t="str">
        <f t="shared" si="526"/>
        <v/>
      </c>
      <c r="S622" s="20"/>
    </row>
    <row r="623" spans="1:27" ht="23.25" customHeight="1">
      <c r="A623" s="108" t="s">
        <v>9</v>
      </c>
      <c r="B623" s="109"/>
      <c r="C623" s="64">
        <f>IF(AND(Y615=""),"",SUM(C620:C622))</f>
        <v>0</v>
      </c>
      <c r="D623" s="64">
        <f>IF(AND(Y615=""),"",SUM(D620:D622))</f>
        <v>0</v>
      </c>
      <c r="E623" s="64">
        <f>IF(AND(Y615=""),"",SUM(E620:E622))</f>
        <v>0</v>
      </c>
      <c r="F623" s="64">
        <f>IF(AND(Y615=""),"",SUM(F620:F622))</f>
        <v>0</v>
      </c>
      <c r="G623" s="64">
        <f>IF(AND(Y615=""),"",SUM(G620:G622))</f>
        <v>0</v>
      </c>
      <c r="H623" s="64">
        <f>IF(AND(Y615=""),"",SUM(H620:H622))</f>
        <v>0</v>
      </c>
      <c r="I623" s="64">
        <f>IF(AND(Y615=""),"",SUM(I620:I622))</f>
        <v>0</v>
      </c>
      <c r="J623" s="64">
        <f>IF(AND(Y615=""),"",SUM(J620:J622))</f>
        <v>0</v>
      </c>
      <c r="K623" s="64">
        <f>IF(AND(Y615=""),"",SUM(K620:K622))</f>
        <v>0</v>
      </c>
      <c r="L623" s="64">
        <f>IF(AND(Y615=""),"",SUM(L620:L622))</f>
        <v>0</v>
      </c>
      <c r="M623" s="64">
        <f>IF(AND(Y615=""),"",SUM(M620:M622))</f>
        <v>0</v>
      </c>
      <c r="N623" s="64">
        <f>IF(AND(Y615=""),"",SUM(N620:N622))</f>
        <v>0</v>
      </c>
      <c r="O623" s="64">
        <f>IF(AND(Y615=""),"",SUM(O620:O622))</f>
        <v>0</v>
      </c>
      <c r="P623" s="64">
        <f>IF(AND(Y615=""),"",SUM(P620:P622))</f>
        <v>0</v>
      </c>
      <c r="Q623" s="64">
        <f>IF(AND(Y615=""),"",SUM(Q620:Q622))</f>
        <v>0</v>
      </c>
      <c r="R623" s="64">
        <f>IF(AND(Y615=""),"",SUM(R620:R622))</f>
        <v>0</v>
      </c>
      <c r="S623" s="50"/>
    </row>
    <row r="624" spans="1:27" ht="10.5" customHeight="1">
      <c r="A624" s="75"/>
      <c r="B624" s="75"/>
      <c r="C624" s="76"/>
      <c r="D624" s="76"/>
      <c r="E624" s="76"/>
      <c r="F624" s="76"/>
      <c r="G624" s="76"/>
      <c r="H624" s="76"/>
      <c r="I624" s="76"/>
      <c r="J624" s="76"/>
      <c r="K624" s="76"/>
      <c r="L624" s="76"/>
      <c r="M624" s="76"/>
      <c r="N624" s="76"/>
      <c r="O624" s="76"/>
      <c r="P624" s="76"/>
      <c r="Q624" s="76"/>
      <c r="R624" s="76"/>
      <c r="S624" s="77"/>
    </row>
    <row r="625" spans="1:25" ht="23.25" customHeight="1">
      <c r="E625" s="116" t="s">
        <v>10</v>
      </c>
      <c r="F625" s="116"/>
      <c r="G625" s="116"/>
      <c r="H625" s="116"/>
      <c r="I625" s="116"/>
      <c r="J625" s="115" t="str">
        <f>IF(ISNA(VLOOKUP(Y627,Master!A$8:N$127,2,FALSE)),"",VLOOKUP(Y627,Master!A$8:AH$127,2,FALSE))</f>
        <v/>
      </c>
      <c r="K625" s="115"/>
      <c r="L625" s="115"/>
      <c r="M625" s="115"/>
      <c r="N625" s="115"/>
      <c r="O625" s="61" t="s">
        <v>31</v>
      </c>
      <c r="P625" s="115" t="str">
        <f>IF(ISNA(VLOOKUP(Y627,Master!A$8:N$127,3,FALSE)),"",VLOOKUP(Y627,Master!A$8:AH$127,3,FALSE))</f>
        <v/>
      </c>
      <c r="Q625" s="115"/>
      <c r="R625" s="115"/>
      <c r="S625" s="115"/>
    </row>
    <row r="626" spans="1:25" ht="9" customHeight="1">
      <c r="E626" s="19"/>
      <c r="F626" s="53"/>
      <c r="G626" s="22"/>
      <c r="H626" s="22"/>
      <c r="I626" s="22"/>
      <c r="J626" s="5"/>
      <c r="K626" s="5"/>
      <c r="L626" s="5"/>
      <c r="M626" s="5"/>
      <c r="N626" s="5"/>
      <c r="O626" s="6"/>
      <c r="P626" s="6"/>
    </row>
    <row r="627" spans="1:25" ht="21" customHeight="1">
      <c r="A627" s="8">
        <v>1</v>
      </c>
      <c r="B627" s="23" t="str">
        <f>IFERROR(IF(ISNA(VLOOKUP(Y627,Master!A$8:N$127,8,FALSE)),"",VLOOKUP($Y627,Master!A$8:AH$127,8,FALSE)),"")</f>
        <v/>
      </c>
      <c r="C627" s="9" t="str">
        <f>IF(ISNA(VLOOKUP(Y627,Master!A$8:N$127,5,FALSE)),"",VLOOKUP(Y627,Master!A$8:AH$127,5,FALSE))</f>
        <v/>
      </c>
      <c r="D627" s="9" t="str">
        <f>IF(AND(C627=""),"",IF(AND(Y627=""),"",ROUND(C627*Master!C$5%,0)))</f>
        <v/>
      </c>
      <c r="E627" s="9" t="str">
        <f>IF(AND(C627=""),"",IF(AND(Y627=""),"",ROUND(C627*Master!H$5%,0)))</f>
        <v/>
      </c>
      <c r="F627" s="9" t="str">
        <f t="shared" ref="F627:F629" si="528">IF(AND(C627=""),"",SUM(C627:E627))</f>
        <v/>
      </c>
      <c r="G627" s="9" t="str">
        <f>IF(ISNA(VLOOKUP(Y627,Master!A$8:N$127,5,FALSE)),"",VLOOKUP(Y627,Master!A$8:AH$127,5,FALSE))</f>
        <v/>
      </c>
      <c r="H627" s="9" t="str">
        <f>IF(AND(G627=""),"",IF(AND(Y627=""),"",ROUND(G627*Master!C$4%,0)))</f>
        <v/>
      </c>
      <c r="I627" s="9" t="str">
        <f>IF(AND(G627=""),"",IF(AND(Y627=""),"",ROUND(G627*Master!H$4%,0)))</f>
        <v/>
      </c>
      <c r="J627" s="9" t="str">
        <f t="shared" ref="J627:J629" si="529">IF(AND(C627=""),"",SUM(G627:I627))</f>
        <v/>
      </c>
      <c r="K627" s="9" t="str">
        <f t="shared" ref="K627" si="530">IF(AND(C627=""),"",IF(AND(G627=""),"",C627-G627))</f>
        <v/>
      </c>
      <c r="L627" s="9" t="str">
        <f>IF(AND(D627=""),"",IF(AND(H627=""),"",D627-H627))</f>
        <v/>
      </c>
      <c r="M627" s="9" t="str">
        <f t="shared" ref="M627:M629" si="531">IF(AND(E627=""),"",IF(AND(I627=""),"",E627-I627))</f>
        <v/>
      </c>
      <c r="N627" s="9" t="str">
        <f t="shared" ref="N627:N629" si="532">IF(AND(F627=""),"",IF(AND(J627=""),"",F627-J627))</f>
        <v/>
      </c>
      <c r="O627" s="9" t="str">
        <f>IF(AND(C627=""),"",N627-P627)</f>
        <v/>
      </c>
      <c r="P627" s="9" t="str">
        <f>IF(AND(Y627=""),"",IF(AND(N627=""),"",ROUND(N627*X$16%,0)))</f>
        <v/>
      </c>
      <c r="Q627" s="9" t="str">
        <f>IF(AND(Y627=""),"",IF(AND(C627=""),"",IF(AND(O627=""),"",SUM(O627,P627))))</f>
        <v/>
      </c>
      <c r="R627" s="9" t="str">
        <f>IF(AND(N627=""),"",IF(AND(Q627=""),"",N627-Q627))</f>
        <v/>
      </c>
      <c r="S627" s="20"/>
      <c r="X627" s="62" t="s">
        <v>62</v>
      </c>
      <c r="Y627" s="65">
        <v>56</v>
      </c>
    </row>
    <row r="628" spans="1:25" ht="21" customHeight="1">
      <c r="A628" s="8">
        <v>2</v>
      </c>
      <c r="B628" s="23" t="str">
        <f>IFERROR(DATE(YEAR(B627),MONTH(B627)+1,DAY(B627)),"")</f>
        <v/>
      </c>
      <c r="C628" s="9" t="str">
        <f>IF(AND(Y627=""),"",C627)</f>
        <v/>
      </c>
      <c r="D628" s="9" t="str">
        <f>IF(AND(C628=""),"",IF(AND(Y627=""),"",ROUND(C628*Master!C$5%,0)))</f>
        <v/>
      </c>
      <c r="E628" s="9" t="str">
        <f>IF(AND(C628=""),"",IF(AND(Y627=""),"",ROUND(C628*Master!H$5%,0)))</f>
        <v/>
      </c>
      <c r="F628" s="9" t="str">
        <f t="shared" si="528"/>
        <v/>
      </c>
      <c r="G628" s="9" t="str">
        <f>IF(AND(Y627=""),"",G627)</f>
        <v/>
      </c>
      <c r="H628" s="9" t="str">
        <f>IF(AND(G628=""),"",IF(AND(Y627=""),"",ROUND(G628*Master!C$4%,0)))</f>
        <v/>
      </c>
      <c r="I628" s="9" t="str">
        <f>IF(AND(G628=""),"",IF(AND(Y627=""),"",ROUND(G628*Master!H$4%,0)))</f>
        <v/>
      </c>
      <c r="J628" s="9" t="str">
        <f t="shared" si="529"/>
        <v/>
      </c>
      <c r="K628" s="9" t="str">
        <f>IF(AND(C628=""),"",IF(AND(G628=""),"",C628-G628))</f>
        <v/>
      </c>
      <c r="L628" s="9" t="str">
        <f t="shared" ref="L628:L629" si="533">IF(AND(D628=""),"",IF(AND(H628=""),"",D628-H628))</f>
        <v/>
      </c>
      <c r="M628" s="9" t="str">
        <f t="shared" si="531"/>
        <v/>
      </c>
      <c r="N628" s="9" t="str">
        <f t="shared" si="532"/>
        <v/>
      </c>
      <c r="O628" s="9" t="str">
        <f t="shared" ref="O628:O629" si="534">IF(AND(C628=""),"",N628-P628)</f>
        <v/>
      </c>
      <c r="P628" s="9" t="str">
        <f>IF(AND(Y627=""),"",IF(AND(N628=""),"",ROUND(N628*X$16%,0)))</f>
        <v/>
      </c>
      <c r="Q628" s="9" t="str">
        <f>IF(AND(Y627=""),"",IF(AND(C628=""),"",IF(AND(O628=""),"",SUM(O628,P628))))</f>
        <v/>
      </c>
      <c r="R628" s="9" t="str">
        <f t="shared" ref="R628:R629" si="535">IF(AND(N628=""),"",IF(AND(Q628=""),"",N628-Q628))</f>
        <v/>
      </c>
      <c r="S628" s="20"/>
      <c r="X628" s="4" t="str">
        <f>IF(ISNA(VLOOKUP(Y627,Master!A$8:N$127,7,FALSE)),"",VLOOKUP(Y627,Master!A$8:AH$127,7,FALSE))</f>
        <v/>
      </c>
    </row>
    <row r="629" spans="1:25" ht="21" customHeight="1">
      <c r="A629" s="8">
        <v>3</v>
      </c>
      <c r="B629" s="23" t="str">
        <f>IFERROR(DATE(YEAR(B628),MONTH(B628)+1,DAY(B628)),"")</f>
        <v/>
      </c>
      <c r="C629" s="9" t="str">
        <f>IF(AND(Y627=""),"",C628)</f>
        <v/>
      </c>
      <c r="D629" s="9" t="str">
        <f>IF(AND(C629=""),"",IF(AND(Y627=""),"",ROUND(C629*Master!C$5%,0)))</f>
        <v/>
      </c>
      <c r="E629" s="9" t="str">
        <f>IF(AND(C629=""),"",IF(AND(Y627=""),"",ROUND(C629*Master!H$5%,0)))</f>
        <v/>
      </c>
      <c r="F629" s="9" t="str">
        <f t="shared" si="528"/>
        <v/>
      </c>
      <c r="G629" s="9" t="str">
        <f>IF(AND(Y627=""),"",G628)</f>
        <v/>
      </c>
      <c r="H629" s="9" t="str">
        <f>IF(AND(G629=""),"",IF(AND(Y627=""),"",ROUND(G629*Master!C$4%,0)))</f>
        <v/>
      </c>
      <c r="I629" s="9" t="str">
        <f>IF(AND(G629=""),"",IF(AND(Y627=""),"",ROUND(G629*Master!H$4%,0)))</f>
        <v/>
      </c>
      <c r="J629" s="9" t="str">
        <f t="shared" si="529"/>
        <v/>
      </c>
      <c r="K629" s="9" t="str">
        <f t="shared" ref="K629" si="536">IF(AND(C629=""),"",IF(AND(G629=""),"",C629-G629))</f>
        <v/>
      </c>
      <c r="L629" s="9" t="str">
        <f t="shared" si="533"/>
        <v/>
      </c>
      <c r="M629" s="9" t="str">
        <f t="shared" si="531"/>
        <v/>
      </c>
      <c r="N629" s="9" t="str">
        <f t="shared" si="532"/>
        <v/>
      </c>
      <c r="O629" s="9" t="str">
        <f t="shared" si="534"/>
        <v/>
      </c>
      <c r="P629" s="9" t="str">
        <f>IF(AND(Y627=""),"",IF(AND(N629=""),"",ROUND(N629*X$16%,0)))</f>
        <v/>
      </c>
      <c r="Q629" s="9" t="str">
        <f>IF(AND(Y627=""),"",IF(AND(C629=""),"",IF(AND(O629=""),"",SUM(O629,P629))))</f>
        <v/>
      </c>
      <c r="R629" s="9" t="str">
        <f t="shared" si="535"/>
        <v/>
      </c>
      <c r="S629" s="20"/>
    </row>
    <row r="630" spans="1:25" ht="30.75" customHeight="1">
      <c r="A630" s="108" t="s">
        <v>9</v>
      </c>
      <c r="B630" s="109"/>
      <c r="C630" s="64">
        <f>IF(AND(Y627=""),"",SUM(C627:C629))</f>
        <v>0</v>
      </c>
      <c r="D630" s="64">
        <f>IF(AND(Y627=""),"",SUM(D627:D629))</f>
        <v>0</v>
      </c>
      <c r="E630" s="64">
        <f>IF(AND(Y627=""),"",SUM(E627:E629))</f>
        <v>0</v>
      </c>
      <c r="F630" s="64">
        <f>IF(AND(Y627=""),"",SUM(F627:F629))</f>
        <v>0</v>
      </c>
      <c r="G630" s="64">
        <f>IF(AND(Y627=""),"",SUM(G627:G629))</f>
        <v>0</v>
      </c>
      <c r="H630" s="64">
        <f>IF(AND(Y627=""),"",SUM(H627:H629))</f>
        <v>0</v>
      </c>
      <c r="I630" s="64">
        <f>IF(AND(Y627=""),"",SUM(I627:I629))</f>
        <v>0</v>
      </c>
      <c r="J630" s="64">
        <f>IF(AND(Y627=""),"",SUM(J627:J629))</f>
        <v>0</v>
      </c>
      <c r="K630" s="64">
        <f>IF(AND(Y627=""),"",SUM(K627:K629))</f>
        <v>0</v>
      </c>
      <c r="L630" s="64">
        <f>IF(AND(Y627=""),"",SUM(L627:L629))</f>
        <v>0</v>
      </c>
      <c r="M630" s="64">
        <f>IF(AND(Y627=""),"",SUM(M627:M629))</f>
        <v>0</v>
      </c>
      <c r="N630" s="64">
        <f>IF(AND(Y627=""),"",SUM(N627:N629))</f>
        <v>0</v>
      </c>
      <c r="O630" s="64">
        <f>IF(AND(Y627=""),"",SUM(O627:O629))</f>
        <v>0</v>
      </c>
      <c r="P630" s="64">
        <f>IF(AND(Y627=""),"",SUM(P627:P629))</f>
        <v>0</v>
      </c>
      <c r="Q630" s="64">
        <f>IF(AND(Y627=""),"",SUM(Q627:Q629))</f>
        <v>0</v>
      </c>
      <c r="R630" s="64">
        <f>IF(AND(Y627=""),"",SUM(R627:R629))</f>
        <v>0</v>
      </c>
      <c r="S630" s="50"/>
    </row>
    <row r="631" spans="1:25" ht="11.25" customHeight="1">
      <c r="A631" s="75"/>
      <c r="B631" s="75"/>
      <c r="C631" s="76"/>
      <c r="D631" s="76"/>
      <c r="E631" s="76"/>
      <c r="F631" s="76"/>
      <c r="G631" s="76"/>
      <c r="H631" s="76"/>
      <c r="I631" s="76"/>
      <c r="J631" s="76"/>
      <c r="K631" s="76"/>
      <c r="L631" s="76"/>
      <c r="M631" s="76"/>
      <c r="N631" s="76"/>
      <c r="O631" s="76"/>
      <c r="P631" s="76"/>
      <c r="Q631" s="76"/>
      <c r="R631" s="76"/>
      <c r="S631" s="77"/>
    </row>
    <row r="632" spans="1:25" ht="23.25" customHeight="1">
      <c r="E632" s="116" t="s">
        <v>10</v>
      </c>
      <c r="F632" s="116"/>
      <c r="G632" s="116"/>
      <c r="H632" s="116"/>
      <c r="I632" s="116"/>
      <c r="J632" s="115" t="str">
        <f>IF(ISNA(VLOOKUP(Y634,Master!A$8:N$127,2,FALSE)),"",VLOOKUP(Y634,Master!A$8:AH$127,2,FALSE))</f>
        <v/>
      </c>
      <c r="K632" s="115"/>
      <c r="L632" s="115"/>
      <c r="M632" s="115"/>
      <c r="N632" s="115"/>
      <c r="O632" s="61" t="s">
        <v>31</v>
      </c>
      <c r="P632" s="115" t="str">
        <f>IF(ISNA(VLOOKUP($Y$396,Master!A$8:N$127,3,FALSE)),"",VLOOKUP($Y$396,Master!A$8:AH$127,3,FALSE))</f>
        <v/>
      </c>
      <c r="Q632" s="115"/>
      <c r="R632" s="115"/>
      <c r="S632" s="115"/>
    </row>
    <row r="633" spans="1:25" ht="9" customHeight="1">
      <c r="E633" s="19"/>
      <c r="F633" s="53"/>
      <c r="G633" s="22"/>
      <c r="H633" s="22"/>
      <c r="I633" s="22"/>
      <c r="J633" s="5"/>
      <c r="K633" s="5"/>
      <c r="L633" s="5"/>
      <c r="M633" s="5"/>
      <c r="N633" s="5"/>
      <c r="O633" s="6"/>
      <c r="P633" s="6"/>
    </row>
    <row r="634" spans="1:25" ht="21" customHeight="1">
      <c r="A634" s="8">
        <v>1</v>
      </c>
      <c r="B634" s="23" t="str">
        <f>IFERROR(IF(ISNA(VLOOKUP(Y634,Master!A$8:N$127,8,FALSE)),"",VLOOKUP($Y634,Master!A$8:AH$127,8,FALSE)),"")</f>
        <v/>
      </c>
      <c r="C634" s="9" t="str">
        <f>IF(ISNA(VLOOKUP(Y634,Master!A$8:N$127,5,FALSE)),"",VLOOKUP(Y634,Master!A$8:AH$127,5,FALSE))</f>
        <v/>
      </c>
      <c r="D634" s="9" t="str">
        <f>IF(AND(C634=""),"",IF(AND(Y634=""),"",ROUND(C634*Master!C$5%,0)))</f>
        <v/>
      </c>
      <c r="E634" s="9" t="str">
        <f>IF(AND(C634=""),"",IF(AND(Y634=""),"",ROUND(C634*Master!H$5%,0)))</f>
        <v/>
      </c>
      <c r="F634" s="9" t="str">
        <f t="shared" ref="F634:F636" si="537">IF(AND(C634=""),"",SUM(C634:E634))</f>
        <v/>
      </c>
      <c r="G634" s="9" t="str">
        <f>IF(ISNA(VLOOKUP(Y634,Master!A$8:N$127,5,FALSE)),"",VLOOKUP(Y634,Master!A$8:AH$127,5,FALSE))</f>
        <v/>
      </c>
      <c r="H634" s="9" t="str">
        <f>IF(AND(G634=""),"",IF(AND(Y634=""),"",ROUND(G634*Master!C$4%,0)))</f>
        <v/>
      </c>
      <c r="I634" s="9" t="str">
        <f>IF(AND(G634=""),"",IF(AND(Y634=""),"",ROUND(G634*Master!H$4%,0)))</f>
        <v/>
      </c>
      <c r="J634" s="9" t="str">
        <f t="shared" ref="J634:J636" si="538">IF(AND(C634=""),"",SUM(G634:I634))</f>
        <v/>
      </c>
      <c r="K634" s="9" t="str">
        <f t="shared" ref="K634:K636" si="539">IF(AND(C634=""),"",IF(AND(G634=""),"",C634-G634))</f>
        <v/>
      </c>
      <c r="L634" s="9" t="str">
        <f t="shared" ref="L634:L636" si="540">IF(AND(D634=""),"",IF(AND(H634=""),"",D634-H634))</f>
        <v/>
      </c>
      <c r="M634" s="9" t="str">
        <f t="shared" ref="M634:M636" si="541">IF(AND(E634=""),"",IF(AND(I634=""),"",E634-I634))</f>
        <v/>
      </c>
      <c r="N634" s="9" t="str">
        <f t="shared" ref="N634:N636" si="542">IF(AND(F634=""),"",IF(AND(J634=""),"",F634-J634))</f>
        <v/>
      </c>
      <c r="O634" s="9" t="str">
        <f>IF(AND(C634=""),"",N634-P634)</f>
        <v/>
      </c>
      <c r="P634" s="9" t="str">
        <f>IF(AND(Y634=""),"",IF(AND(N634=""),"",ROUND(N634*AA$1%,0)))</f>
        <v/>
      </c>
      <c r="Q634" s="9" t="str">
        <f>IF(AND(Y634=""),"",IF(AND(C634=""),"",IF(AND(O634=""),"",SUM(O634,P634))))</f>
        <v/>
      </c>
      <c r="R634" s="9" t="str">
        <f>IF(AND(N634=""),"",IF(AND(Q634=""),"",N634-Q634))</f>
        <v/>
      </c>
      <c r="S634" s="20"/>
      <c r="X634" s="62" t="s">
        <v>62</v>
      </c>
      <c r="Y634" s="65">
        <v>57</v>
      </c>
    </row>
    <row r="635" spans="1:25" ht="21" customHeight="1">
      <c r="A635" s="8">
        <v>2</v>
      </c>
      <c r="B635" s="23" t="str">
        <f>IFERROR(DATE(YEAR(B634),MONTH(B634)+1,DAY(B634)),"")</f>
        <v/>
      </c>
      <c r="C635" s="9" t="str">
        <f>IF(AND(Y634=""),"",C634)</f>
        <v/>
      </c>
      <c r="D635" s="9" t="str">
        <f>IF(AND(C635=""),"",IF(AND(Y634=""),"",ROUND(C635*Master!C$5%,0)))</f>
        <v/>
      </c>
      <c r="E635" s="9" t="str">
        <f>IF(AND(C635=""),"",IF(AND(Y634=""),"",ROUND(C635*Master!H$5%,0)))</f>
        <v/>
      </c>
      <c r="F635" s="9" t="str">
        <f t="shared" si="537"/>
        <v/>
      </c>
      <c r="G635" s="9" t="str">
        <f>IF(AND(Y634=""),"",G634)</f>
        <v/>
      </c>
      <c r="H635" s="9" t="str">
        <f>IF(AND(G635=""),"",IF(AND(Y634=""),"",ROUND(G635*Master!C$4%,0)))</f>
        <v/>
      </c>
      <c r="I635" s="9" t="str">
        <f>IF(AND(G635=""),"",IF(AND(Y634=""),"",ROUND(G635*Master!H$4%,0)))</f>
        <v/>
      </c>
      <c r="J635" s="9" t="str">
        <f t="shared" si="538"/>
        <v/>
      </c>
      <c r="K635" s="9" t="str">
        <f t="shared" si="539"/>
        <v/>
      </c>
      <c r="L635" s="9" t="str">
        <f t="shared" si="540"/>
        <v/>
      </c>
      <c r="M635" s="9" t="str">
        <f t="shared" si="541"/>
        <v/>
      </c>
      <c r="N635" s="9" t="str">
        <f t="shared" si="542"/>
        <v/>
      </c>
      <c r="O635" s="9" t="str">
        <f t="shared" ref="O635:O636" si="543">IF(AND(C635=""),"",N635-P635)</f>
        <v/>
      </c>
      <c r="P635" s="9" t="str">
        <f>IF(AND(Y634=""),"",IF(AND(N635=""),"",ROUND(N635*AA$1%,0)))</f>
        <v/>
      </c>
      <c r="Q635" s="9" t="str">
        <f>IF(AND(Y634=""),"",IF(AND(C635=""),"",IF(AND(O635=""),"",SUM(O635,P635))))</f>
        <v/>
      </c>
      <c r="R635" s="9" t="str">
        <f t="shared" ref="R635:R636" si="544">IF(AND(N635=""),"",IF(AND(Q635=""),"",N635-Q635))</f>
        <v/>
      </c>
      <c r="S635" s="20"/>
      <c r="X635" s="4" t="str">
        <f>IF(ISNA(VLOOKUP(Y634,Master!A$8:N$127,7,FALSE)),"",VLOOKUP(Y634,Master!A$8:AH$127,7,FALSE))</f>
        <v/>
      </c>
    </row>
    <row r="636" spans="1:25" ht="21" customHeight="1">
      <c r="A636" s="8">
        <v>3</v>
      </c>
      <c r="B636" s="23" t="str">
        <f>IFERROR(DATE(YEAR(B635),MONTH(B635)+1,DAY(B635)),"")</f>
        <v/>
      </c>
      <c r="C636" s="9" t="str">
        <f>IF(AND(Y634=""),"",C635)</f>
        <v/>
      </c>
      <c r="D636" s="9" t="str">
        <f>IF(AND(C636=""),"",IF(AND(Y634=""),"",ROUND(C636*Master!C$5%,0)))</f>
        <v/>
      </c>
      <c r="E636" s="9" t="str">
        <f>IF(AND(C636=""),"",IF(AND(Y634=""),"",ROUND(C636*Master!H$5%,0)))</f>
        <v/>
      </c>
      <c r="F636" s="9" t="str">
        <f t="shared" si="537"/>
        <v/>
      </c>
      <c r="G636" s="9" t="str">
        <f>IF(AND(Y634=""),"",G635)</f>
        <v/>
      </c>
      <c r="H636" s="9" t="str">
        <f>IF(AND(G636=""),"",IF(AND(Y634=""),"",ROUND(G636*Master!C$4%,0)))</f>
        <v/>
      </c>
      <c r="I636" s="9" t="str">
        <f>IF(AND(G636=""),"",IF(AND(Y634=""),"",ROUND(G636*Master!H$4%,0)))</f>
        <v/>
      </c>
      <c r="J636" s="9" t="str">
        <f t="shared" si="538"/>
        <v/>
      </c>
      <c r="K636" s="9" t="str">
        <f t="shared" si="539"/>
        <v/>
      </c>
      <c r="L636" s="9" t="str">
        <f t="shared" si="540"/>
        <v/>
      </c>
      <c r="M636" s="9" t="str">
        <f t="shared" si="541"/>
        <v/>
      </c>
      <c r="N636" s="9" t="str">
        <f t="shared" si="542"/>
        <v/>
      </c>
      <c r="O636" s="9" t="str">
        <f t="shared" si="543"/>
        <v/>
      </c>
      <c r="P636" s="9" t="str">
        <f>IF(AND(Y634=""),"",IF(AND(N636=""),"",ROUND(N636*AA$1%,0)))</f>
        <v/>
      </c>
      <c r="Q636" s="9" t="str">
        <f>IF(AND(Y634=""),"",IF(AND(C636=""),"",IF(AND(O636=""),"",SUM(O636,P636))))</f>
        <v/>
      </c>
      <c r="R636" s="9" t="str">
        <f t="shared" si="544"/>
        <v/>
      </c>
      <c r="S636" s="20"/>
    </row>
    <row r="637" spans="1:25" ht="30.75" customHeight="1">
      <c r="A637" s="108" t="s">
        <v>9</v>
      </c>
      <c r="B637" s="109"/>
      <c r="C637" s="64">
        <f>IF(AND(Y634=""),"",SUM(C634:C636))</f>
        <v>0</v>
      </c>
      <c r="D637" s="64">
        <f>IF(AND(Y634=""),"",SUM(D634:D636))</f>
        <v>0</v>
      </c>
      <c r="E637" s="64">
        <f>IF(AND(Y634=""),"",SUM(E634:E636))</f>
        <v>0</v>
      </c>
      <c r="F637" s="64">
        <f>IF(AND(Y634=""),"",SUM(F634:F636))</f>
        <v>0</v>
      </c>
      <c r="G637" s="64">
        <f>IF(AND(Y634=""),"",SUM(G634:G636))</f>
        <v>0</v>
      </c>
      <c r="H637" s="64">
        <f>IF(AND(Y634=""),"",SUM(H634:H636))</f>
        <v>0</v>
      </c>
      <c r="I637" s="64">
        <f>IF(AND(Y634=""),"",SUM(I634:I636))</f>
        <v>0</v>
      </c>
      <c r="J637" s="64">
        <f>IF(AND(Y634=""),"",SUM(J634:J636))</f>
        <v>0</v>
      </c>
      <c r="K637" s="64">
        <f>IF(AND(Y634=""),"",SUM(K634:K636))</f>
        <v>0</v>
      </c>
      <c r="L637" s="64">
        <f>IF(AND(Y634=""),"",SUM(L634:L636))</f>
        <v>0</v>
      </c>
      <c r="M637" s="64">
        <f>IF(AND(Y634=""),"",SUM(M634:M636))</f>
        <v>0</v>
      </c>
      <c r="N637" s="64">
        <f>IF(AND(Y634=""),"",SUM(N634:N636))</f>
        <v>0</v>
      </c>
      <c r="O637" s="64">
        <f>IF(AND(Y634=""),"",SUM(O634:O636))</f>
        <v>0</v>
      </c>
      <c r="P637" s="64">
        <f>IF(AND(Y634=""),"",SUM(P634:P636))</f>
        <v>0</v>
      </c>
      <c r="Q637" s="64">
        <f>IF(AND(Y634=""),"",SUM(Q634:Q636))</f>
        <v>0</v>
      </c>
      <c r="R637" s="64">
        <f>IF(AND(Y634=""),"",SUM(R634:R636))</f>
        <v>0</v>
      </c>
      <c r="S637" s="50"/>
    </row>
    <row r="638" spans="1:25" ht="30.75" customHeight="1">
      <c r="A638" s="75"/>
      <c r="B638" s="75"/>
      <c r="C638" s="76"/>
      <c r="D638" s="76"/>
      <c r="E638" s="76"/>
      <c r="F638" s="76"/>
      <c r="G638" s="76"/>
      <c r="H638" s="76"/>
      <c r="I638" s="76"/>
      <c r="J638" s="76"/>
      <c r="K638" s="76"/>
      <c r="L638" s="76"/>
      <c r="M638" s="76"/>
      <c r="N638" s="76"/>
      <c r="O638" s="76"/>
      <c r="P638" s="76"/>
      <c r="Q638" s="76"/>
      <c r="R638" s="76"/>
      <c r="S638" s="77"/>
    </row>
    <row r="639" spans="1:25" ht="18.75">
      <c r="A639" s="21"/>
      <c r="B639" s="59"/>
      <c r="C639" s="59"/>
      <c r="D639" s="59"/>
      <c r="E639" s="59"/>
      <c r="F639" s="59"/>
      <c r="G639" s="59"/>
      <c r="H639" s="60"/>
      <c r="I639" s="60"/>
      <c r="J639" s="60"/>
      <c r="K639" s="68"/>
      <c r="L639" s="68"/>
      <c r="M639" s="68"/>
      <c r="N639" s="68"/>
      <c r="O639" s="107" t="s">
        <v>55</v>
      </c>
      <c r="P639" s="107"/>
      <c r="Q639" s="107"/>
      <c r="R639" s="107"/>
      <c r="S639" s="107"/>
    </row>
    <row r="640" spans="1:25" ht="18.75">
      <c r="A640" s="1"/>
      <c r="B640" s="24" t="s">
        <v>19</v>
      </c>
      <c r="C640" s="118"/>
      <c r="D640" s="118"/>
      <c r="E640" s="118"/>
      <c r="F640" s="118"/>
      <c r="G640" s="118"/>
      <c r="H640" s="25"/>
      <c r="I640" s="121" t="s">
        <v>20</v>
      </c>
      <c r="J640" s="121"/>
      <c r="K640" s="120"/>
      <c r="L640" s="120"/>
      <c r="M640" s="120"/>
      <c r="O640" s="107"/>
      <c r="P640" s="107"/>
      <c r="Q640" s="107"/>
      <c r="R640" s="107"/>
      <c r="S640" s="107"/>
    </row>
    <row r="641" spans="1:27" ht="18.75">
      <c r="A641" s="1"/>
      <c r="B641" s="119" t="s">
        <v>21</v>
      </c>
      <c r="C641" s="119"/>
      <c r="D641" s="119"/>
      <c r="E641" s="119"/>
      <c r="F641" s="119"/>
      <c r="G641" s="119"/>
      <c r="H641" s="119"/>
      <c r="I641" s="27"/>
      <c r="J641" s="26"/>
      <c r="K641" s="26"/>
      <c r="L641" s="26"/>
      <c r="M641" s="26"/>
    </row>
    <row r="642" spans="1:27" ht="18.75">
      <c r="A642" s="22">
        <v>1</v>
      </c>
      <c r="B642" s="117" t="s">
        <v>22</v>
      </c>
      <c r="C642" s="117"/>
      <c r="D642" s="117"/>
      <c r="E642" s="117"/>
      <c r="F642" s="117"/>
      <c r="G642" s="117"/>
      <c r="H642" s="117"/>
      <c r="I642" s="28"/>
      <c r="J642" s="26"/>
      <c r="K642" s="26"/>
      <c r="L642" s="26"/>
      <c r="M642" s="26"/>
    </row>
    <row r="643" spans="1:27" ht="18.75">
      <c r="A643" s="2">
        <v>2</v>
      </c>
      <c r="B643" s="117" t="s">
        <v>23</v>
      </c>
      <c r="C643" s="117"/>
      <c r="D643" s="117"/>
      <c r="E643" s="117"/>
      <c r="F643" s="117"/>
      <c r="G643" s="115"/>
      <c r="H643" s="115"/>
      <c r="I643" s="115"/>
      <c r="J643" s="115"/>
      <c r="K643" s="115"/>
      <c r="L643" s="115"/>
      <c r="M643" s="115"/>
    </row>
    <row r="644" spans="1:27" ht="18.75">
      <c r="A644" s="3">
        <v>3</v>
      </c>
      <c r="B644" s="117" t="s">
        <v>24</v>
      </c>
      <c r="C644" s="117"/>
      <c r="D644" s="117"/>
      <c r="E644" s="29"/>
      <c r="F644" s="28"/>
      <c r="G644" s="28"/>
      <c r="H644" s="30"/>
      <c r="I644" s="31"/>
      <c r="J644" s="26"/>
      <c r="K644" s="26"/>
      <c r="L644" s="26"/>
      <c r="M644" s="26"/>
    </row>
    <row r="645" spans="1:27" ht="15.75">
      <c r="O645" s="107" t="s">
        <v>55</v>
      </c>
      <c r="P645" s="107"/>
      <c r="Q645" s="107"/>
      <c r="R645" s="107"/>
      <c r="S645" s="107"/>
    </row>
    <row r="647" spans="1:27" ht="18" customHeight="1">
      <c r="A647" s="122" t="str">
        <f>A613</f>
        <v xml:space="preserve">DA (38%) Drawn Statement  </v>
      </c>
      <c r="B647" s="122"/>
      <c r="C647" s="122"/>
      <c r="D647" s="122"/>
      <c r="E647" s="122"/>
      <c r="F647" s="122"/>
      <c r="G647" s="122"/>
      <c r="H647" s="122"/>
      <c r="I647" s="122"/>
      <c r="J647" s="122"/>
      <c r="K647" s="122"/>
      <c r="L647" s="122"/>
      <c r="M647" s="122"/>
      <c r="N647" s="122"/>
      <c r="O647" s="122"/>
      <c r="P647" s="122"/>
      <c r="Q647" s="122"/>
      <c r="R647" s="122"/>
      <c r="S647" s="122"/>
      <c r="W647" s="4">
        <f>IF(ISNA(VLOOKUP($Y$3,Master!A$8:N$127,4,FALSE)),"",VLOOKUP($Y$3,Master!A$8:AH$127,4,FALSE))</f>
        <v>3</v>
      </c>
      <c r="X647" s="4" t="str">
        <f>IF(ISNA(VLOOKUP($Y$3,Master!A$8:N$127,6,FALSE)),"",VLOOKUP($Y$3,Master!A$8:AH$127,6,FALSE))</f>
        <v>GPF</v>
      </c>
      <c r="Y647" s="4" t="s">
        <v>58</v>
      </c>
      <c r="Z647" s="4" t="s">
        <v>18</v>
      </c>
      <c r="AA647" s="4" t="str">
        <f>IF(ISNA(VLOOKUP(Y649,Master!A$8:N$127,7,FALSE)),"",VLOOKUP(Y649,Master!A$8:AH$127,7,FALSE))</f>
        <v/>
      </c>
    </row>
    <row r="648" spans="1:27" ht="18">
      <c r="A648" s="114" t="str">
        <f>IF(AND(Master!C649=""),"",CONCATENATE("Office Of  ",Master!C649))</f>
        <v/>
      </c>
      <c r="B648" s="114"/>
      <c r="C648" s="114"/>
      <c r="D648" s="114"/>
      <c r="E648" s="114"/>
      <c r="F648" s="114"/>
      <c r="G648" s="114"/>
      <c r="H648" s="114"/>
      <c r="I648" s="114"/>
      <c r="J648" s="114"/>
      <c r="K648" s="114"/>
      <c r="L648" s="114"/>
      <c r="M648" s="114"/>
      <c r="N648" s="114"/>
      <c r="O648" s="114"/>
      <c r="P648" s="114"/>
      <c r="Q648" s="114"/>
      <c r="R648" s="114"/>
      <c r="S648" s="114"/>
      <c r="X648" s="4">
        <f>IF(ISNA(VLOOKUP($Y$3,Master!A$8:N$127,8,FALSE)),"",VLOOKUP($Y$3,Master!A$8:AH$127,8,FALSE))</f>
        <v>44743</v>
      </c>
      <c r="Y648" s="4" t="s">
        <v>56</v>
      </c>
    </row>
    <row r="649" spans="1:27" ht="18.75">
      <c r="E649" s="116" t="s">
        <v>10</v>
      </c>
      <c r="F649" s="116"/>
      <c r="G649" s="116"/>
      <c r="H649" s="116"/>
      <c r="I649" s="116"/>
      <c r="J649" s="115" t="str">
        <f>IF(ISNA(VLOOKUP(Y649,Master!A$8:N$127,2,FALSE)),"",VLOOKUP(Y649,Master!A$8:AH$127,2,FALSE))</f>
        <v/>
      </c>
      <c r="K649" s="115"/>
      <c r="L649" s="115"/>
      <c r="M649" s="115"/>
      <c r="N649" s="115"/>
      <c r="O649" s="61" t="s">
        <v>31</v>
      </c>
      <c r="P649" s="115" t="str">
        <f>IF(ISNA(VLOOKUP(Y649,Master!A$8:N$127,3,FALSE)),"",VLOOKUP(Y649,Master!A$8:AH$127,3,FALSE))</f>
        <v/>
      </c>
      <c r="Q649" s="115"/>
      <c r="R649" s="115"/>
      <c r="S649" s="115"/>
      <c r="X649" s="62" t="s">
        <v>62</v>
      </c>
      <c r="Y649" s="65">
        <v>58</v>
      </c>
    </row>
    <row r="650" spans="1:27" ht="8.25" customHeight="1">
      <c r="E650" s="19"/>
      <c r="F650" s="53"/>
      <c r="G650" s="22"/>
      <c r="H650" s="22"/>
      <c r="I650" s="22"/>
      <c r="J650" s="5"/>
      <c r="K650" s="5"/>
      <c r="L650" s="5"/>
      <c r="M650" s="5"/>
      <c r="N650" s="5"/>
      <c r="O650" s="6"/>
      <c r="P650" s="6"/>
    </row>
    <row r="651" spans="1:27" ht="24.75" customHeight="1">
      <c r="A651" s="110" t="s">
        <v>0</v>
      </c>
      <c r="B651" s="111" t="s">
        <v>3</v>
      </c>
      <c r="C651" s="112" t="s">
        <v>5</v>
      </c>
      <c r="D651" s="112"/>
      <c r="E651" s="112"/>
      <c r="F651" s="112"/>
      <c r="G651" s="112" t="s">
        <v>6</v>
      </c>
      <c r="H651" s="112"/>
      <c r="I651" s="112"/>
      <c r="J651" s="112"/>
      <c r="K651" s="112" t="s">
        <v>7</v>
      </c>
      <c r="L651" s="112"/>
      <c r="M651" s="112"/>
      <c r="N651" s="112"/>
      <c r="O651" s="97" t="s">
        <v>8</v>
      </c>
      <c r="P651" s="98"/>
      <c r="Q651" s="99"/>
      <c r="R651" s="105" t="s">
        <v>67</v>
      </c>
      <c r="S651" s="105" t="s">
        <v>50</v>
      </c>
    </row>
    <row r="652" spans="1:27" ht="69" customHeight="1">
      <c r="A652" s="110"/>
      <c r="B652" s="111"/>
      <c r="C652" s="55" t="s">
        <v>29</v>
      </c>
      <c r="D652" s="56" t="s">
        <v>1</v>
      </c>
      <c r="E652" s="57" t="s">
        <v>2</v>
      </c>
      <c r="F652" s="55" t="s">
        <v>59</v>
      </c>
      <c r="G652" s="55" t="s">
        <v>29</v>
      </c>
      <c r="H652" s="56" t="s">
        <v>1</v>
      </c>
      <c r="I652" s="57" t="s">
        <v>2</v>
      </c>
      <c r="J652" s="55" t="s">
        <v>60</v>
      </c>
      <c r="K652" s="55" t="s">
        <v>4</v>
      </c>
      <c r="L652" s="56" t="s">
        <v>1</v>
      </c>
      <c r="M652" s="57" t="s">
        <v>2</v>
      </c>
      <c r="N652" s="58" t="s">
        <v>61</v>
      </c>
      <c r="O652" s="54" t="s">
        <v>83</v>
      </c>
      <c r="P652" s="67" t="s">
        <v>51</v>
      </c>
      <c r="Q652" s="58" t="s">
        <v>66</v>
      </c>
      <c r="R652" s="105"/>
      <c r="S652" s="105"/>
    </row>
    <row r="653" spans="1:27" ht="18" customHeight="1">
      <c r="A653" s="7">
        <v>1</v>
      </c>
      <c r="B653" s="7">
        <v>2</v>
      </c>
      <c r="C653" s="7">
        <v>3</v>
      </c>
      <c r="D653" s="7">
        <v>4</v>
      </c>
      <c r="E653" s="7">
        <v>5</v>
      </c>
      <c r="F653" s="7">
        <v>6</v>
      </c>
      <c r="G653" s="7">
        <v>7</v>
      </c>
      <c r="H653" s="7">
        <v>8</v>
      </c>
      <c r="I653" s="7">
        <v>9</v>
      </c>
      <c r="J653" s="7">
        <v>10</v>
      </c>
      <c r="K653" s="7">
        <v>11</v>
      </c>
      <c r="L653" s="7">
        <v>12</v>
      </c>
      <c r="M653" s="7">
        <v>13</v>
      </c>
      <c r="N653" s="7">
        <v>14</v>
      </c>
      <c r="O653" s="7">
        <v>15</v>
      </c>
      <c r="P653" s="7">
        <v>17</v>
      </c>
      <c r="Q653" s="7">
        <v>18</v>
      </c>
      <c r="R653" s="7">
        <v>19</v>
      </c>
      <c r="S653" s="7">
        <v>20</v>
      </c>
    </row>
    <row r="654" spans="1:27" ht="21" customHeight="1">
      <c r="A654" s="8">
        <v>1</v>
      </c>
      <c r="B654" s="23" t="str">
        <f>IFERROR(IF(ISNA(VLOOKUP(Y649,Master!A$8:N$127,8,FALSE)),"",VLOOKUP($Y649,Master!A$8:AH$127,8,FALSE)),"")</f>
        <v/>
      </c>
      <c r="C654" s="9" t="str">
        <f>IF(ISNA(VLOOKUP(Y649,Master!A$8:N$127,5,FALSE)),"",VLOOKUP(Y649,Master!A$8:AH$127,5,FALSE))</f>
        <v/>
      </c>
      <c r="D654" s="9" t="str">
        <f>IF(AND(C654=""),"",IF(AND(Y649=""),"",ROUND(C654*Master!C$5%,0)))</f>
        <v/>
      </c>
      <c r="E654" s="9" t="str">
        <f>IF(AND(C654=""),"",IF(AND(Y649=""),"",ROUND(C654*Master!H$5%,0)))</f>
        <v/>
      </c>
      <c r="F654" s="9" t="str">
        <f t="shared" ref="F654" si="545">IF(AND(C654=""),"",SUM(C654:E654))</f>
        <v/>
      </c>
      <c r="G654" s="9" t="str">
        <f>IF(ISNA(VLOOKUP(Y649,Master!A$8:N$127,5,FALSE)),"",VLOOKUP(Y649,Master!A$8:AH$127,5,FALSE))</f>
        <v/>
      </c>
      <c r="H654" s="9" t="str">
        <f>IF(AND(G654=""),"",IF(AND(Y649=""),"",ROUND(G654*Master!C$4%,0)))</f>
        <v/>
      </c>
      <c r="I654" s="9" t="str">
        <f>IF(AND(G654=""),"",IF(AND(Y649=""),"",ROUND(G654*Master!H$4%,0)))</f>
        <v/>
      </c>
      <c r="J654" s="9" t="str">
        <f t="shared" ref="J654:J655" si="546">IF(AND(C654=""),"",SUM(G654:I654))</f>
        <v/>
      </c>
      <c r="K654" s="9" t="str">
        <f t="shared" ref="K654:K656" si="547">IF(AND(C654=""),"",IF(AND(G654=""),"",C654-G654))</f>
        <v/>
      </c>
      <c r="L654" s="9" t="str">
        <f t="shared" ref="L654:L656" si="548">IF(AND(D654=""),"",IF(AND(H654=""),"",D654-H654))</f>
        <v/>
      </c>
      <c r="M654" s="9" t="str">
        <f t="shared" ref="M654:M655" si="549">IF(AND(E654=""),"",IF(AND(I654=""),"",E654-I654))</f>
        <v/>
      </c>
      <c r="N654" s="9" t="str">
        <f t="shared" ref="N654:N655" si="550">IF(AND(F654=""),"",IF(AND(J654=""),"",F654-J654))</f>
        <v/>
      </c>
      <c r="O654" s="9" t="str">
        <f>IF(AND(C654=""),"",N654-P654)</f>
        <v/>
      </c>
      <c r="P654" s="9" t="str">
        <f>IF(AND(Y649=""),"",IF(AND(N654=""),"",ROUND(N654*AA$1%,0)))</f>
        <v/>
      </c>
      <c r="Q654" s="9" t="str">
        <f>IF(AND(Y649=""),"",IF(AND(C654=""),"",IF(AND(O654=""),"",SUM(O654,P654))))</f>
        <v/>
      </c>
      <c r="R654" s="9" t="str">
        <f>IF(AND(N654=""),"",IF(AND(Q654=""),"",N654-Q654))</f>
        <v/>
      </c>
      <c r="S654" s="20"/>
    </row>
    <row r="655" spans="1:27" ht="21" customHeight="1">
      <c r="A655" s="8">
        <v>2</v>
      </c>
      <c r="B655" s="23" t="str">
        <f>IFERROR(DATE(YEAR(B654),MONTH(B654)+1,DAY(B654)),"")</f>
        <v/>
      </c>
      <c r="C655" s="9" t="str">
        <f>IF(AND(Y649=""),"",C654)</f>
        <v/>
      </c>
      <c r="D655" s="9" t="str">
        <f>IF(AND(C655=""),"",IF(AND(Y649=""),"",ROUND(C655*Master!C$5%,0)))</f>
        <v/>
      </c>
      <c r="E655" s="9" t="str">
        <f>IF(AND(C655=""),"",IF(AND(Y649=""),"",ROUND(C655*Master!H$5%,0)))</f>
        <v/>
      </c>
      <c r="F655" s="9" t="str">
        <f>IF(AND(C655=""),"",SUM(C655:E655))</f>
        <v/>
      </c>
      <c r="G655" s="9" t="str">
        <f>IF(AND(Y649=""),"",G654)</f>
        <v/>
      </c>
      <c r="H655" s="9" t="str">
        <f>IF(AND(G655=""),"",IF(AND(Y649=""),"",ROUND(G655*Master!C$4%,0)))</f>
        <v/>
      </c>
      <c r="I655" s="9" t="str">
        <f>IF(AND(G655=""),"",IF(AND(Y649=""),"",ROUND(G655*Master!H$4%,0)))</f>
        <v/>
      </c>
      <c r="J655" s="9" t="str">
        <f t="shared" si="546"/>
        <v/>
      </c>
      <c r="K655" s="9" t="str">
        <f t="shared" si="547"/>
        <v/>
      </c>
      <c r="L655" s="9" t="str">
        <f t="shared" si="548"/>
        <v/>
      </c>
      <c r="M655" s="9" t="str">
        <f t="shared" si="549"/>
        <v/>
      </c>
      <c r="N655" s="9" t="str">
        <f t="shared" si="550"/>
        <v/>
      </c>
      <c r="O655" s="9" t="str">
        <f t="shared" ref="O655:O656" si="551">IF(AND(C655=""),"",N655-P655)</f>
        <v/>
      </c>
      <c r="P655" s="9" t="str">
        <f>IF(AND(Y649=""),"",IF(AND(N655=""),"",ROUND(N655*AA$1%,0)))</f>
        <v/>
      </c>
      <c r="Q655" s="9" t="str">
        <f>IF(AND(Y649=""),"",IF(AND(C655=""),"",IF(AND(O655=""),"",SUM(O655,P655))))</f>
        <v/>
      </c>
      <c r="R655" s="9" t="str">
        <f t="shared" ref="R655:R656" si="552">IF(AND(N655=""),"",IF(AND(Q655=""),"",N655-Q655))</f>
        <v/>
      </c>
      <c r="S655" s="20"/>
    </row>
    <row r="656" spans="1:27" ht="21" customHeight="1">
      <c r="A656" s="8">
        <v>3</v>
      </c>
      <c r="B656" s="23" t="str">
        <f>IFERROR(DATE(YEAR(B655),MONTH(B655)+1,DAY(B655)),"")</f>
        <v/>
      </c>
      <c r="C656" s="9" t="str">
        <f>IF(AND(Y649=""),"",C655)</f>
        <v/>
      </c>
      <c r="D656" s="9" t="str">
        <f>IF(AND(C656=""),"",IF(AND(Y649=""),"",ROUND(C656*Master!C$5%,0)))</f>
        <v/>
      </c>
      <c r="E656" s="9" t="str">
        <f>IF(AND(C656=""),"",IF(AND(Y649=""),"",ROUND(C656*Master!H$5%,0)))</f>
        <v/>
      </c>
      <c r="F656" s="9" t="str">
        <f t="shared" ref="F656" si="553">IF(AND(C656=""),"",SUM(C656:E656))</f>
        <v/>
      </c>
      <c r="G656" s="9" t="str">
        <f>IF(AND(Y649=""),"",G655)</f>
        <v/>
      </c>
      <c r="H656" s="9" t="str">
        <f>IF(AND(G656=""),"",IF(AND(Y649=""),"",ROUND(G656*Master!C$4%,0)))</f>
        <v/>
      </c>
      <c r="I656" s="9" t="str">
        <f>IF(AND(G656=""),"",IF(AND(Y649=""),"",ROUND(G656*Master!H$4%,0)))</f>
        <v/>
      </c>
      <c r="J656" s="9" t="str">
        <f>IF(AND(C656=""),"",SUM(G656:I656))</f>
        <v/>
      </c>
      <c r="K656" s="9" t="str">
        <f t="shared" si="547"/>
        <v/>
      </c>
      <c r="L656" s="9" t="str">
        <f t="shared" si="548"/>
        <v/>
      </c>
      <c r="M656" s="9" t="str">
        <f>IF(AND(E656=""),"",IF(AND(I656=""),"",E656-I656))</f>
        <v/>
      </c>
      <c r="N656" s="9" t="str">
        <f>IF(AND(F656=""),"",IF(AND(J656=""),"",F656-J656))</f>
        <v/>
      </c>
      <c r="O656" s="9" t="str">
        <f t="shared" si="551"/>
        <v/>
      </c>
      <c r="P656" s="9" t="str">
        <f>IF(AND(Y649=""),"",IF(AND(N656=""),"",ROUND(N656*AA$1%,0)))</f>
        <v/>
      </c>
      <c r="Q656" s="9" t="str">
        <f>IF(AND(Y649=""),"",IF(AND(C656=""),"",IF(AND(O656=""),"",SUM(O656,P656))))</f>
        <v/>
      </c>
      <c r="R656" s="9" t="str">
        <f t="shared" si="552"/>
        <v/>
      </c>
      <c r="S656" s="20"/>
    </row>
    <row r="657" spans="1:25" ht="23.25" customHeight="1">
      <c r="A657" s="108" t="s">
        <v>9</v>
      </c>
      <c r="B657" s="109"/>
      <c r="C657" s="64">
        <f>IF(AND(Y649=""),"",SUM(C654:C656))</f>
        <v>0</v>
      </c>
      <c r="D657" s="64">
        <f>IF(AND(Y649=""),"",SUM(D654:D656))</f>
        <v>0</v>
      </c>
      <c r="E657" s="64">
        <f>IF(AND(Y649=""),"",SUM(E654:E656))</f>
        <v>0</v>
      </c>
      <c r="F657" s="64">
        <f>IF(AND(Y649=""),"",SUM(F654:F656))</f>
        <v>0</v>
      </c>
      <c r="G657" s="64">
        <f>IF(AND(Y649=""),"",SUM(G654:G656))</f>
        <v>0</v>
      </c>
      <c r="H657" s="64">
        <f>IF(AND(Y649=""),"",SUM(H654:H656))</f>
        <v>0</v>
      </c>
      <c r="I657" s="64">
        <f>IF(AND(Y649=""),"",SUM(I654:I656))</f>
        <v>0</v>
      </c>
      <c r="J657" s="64">
        <f>IF(AND(Y649=""),"",SUM(J654:J656))</f>
        <v>0</v>
      </c>
      <c r="K657" s="64">
        <f>IF(AND(Y649=""),"",SUM(K654:K656))</f>
        <v>0</v>
      </c>
      <c r="L657" s="64">
        <f>IF(AND(Y649=""),"",SUM(L654:L656))</f>
        <v>0</v>
      </c>
      <c r="M657" s="64">
        <f>IF(AND(Y649=""),"",SUM(M654:M656))</f>
        <v>0</v>
      </c>
      <c r="N657" s="64">
        <f>IF(AND(Y649=""),"",SUM(N654:N656))</f>
        <v>0</v>
      </c>
      <c r="O657" s="64">
        <f>IF(AND(Y649=""),"",SUM(O654:O656))</f>
        <v>0</v>
      </c>
      <c r="P657" s="64">
        <f>IF(AND(Y649=""),"",SUM(P654:P656))</f>
        <v>0</v>
      </c>
      <c r="Q657" s="64">
        <f>IF(AND(Y649=""),"",SUM(Q654:Q656))</f>
        <v>0</v>
      </c>
      <c r="R657" s="64">
        <f>IF(AND(Y649=""),"",SUM(R654:R656))</f>
        <v>0</v>
      </c>
      <c r="S657" s="50"/>
    </row>
    <row r="658" spans="1:25" ht="10.5" customHeight="1">
      <c r="A658" s="75"/>
      <c r="B658" s="75"/>
      <c r="C658" s="76"/>
      <c r="D658" s="76"/>
      <c r="E658" s="76"/>
      <c r="F658" s="76"/>
      <c r="G658" s="76"/>
      <c r="H658" s="76"/>
      <c r="I658" s="76"/>
      <c r="J658" s="76"/>
      <c r="K658" s="76"/>
      <c r="L658" s="76"/>
      <c r="M658" s="76"/>
      <c r="N658" s="76"/>
      <c r="O658" s="76"/>
      <c r="P658" s="76"/>
      <c r="Q658" s="76"/>
      <c r="R658" s="76"/>
      <c r="S658" s="77"/>
    </row>
    <row r="659" spans="1:25" ht="23.25" customHeight="1">
      <c r="E659" s="116" t="s">
        <v>10</v>
      </c>
      <c r="F659" s="116"/>
      <c r="G659" s="116"/>
      <c r="H659" s="116"/>
      <c r="I659" s="116"/>
      <c r="J659" s="115" t="str">
        <f>IF(ISNA(VLOOKUP(Y661,Master!A$8:N$127,2,FALSE)),"",VLOOKUP(Y661,Master!A$8:AH$127,2,FALSE))</f>
        <v/>
      </c>
      <c r="K659" s="115"/>
      <c r="L659" s="115"/>
      <c r="M659" s="115"/>
      <c r="N659" s="115"/>
      <c r="O659" s="61" t="s">
        <v>31</v>
      </c>
      <c r="P659" s="115" t="str">
        <f>IF(ISNA(VLOOKUP(Y661,Master!A$8:N$127,3,FALSE)),"",VLOOKUP(Y661,Master!A$8:AH$127,3,FALSE))</f>
        <v/>
      </c>
      <c r="Q659" s="115"/>
      <c r="R659" s="115"/>
      <c r="S659" s="115"/>
    </row>
    <row r="660" spans="1:25" ht="9" customHeight="1">
      <c r="E660" s="19"/>
      <c r="F660" s="53"/>
      <c r="G660" s="22"/>
      <c r="H660" s="22"/>
      <c r="I660" s="22"/>
      <c r="J660" s="5"/>
      <c r="K660" s="5"/>
      <c r="L660" s="5"/>
      <c r="M660" s="5"/>
      <c r="N660" s="5"/>
      <c r="O660" s="6"/>
      <c r="P660" s="6"/>
    </row>
    <row r="661" spans="1:25" ht="21" customHeight="1">
      <c r="A661" s="8">
        <v>1</v>
      </c>
      <c r="B661" s="23" t="str">
        <f>IFERROR(IF(ISNA(VLOOKUP(Y661,Master!A$8:N$127,8,FALSE)),"",VLOOKUP($Y661,Master!A$8:AH$127,8,FALSE)),"")</f>
        <v/>
      </c>
      <c r="C661" s="9" t="str">
        <f>IF(ISNA(VLOOKUP(Y661,Master!A$8:N$127,5,FALSE)),"",VLOOKUP(Y661,Master!A$8:AH$127,5,FALSE))</f>
        <v/>
      </c>
      <c r="D661" s="9" t="str">
        <f>IF(AND(C661=""),"",IF(AND(Y661=""),"",ROUND(C661*Master!C$5%,0)))</f>
        <v/>
      </c>
      <c r="E661" s="9" t="str">
        <f>IF(AND(C661=""),"",IF(AND(Y661=""),"",ROUND(C661*Master!H$5%,0)))</f>
        <v/>
      </c>
      <c r="F661" s="9" t="str">
        <f t="shared" ref="F661:F663" si="554">IF(AND(C661=""),"",SUM(C661:E661))</f>
        <v/>
      </c>
      <c r="G661" s="9" t="str">
        <f>IF(ISNA(VLOOKUP(Y661,Master!A$8:N$127,5,FALSE)),"",VLOOKUP(Y661,Master!A$8:AH$127,5,FALSE))</f>
        <v/>
      </c>
      <c r="H661" s="9" t="str">
        <f>IF(AND(G661=""),"",IF(AND(Y661=""),"",ROUND(G661*Master!C$4%,0)))</f>
        <v/>
      </c>
      <c r="I661" s="9" t="str">
        <f>IF(AND(G661=""),"",IF(AND(Y661=""),"",ROUND(G661*Master!H$4%,0)))</f>
        <v/>
      </c>
      <c r="J661" s="9" t="str">
        <f t="shared" ref="J661:J663" si="555">IF(AND(C661=""),"",SUM(G661:I661))</f>
        <v/>
      </c>
      <c r="K661" s="9" t="str">
        <f t="shared" ref="K661" si="556">IF(AND(C661=""),"",IF(AND(G661=""),"",C661-G661))</f>
        <v/>
      </c>
      <c r="L661" s="9" t="str">
        <f>IF(AND(D661=""),"",IF(AND(H661=""),"",D661-H661))</f>
        <v/>
      </c>
      <c r="M661" s="9" t="str">
        <f t="shared" ref="M661:M663" si="557">IF(AND(E661=""),"",IF(AND(I661=""),"",E661-I661))</f>
        <v/>
      </c>
      <c r="N661" s="9" t="str">
        <f t="shared" ref="N661:N663" si="558">IF(AND(F661=""),"",IF(AND(J661=""),"",F661-J661))</f>
        <v/>
      </c>
      <c r="O661" s="9" t="str">
        <f>IF(AND(C661=""),"",N661-P661)</f>
        <v/>
      </c>
      <c r="P661" s="9" t="str">
        <f>IF(AND(Y661=""),"",IF(AND(N661=""),"",ROUND(N661*X$16%,0)))</f>
        <v/>
      </c>
      <c r="Q661" s="9" t="str">
        <f>IF(AND(Y661=""),"",IF(AND(C661=""),"",IF(AND(O661=""),"",SUM(O661,P661))))</f>
        <v/>
      </c>
      <c r="R661" s="9" t="str">
        <f>IF(AND(N661=""),"",IF(AND(Q661=""),"",N661-Q661))</f>
        <v/>
      </c>
      <c r="S661" s="20"/>
      <c r="X661" s="62" t="s">
        <v>62</v>
      </c>
      <c r="Y661" s="65">
        <v>59</v>
      </c>
    </row>
    <row r="662" spans="1:25" ht="21" customHeight="1">
      <c r="A662" s="8">
        <v>2</v>
      </c>
      <c r="B662" s="23" t="str">
        <f>IFERROR(DATE(YEAR(B661),MONTH(B661)+1,DAY(B661)),"")</f>
        <v/>
      </c>
      <c r="C662" s="9" t="str">
        <f>IF(AND(Y661=""),"",C661)</f>
        <v/>
      </c>
      <c r="D662" s="9" t="str">
        <f>IF(AND(C662=""),"",IF(AND(Y661=""),"",ROUND(C662*Master!C$5%,0)))</f>
        <v/>
      </c>
      <c r="E662" s="9" t="str">
        <f>IF(AND(C662=""),"",IF(AND(Y661=""),"",ROUND(C662*Master!H$5%,0)))</f>
        <v/>
      </c>
      <c r="F662" s="9" t="str">
        <f t="shared" si="554"/>
        <v/>
      </c>
      <c r="G662" s="9" t="str">
        <f>IF(AND(Y661=""),"",G661)</f>
        <v/>
      </c>
      <c r="H662" s="9" t="str">
        <f>IF(AND(G662=""),"",IF(AND(Y661=""),"",ROUND(G662*Master!C$4%,0)))</f>
        <v/>
      </c>
      <c r="I662" s="9" t="str">
        <f>IF(AND(G662=""),"",IF(AND(Y661=""),"",ROUND(G662*Master!H$4%,0)))</f>
        <v/>
      </c>
      <c r="J662" s="9" t="str">
        <f t="shared" si="555"/>
        <v/>
      </c>
      <c r="K662" s="9" t="str">
        <f>IF(AND(C662=""),"",IF(AND(G662=""),"",C662-G662))</f>
        <v/>
      </c>
      <c r="L662" s="9" t="str">
        <f t="shared" ref="L662:L663" si="559">IF(AND(D662=""),"",IF(AND(H662=""),"",D662-H662))</f>
        <v/>
      </c>
      <c r="M662" s="9" t="str">
        <f t="shared" si="557"/>
        <v/>
      </c>
      <c r="N662" s="9" t="str">
        <f t="shared" si="558"/>
        <v/>
      </c>
      <c r="O662" s="9" t="str">
        <f t="shared" ref="O662:O663" si="560">IF(AND(C662=""),"",N662-P662)</f>
        <v/>
      </c>
      <c r="P662" s="9" t="str">
        <f>IF(AND(Y661=""),"",IF(AND(N662=""),"",ROUND(N662*X$16%,0)))</f>
        <v/>
      </c>
      <c r="Q662" s="9" t="str">
        <f>IF(AND(Y661=""),"",IF(AND(C662=""),"",IF(AND(O662=""),"",SUM(O662,P662))))</f>
        <v/>
      </c>
      <c r="R662" s="9" t="str">
        <f t="shared" ref="R662:R663" si="561">IF(AND(N662=""),"",IF(AND(Q662=""),"",N662-Q662))</f>
        <v/>
      </c>
      <c r="S662" s="20"/>
      <c r="X662" s="4" t="str">
        <f>IF(ISNA(VLOOKUP(Y661,Master!A$8:N$127,7,FALSE)),"",VLOOKUP(Y661,Master!A$8:AH$127,7,FALSE))</f>
        <v/>
      </c>
    </row>
    <row r="663" spans="1:25" ht="21" customHeight="1">
      <c r="A663" s="8">
        <v>3</v>
      </c>
      <c r="B663" s="23" t="str">
        <f>IFERROR(DATE(YEAR(B662),MONTH(B662)+1,DAY(B662)),"")</f>
        <v/>
      </c>
      <c r="C663" s="9" t="str">
        <f>IF(AND(Y661=""),"",C662)</f>
        <v/>
      </c>
      <c r="D663" s="9" t="str">
        <f>IF(AND(C663=""),"",IF(AND(Y661=""),"",ROUND(C663*Master!C$5%,0)))</f>
        <v/>
      </c>
      <c r="E663" s="9" t="str">
        <f>IF(AND(C663=""),"",IF(AND(Y661=""),"",ROUND(C663*Master!H$5%,0)))</f>
        <v/>
      </c>
      <c r="F663" s="9" t="str">
        <f t="shared" si="554"/>
        <v/>
      </c>
      <c r="G663" s="9" t="str">
        <f>IF(AND(Y661=""),"",G662)</f>
        <v/>
      </c>
      <c r="H663" s="9" t="str">
        <f>IF(AND(G663=""),"",IF(AND(Y661=""),"",ROUND(G663*Master!C$4%,0)))</f>
        <v/>
      </c>
      <c r="I663" s="9" t="str">
        <f>IF(AND(G663=""),"",IF(AND(Y661=""),"",ROUND(G663*Master!H$4%,0)))</f>
        <v/>
      </c>
      <c r="J663" s="9" t="str">
        <f t="shared" si="555"/>
        <v/>
      </c>
      <c r="K663" s="9" t="str">
        <f t="shared" ref="K663" si="562">IF(AND(C663=""),"",IF(AND(G663=""),"",C663-G663))</f>
        <v/>
      </c>
      <c r="L663" s="9" t="str">
        <f t="shared" si="559"/>
        <v/>
      </c>
      <c r="M663" s="9" t="str">
        <f t="shared" si="557"/>
        <v/>
      </c>
      <c r="N663" s="9" t="str">
        <f t="shared" si="558"/>
        <v/>
      </c>
      <c r="O663" s="9" t="str">
        <f t="shared" si="560"/>
        <v/>
      </c>
      <c r="P663" s="9" t="str">
        <f>IF(AND(Y661=""),"",IF(AND(N663=""),"",ROUND(N663*X$16%,0)))</f>
        <v/>
      </c>
      <c r="Q663" s="9" t="str">
        <f>IF(AND(Y661=""),"",IF(AND(C663=""),"",IF(AND(O663=""),"",SUM(O663,P663))))</f>
        <v/>
      </c>
      <c r="R663" s="9" t="str">
        <f t="shared" si="561"/>
        <v/>
      </c>
      <c r="S663" s="20"/>
    </row>
    <row r="664" spans="1:25" ht="30.75" customHeight="1">
      <c r="A664" s="108" t="s">
        <v>9</v>
      </c>
      <c r="B664" s="109"/>
      <c r="C664" s="64">
        <f>IF(AND(Y661=""),"",SUM(C661:C663))</f>
        <v>0</v>
      </c>
      <c r="D664" s="64">
        <f>IF(AND(Y661=""),"",SUM(D661:D663))</f>
        <v>0</v>
      </c>
      <c r="E664" s="64">
        <f>IF(AND(Y661=""),"",SUM(E661:E663))</f>
        <v>0</v>
      </c>
      <c r="F664" s="64">
        <f>IF(AND(Y661=""),"",SUM(F661:F663))</f>
        <v>0</v>
      </c>
      <c r="G664" s="64">
        <f>IF(AND(Y661=""),"",SUM(G661:G663))</f>
        <v>0</v>
      </c>
      <c r="H664" s="64">
        <f>IF(AND(Y661=""),"",SUM(H661:H663))</f>
        <v>0</v>
      </c>
      <c r="I664" s="64">
        <f>IF(AND(Y661=""),"",SUM(I661:I663))</f>
        <v>0</v>
      </c>
      <c r="J664" s="64">
        <f>IF(AND(Y661=""),"",SUM(J661:J663))</f>
        <v>0</v>
      </c>
      <c r="K664" s="64">
        <f>IF(AND(Y661=""),"",SUM(K661:K663))</f>
        <v>0</v>
      </c>
      <c r="L664" s="64">
        <f>IF(AND(Y661=""),"",SUM(L661:L663))</f>
        <v>0</v>
      </c>
      <c r="M664" s="64">
        <f>IF(AND(Y661=""),"",SUM(M661:M663))</f>
        <v>0</v>
      </c>
      <c r="N664" s="64">
        <f>IF(AND(Y661=""),"",SUM(N661:N663))</f>
        <v>0</v>
      </c>
      <c r="O664" s="64">
        <f>IF(AND(Y661=""),"",SUM(O661:O663))</f>
        <v>0</v>
      </c>
      <c r="P664" s="64">
        <f>IF(AND(Y661=""),"",SUM(P661:P663))</f>
        <v>0</v>
      </c>
      <c r="Q664" s="64">
        <f>IF(AND(Y661=""),"",SUM(Q661:Q663))</f>
        <v>0</v>
      </c>
      <c r="R664" s="64">
        <f>IF(AND(Y661=""),"",SUM(R661:R663))</f>
        <v>0</v>
      </c>
      <c r="S664" s="50"/>
    </row>
    <row r="665" spans="1:25" ht="11.25" customHeight="1">
      <c r="A665" s="75"/>
      <c r="B665" s="75"/>
      <c r="C665" s="76"/>
      <c r="D665" s="76"/>
      <c r="E665" s="76"/>
      <c r="F665" s="76"/>
      <c r="G665" s="76"/>
      <c r="H665" s="76"/>
      <c r="I665" s="76"/>
      <c r="J665" s="76"/>
      <c r="K665" s="76"/>
      <c r="L665" s="76"/>
      <c r="M665" s="76"/>
      <c r="N665" s="76"/>
      <c r="O665" s="76"/>
      <c r="P665" s="76"/>
      <c r="Q665" s="76"/>
      <c r="R665" s="76"/>
      <c r="S665" s="77"/>
    </row>
    <row r="666" spans="1:25" ht="23.25" customHeight="1">
      <c r="E666" s="116" t="s">
        <v>10</v>
      </c>
      <c r="F666" s="116"/>
      <c r="G666" s="116"/>
      <c r="H666" s="116"/>
      <c r="I666" s="116"/>
      <c r="J666" s="115" t="str">
        <f>IF(ISNA(VLOOKUP(Y668,Master!A$8:N$127,2,FALSE)),"",VLOOKUP(Y668,Master!A$8:AH$127,2,FALSE))</f>
        <v/>
      </c>
      <c r="K666" s="115"/>
      <c r="L666" s="115"/>
      <c r="M666" s="115"/>
      <c r="N666" s="115"/>
      <c r="O666" s="61" t="s">
        <v>31</v>
      </c>
      <c r="P666" s="115" t="str">
        <f>IF(ISNA(VLOOKUP($Y$396,Master!A$8:N$127,3,FALSE)),"",VLOOKUP($Y$396,Master!A$8:AH$127,3,FALSE))</f>
        <v/>
      </c>
      <c r="Q666" s="115"/>
      <c r="R666" s="115"/>
      <c r="S666" s="115"/>
    </row>
    <row r="667" spans="1:25" ht="9" customHeight="1">
      <c r="E667" s="19"/>
      <c r="F667" s="53"/>
      <c r="G667" s="22"/>
      <c r="H667" s="22"/>
      <c r="I667" s="22"/>
      <c r="J667" s="5"/>
      <c r="K667" s="5"/>
      <c r="L667" s="5"/>
      <c r="M667" s="5"/>
      <c r="N667" s="5"/>
      <c r="O667" s="6"/>
      <c r="P667" s="6"/>
    </row>
    <row r="668" spans="1:25" ht="21" customHeight="1">
      <c r="A668" s="8">
        <v>1</v>
      </c>
      <c r="B668" s="23" t="str">
        <f>IFERROR(IF(ISNA(VLOOKUP(Y668,Master!A$8:N$127,8,FALSE)),"",VLOOKUP($Y668,Master!A$8:AH$127,8,FALSE)),"")</f>
        <v/>
      </c>
      <c r="C668" s="9" t="str">
        <f>IF(ISNA(VLOOKUP(Y668,Master!A$8:N$127,5,FALSE)),"",VLOOKUP(Y668,Master!A$8:AH$127,5,FALSE))</f>
        <v/>
      </c>
      <c r="D668" s="9" t="str">
        <f>IF(AND(C668=""),"",IF(AND(Y668=""),"",ROUND(C668*Master!C$5%,0)))</f>
        <v/>
      </c>
      <c r="E668" s="9" t="str">
        <f>IF(AND(C668=""),"",IF(AND(Y668=""),"",ROUND(C668*Master!H$5%,0)))</f>
        <v/>
      </c>
      <c r="F668" s="9" t="str">
        <f t="shared" ref="F668:F670" si="563">IF(AND(C668=""),"",SUM(C668:E668))</f>
        <v/>
      </c>
      <c r="G668" s="9" t="str">
        <f>IF(ISNA(VLOOKUP(Y668,Master!A$8:N$127,5,FALSE)),"",VLOOKUP(Y668,Master!A$8:AH$127,5,FALSE))</f>
        <v/>
      </c>
      <c r="H668" s="9" t="str">
        <f>IF(AND(G668=""),"",IF(AND(Y668=""),"",ROUND(G668*Master!C$4%,0)))</f>
        <v/>
      </c>
      <c r="I668" s="9" t="str">
        <f>IF(AND(G668=""),"",IF(AND(Y668=""),"",ROUND(G668*Master!H$4%,0)))</f>
        <v/>
      </c>
      <c r="J668" s="9" t="str">
        <f t="shared" ref="J668:J670" si="564">IF(AND(C668=""),"",SUM(G668:I668))</f>
        <v/>
      </c>
      <c r="K668" s="9" t="str">
        <f t="shared" ref="K668:K670" si="565">IF(AND(C668=""),"",IF(AND(G668=""),"",C668-G668))</f>
        <v/>
      </c>
      <c r="L668" s="9" t="str">
        <f t="shared" ref="L668:L670" si="566">IF(AND(D668=""),"",IF(AND(H668=""),"",D668-H668))</f>
        <v/>
      </c>
      <c r="M668" s="9" t="str">
        <f t="shared" ref="M668:M670" si="567">IF(AND(E668=""),"",IF(AND(I668=""),"",E668-I668))</f>
        <v/>
      </c>
      <c r="N668" s="9" t="str">
        <f t="shared" ref="N668:N670" si="568">IF(AND(F668=""),"",IF(AND(J668=""),"",F668-J668))</f>
        <v/>
      </c>
      <c r="O668" s="9" t="str">
        <f>IF(AND(C668=""),"",N668-P668)</f>
        <v/>
      </c>
      <c r="P668" s="9" t="str">
        <f>IF(AND(Y668=""),"",IF(AND(N668=""),"",ROUND(N668*AA$1%,0)))</f>
        <v/>
      </c>
      <c r="Q668" s="9" t="str">
        <f>IF(AND(Y668=""),"",IF(AND(C668=""),"",IF(AND(O668=""),"",SUM(O668,P668))))</f>
        <v/>
      </c>
      <c r="R668" s="9" t="str">
        <f>IF(AND(N668=""),"",IF(AND(Q668=""),"",N668-Q668))</f>
        <v/>
      </c>
      <c r="S668" s="20"/>
      <c r="X668" s="62" t="s">
        <v>62</v>
      </c>
      <c r="Y668" s="65">
        <v>60</v>
      </c>
    </row>
    <row r="669" spans="1:25" ht="21" customHeight="1">
      <c r="A669" s="8">
        <v>2</v>
      </c>
      <c r="B669" s="23" t="str">
        <f>IFERROR(DATE(YEAR(B668),MONTH(B668)+1,DAY(B668)),"")</f>
        <v/>
      </c>
      <c r="C669" s="9" t="str">
        <f>IF(AND(Y668=""),"",C668)</f>
        <v/>
      </c>
      <c r="D669" s="9" t="str">
        <f>IF(AND(C669=""),"",IF(AND(Y668=""),"",ROUND(C669*Master!C$5%,0)))</f>
        <v/>
      </c>
      <c r="E669" s="9" t="str">
        <f>IF(AND(C669=""),"",IF(AND(Y668=""),"",ROUND(C669*Master!H$5%,0)))</f>
        <v/>
      </c>
      <c r="F669" s="9" t="str">
        <f t="shared" si="563"/>
        <v/>
      </c>
      <c r="G669" s="9" t="str">
        <f>IF(AND(Y668=""),"",G668)</f>
        <v/>
      </c>
      <c r="H669" s="9" t="str">
        <f>IF(AND(G669=""),"",IF(AND(Y668=""),"",ROUND(G669*Master!C$4%,0)))</f>
        <v/>
      </c>
      <c r="I669" s="9" t="str">
        <f>IF(AND(G669=""),"",IF(AND(Y668=""),"",ROUND(G669*Master!H$4%,0)))</f>
        <v/>
      </c>
      <c r="J669" s="9" t="str">
        <f t="shared" si="564"/>
        <v/>
      </c>
      <c r="K669" s="9" t="str">
        <f t="shared" si="565"/>
        <v/>
      </c>
      <c r="L669" s="9" t="str">
        <f t="shared" si="566"/>
        <v/>
      </c>
      <c r="M669" s="9" t="str">
        <f t="shared" si="567"/>
        <v/>
      </c>
      <c r="N669" s="9" t="str">
        <f t="shared" si="568"/>
        <v/>
      </c>
      <c r="O669" s="9" t="str">
        <f t="shared" ref="O669:O670" si="569">IF(AND(C669=""),"",N669-P669)</f>
        <v/>
      </c>
      <c r="P669" s="9" t="str">
        <f>IF(AND(Y668=""),"",IF(AND(N669=""),"",ROUND(N669*AA$1%,0)))</f>
        <v/>
      </c>
      <c r="Q669" s="9" t="str">
        <f>IF(AND(Y668=""),"",IF(AND(C669=""),"",IF(AND(O669=""),"",SUM(O669,P669))))</f>
        <v/>
      </c>
      <c r="R669" s="9" t="str">
        <f t="shared" ref="R669:R670" si="570">IF(AND(N669=""),"",IF(AND(Q669=""),"",N669-Q669))</f>
        <v/>
      </c>
      <c r="S669" s="20"/>
      <c r="X669" s="4" t="str">
        <f>IF(ISNA(VLOOKUP(Y668,Master!A$8:N$127,7,FALSE)),"",VLOOKUP(Y668,Master!A$8:AH$127,7,FALSE))</f>
        <v/>
      </c>
    </row>
    <row r="670" spans="1:25" ht="21" customHeight="1">
      <c r="A670" s="8">
        <v>3</v>
      </c>
      <c r="B670" s="23" t="str">
        <f>IFERROR(DATE(YEAR(B669),MONTH(B669)+1,DAY(B669)),"")</f>
        <v/>
      </c>
      <c r="C670" s="9" t="str">
        <f>IF(AND(Y668=""),"",C669)</f>
        <v/>
      </c>
      <c r="D670" s="9" t="str">
        <f>IF(AND(C670=""),"",IF(AND(Y668=""),"",ROUND(C670*Master!C$5%,0)))</f>
        <v/>
      </c>
      <c r="E670" s="9" t="str">
        <f>IF(AND(C670=""),"",IF(AND(Y668=""),"",ROUND(C670*Master!H$5%,0)))</f>
        <v/>
      </c>
      <c r="F670" s="9" t="str">
        <f t="shared" si="563"/>
        <v/>
      </c>
      <c r="G670" s="9" t="str">
        <f>IF(AND(Y668=""),"",G669)</f>
        <v/>
      </c>
      <c r="H670" s="9" t="str">
        <f>IF(AND(G670=""),"",IF(AND(Y668=""),"",ROUND(G670*Master!C$4%,0)))</f>
        <v/>
      </c>
      <c r="I670" s="9" t="str">
        <f>IF(AND(G670=""),"",IF(AND(Y668=""),"",ROUND(G670*Master!H$4%,0)))</f>
        <v/>
      </c>
      <c r="J670" s="9" t="str">
        <f t="shared" si="564"/>
        <v/>
      </c>
      <c r="K670" s="9" t="str">
        <f t="shared" si="565"/>
        <v/>
      </c>
      <c r="L670" s="9" t="str">
        <f t="shared" si="566"/>
        <v/>
      </c>
      <c r="M670" s="9" t="str">
        <f t="shared" si="567"/>
        <v/>
      </c>
      <c r="N670" s="9" t="str">
        <f t="shared" si="568"/>
        <v/>
      </c>
      <c r="O670" s="9" t="str">
        <f t="shared" si="569"/>
        <v/>
      </c>
      <c r="P670" s="9" t="str">
        <f>IF(AND(Y668=""),"",IF(AND(N670=""),"",ROUND(N670*AA$1%,0)))</f>
        <v/>
      </c>
      <c r="Q670" s="9" t="str">
        <f>IF(AND(Y668=""),"",IF(AND(C670=""),"",IF(AND(O670=""),"",SUM(O670,P670))))</f>
        <v/>
      </c>
      <c r="R670" s="9" t="str">
        <f t="shared" si="570"/>
        <v/>
      </c>
      <c r="S670" s="20"/>
    </row>
    <row r="671" spans="1:25" ht="30.75" customHeight="1">
      <c r="A671" s="108" t="s">
        <v>9</v>
      </c>
      <c r="B671" s="109"/>
      <c r="C671" s="64">
        <f>IF(AND(Y668=""),"",SUM(C668:C670))</f>
        <v>0</v>
      </c>
      <c r="D671" s="64">
        <f>IF(AND(Y668=""),"",SUM(D668:D670))</f>
        <v>0</v>
      </c>
      <c r="E671" s="64">
        <f>IF(AND(Y668=""),"",SUM(E668:E670))</f>
        <v>0</v>
      </c>
      <c r="F671" s="64">
        <f>IF(AND(Y668=""),"",SUM(F668:F670))</f>
        <v>0</v>
      </c>
      <c r="G671" s="64">
        <f>IF(AND(Y668=""),"",SUM(G668:G670))</f>
        <v>0</v>
      </c>
      <c r="H671" s="64">
        <f>IF(AND(Y668=""),"",SUM(H668:H670))</f>
        <v>0</v>
      </c>
      <c r="I671" s="64">
        <f>IF(AND(Y668=""),"",SUM(I668:I670))</f>
        <v>0</v>
      </c>
      <c r="J671" s="64">
        <f>IF(AND(Y668=""),"",SUM(J668:J670))</f>
        <v>0</v>
      </c>
      <c r="K671" s="64">
        <f>IF(AND(Y668=""),"",SUM(K668:K670))</f>
        <v>0</v>
      </c>
      <c r="L671" s="64">
        <f>IF(AND(Y668=""),"",SUM(L668:L670))</f>
        <v>0</v>
      </c>
      <c r="M671" s="64">
        <f>IF(AND(Y668=""),"",SUM(M668:M670))</f>
        <v>0</v>
      </c>
      <c r="N671" s="64">
        <f>IF(AND(Y668=""),"",SUM(N668:N670))</f>
        <v>0</v>
      </c>
      <c r="O671" s="64">
        <f>IF(AND(Y668=""),"",SUM(O668:O670))</f>
        <v>0</v>
      </c>
      <c r="P671" s="64">
        <f>IF(AND(Y668=""),"",SUM(P668:P670))</f>
        <v>0</v>
      </c>
      <c r="Q671" s="64">
        <f>IF(AND(Y668=""),"",SUM(Q668:Q670))</f>
        <v>0</v>
      </c>
      <c r="R671" s="64">
        <f>IF(AND(Y668=""),"",SUM(R668:R670))</f>
        <v>0</v>
      </c>
      <c r="S671" s="50"/>
    </row>
    <row r="672" spans="1:25" ht="30.75" customHeight="1">
      <c r="A672" s="75"/>
      <c r="B672" s="75"/>
      <c r="C672" s="76"/>
      <c r="D672" s="76"/>
      <c r="E672" s="76"/>
      <c r="F672" s="76"/>
      <c r="G672" s="76"/>
      <c r="H672" s="76"/>
      <c r="I672" s="76"/>
      <c r="J672" s="76"/>
      <c r="K672" s="76"/>
      <c r="L672" s="76"/>
      <c r="M672" s="76"/>
      <c r="N672" s="76"/>
      <c r="O672" s="76"/>
      <c r="P672" s="76"/>
      <c r="Q672" s="76"/>
      <c r="R672" s="76"/>
      <c r="S672" s="77"/>
    </row>
    <row r="673" spans="1:27" ht="18.75">
      <c r="A673" s="21"/>
      <c r="B673" s="59"/>
      <c r="C673" s="59"/>
      <c r="D673" s="59"/>
      <c r="E673" s="59"/>
      <c r="F673" s="59"/>
      <c r="G673" s="59"/>
      <c r="H673" s="60"/>
      <c r="I673" s="60"/>
      <c r="J673" s="60"/>
      <c r="K673" s="68"/>
      <c r="L673" s="68"/>
      <c r="M673" s="68"/>
      <c r="N673" s="68"/>
      <c r="O673" s="107" t="s">
        <v>55</v>
      </c>
      <c r="P673" s="107"/>
      <c r="Q673" s="107"/>
      <c r="R673" s="107"/>
      <c r="S673" s="107"/>
    </row>
    <row r="674" spans="1:27" ht="18.75">
      <c r="A674" s="1"/>
      <c r="B674" s="24" t="s">
        <v>19</v>
      </c>
      <c r="C674" s="118"/>
      <c r="D674" s="118"/>
      <c r="E674" s="118"/>
      <c r="F674" s="118"/>
      <c r="G674" s="118"/>
      <c r="H674" s="25"/>
      <c r="I674" s="121" t="s">
        <v>20</v>
      </c>
      <c r="J674" s="121"/>
      <c r="K674" s="120"/>
      <c r="L674" s="120"/>
      <c r="M674" s="120"/>
      <c r="O674" s="107"/>
      <c r="P674" s="107"/>
      <c r="Q674" s="107"/>
      <c r="R674" s="107"/>
      <c r="S674" s="107"/>
    </row>
    <row r="675" spans="1:27" ht="18.75">
      <c r="A675" s="1"/>
      <c r="B675" s="119" t="s">
        <v>21</v>
      </c>
      <c r="C675" s="119"/>
      <c r="D675" s="119"/>
      <c r="E675" s="119"/>
      <c r="F675" s="119"/>
      <c r="G675" s="119"/>
      <c r="H675" s="119"/>
      <c r="I675" s="27"/>
      <c r="J675" s="26"/>
      <c r="K675" s="26"/>
      <c r="L675" s="26"/>
      <c r="M675" s="26"/>
    </row>
    <row r="676" spans="1:27" ht="18.75">
      <c r="A676" s="22">
        <v>1</v>
      </c>
      <c r="B676" s="117" t="s">
        <v>22</v>
      </c>
      <c r="C676" s="117"/>
      <c r="D676" s="117"/>
      <c r="E676" s="117"/>
      <c r="F676" s="117"/>
      <c r="G676" s="117"/>
      <c r="H676" s="117"/>
      <c r="I676" s="28"/>
      <c r="J676" s="26"/>
      <c r="K676" s="26"/>
      <c r="L676" s="26"/>
      <c r="M676" s="26"/>
    </row>
    <row r="677" spans="1:27" ht="18.75">
      <c r="A677" s="2">
        <v>2</v>
      </c>
      <c r="B677" s="117" t="s">
        <v>23</v>
      </c>
      <c r="C677" s="117"/>
      <c r="D677" s="117"/>
      <c r="E677" s="117"/>
      <c r="F677" s="117"/>
      <c r="G677" s="115"/>
      <c r="H677" s="115"/>
      <c r="I677" s="115"/>
      <c r="J677" s="115"/>
      <c r="K677" s="115"/>
      <c r="L677" s="115"/>
      <c r="M677" s="115"/>
    </row>
    <row r="678" spans="1:27" ht="18.75">
      <c r="A678" s="3">
        <v>3</v>
      </c>
      <c r="B678" s="117" t="s">
        <v>24</v>
      </c>
      <c r="C678" s="117"/>
      <c r="D678" s="117"/>
      <c r="E678" s="29"/>
      <c r="F678" s="28"/>
      <c r="G678" s="28"/>
      <c r="H678" s="30"/>
      <c r="I678" s="31"/>
      <c r="J678" s="26"/>
      <c r="K678" s="26"/>
      <c r="L678" s="26"/>
      <c r="M678" s="26"/>
    </row>
    <row r="679" spans="1:27" ht="15.75">
      <c r="O679" s="107" t="s">
        <v>55</v>
      </c>
      <c r="P679" s="107"/>
      <c r="Q679" s="107"/>
      <c r="R679" s="107"/>
      <c r="S679" s="107"/>
    </row>
    <row r="681" spans="1:27" ht="18" customHeight="1">
      <c r="A681" s="122" t="str">
        <f>A647</f>
        <v xml:space="preserve">DA (38%) Drawn Statement  </v>
      </c>
      <c r="B681" s="122"/>
      <c r="C681" s="122"/>
      <c r="D681" s="122"/>
      <c r="E681" s="122"/>
      <c r="F681" s="122"/>
      <c r="G681" s="122"/>
      <c r="H681" s="122"/>
      <c r="I681" s="122"/>
      <c r="J681" s="122"/>
      <c r="K681" s="122"/>
      <c r="L681" s="122"/>
      <c r="M681" s="122"/>
      <c r="N681" s="122"/>
      <c r="O681" s="122"/>
      <c r="P681" s="122"/>
      <c r="Q681" s="122"/>
      <c r="R681" s="122"/>
      <c r="S681" s="122"/>
      <c r="W681" s="4">
        <f>IF(ISNA(VLOOKUP($Y$3,Master!A$8:N$127,4,FALSE)),"",VLOOKUP($Y$3,Master!A$8:AH$127,4,FALSE))</f>
        <v>3</v>
      </c>
      <c r="X681" s="4" t="str">
        <f>IF(ISNA(VLOOKUP($Y$3,Master!A$8:N$127,6,FALSE)),"",VLOOKUP($Y$3,Master!A$8:AH$127,6,FALSE))</f>
        <v>GPF</v>
      </c>
      <c r="Y681" s="4" t="s">
        <v>58</v>
      </c>
      <c r="Z681" s="4" t="s">
        <v>18</v>
      </c>
      <c r="AA681" s="4" t="str">
        <f>IF(ISNA(VLOOKUP(Y683,Master!A$8:N$127,7,FALSE)),"",VLOOKUP(Y683,Master!A$8:AH$127,7,FALSE))</f>
        <v/>
      </c>
    </row>
    <row r="682" spans="1:27" ht="18">
      <c r="A682" s="114" t="str">
        <f>IF(AND(Master!C683=""),"",CONCATENATE("Office Of  ",Master!C683))</f>
        <v/>
      </c>
      <c r="B682" s="114"/>
      <c r="C682" s="114"/>
      <c r="D682" s="114"/>
      <c r="E682" s="114"/>
      <c r="F682" s="114"/>
      <c r="G682" s="114"/>
      <c r="H682" s="114"/>
      <c r="I682" s="114"/>
      <c r="J682" s="114"/>
      <c r="K682" s="114"/>
      <c r="L682" s="114"/>
      <c r="M682" s="114"/>
      <c r="N682" s="114"/>
      <c r="O682" s="114"/>
      <c r="P682" s="114"/>
      <c r="Q682" s="114"/>
      <c r="R682" s="114"/>
      <c r="S682" s="114"/>
      <c r="X682" s="4">
        <f>IF(ISNA(VLOOKUP($Y$3,Master!A$8:N$127,8,FALSE)),"",VLOOKUP($Y$3,Master!A$8:AH$127,8,FALSE))</f>
        <v>44743</v>
      </c>
      <c r="Y682" s="4" t="s">
        <v>56</v>
      </c>
    </row>
    <row r="683" spans="1:27" ht="18.75">
      <c r="E683" s="116" t="s">
        <v>10</v>
      </c>
      <c r="F683" s="116"/>
      <c r="G683" s="116"/>
      <c r="H683" s="116"/>
      <c r="I683" s="116"/>
      <c r="J683" s="115" t="str">
        <f>IF(ISNA(VLOOKUP(Y683,Master!A$8:N$127,2,FALSE)),"",VLOOKUP(Y683,Master!A$8:AH$127,2,FALSE))</f>
        <v/>
      </c>
      <c r="K683" s="115"/>
      <c r="L683" s="115"/>
      <c r="M683" s="115"/>
      <c r="N683" s="115"/>
      <c r="O683" s="61" t="s">
        <v>31</v>
      </c>
      <c r="P683" s="115" t="str">
        <f>IF(ISNA(VLOOKUP(Y683,Master!A$8:N$127,3,FALSE)),"",VLOOKUP(Y683,Master!A$8:AH$127,3,FALSE))</f>
        <v/>
      </c>
      <c r="Q683" s="115"/>
      <c r="R683" s="115"/>
      <c r="S683" s="115"/>
      <c r="X683" s="62" t="s">
        <v>62</v>
      </c>
      <c r="Y683" s="65">
        <v>61</v>
      </c>
    </row>
    <row r="684" spans="1:27" ht="8.25" customHeight="1">
      <c r="E684" s="19"/>
      <c r="F684" s="53"/>
      <c r="G684" s="22"/>
      <c r="H684" s="22"/>
      <c r="I684" s="22"/>
      <c r="J684" s="5"/>
      <c r="K684" s="5"/>
      <c r="L684" s="5"/>
      <c r="M684" s="5"/>
      <c r="N684" s="5"/>
      <c r="O684" s="6"/>
      <c r="P684" s="6"/>
    </row>
    <row r="685" spans="1:27" ht="24.75" customHeight="1">
      <c r="A685" s="110" t="s">
        <v>0</v>
      </c>
      <c r="B685" s="111" t="s">
        <v>3</v>
      </c>
      <c r="C685" s="112" t="s">
        <v>5</v>
      </c>
      <c r="D685" s="112"/>
      <c r="E685" s="112"/>
      <c r="F685" s="112"/>
      <c r="G685" s="112" t="s">
        <v>6</v>
      </c>
      <c r="H685" s="112"/>
      <c r="I685" s="112"/>
      <c r="J685" s="112"/>
      <c r="K685" s="112" t="s">
        <v>7</v>
      </c>
      <c r="L685" s="112"/>
      <c r="M685" s="112"/>
      <c r="N685" s="112"/>
      <c r="O685" s="97" t="s">
        <v>8</v>
      </c>
      <c r="P685" s="98"/>
      <c r="Q685" s="99"/>
      <c r="R685" s="105" t="s">
        <v>67</v>
      </c>
      <c r="S685" s="105" t="s">
        <v>50</v>
      </c>
    </row>
    <row r="686" spans="1:27" ht="69" customHeight="1">
      <c r="A686" s="110"/>
      <c r="B686" s="111"/>
      <c r="C686" s="55" t="s">
        <v>29</v>
      </c>
      <c r="D686" s="56" t="s">
        <v>1</v>
      </c>
      <c r="E686" s="57" t="s">
        <v>2</v>
      </c>
      <c r="F686" s="55" t="s">
        <v>59</v>
      </c>
      <c r="G686" s="55" t="s">
        <v>29</v>
      </c>
      <c r="H686" s="56" t="s">
        <v>1</v>
      </c>
      <c r="I686" s="57" t="s">
        <v>2</v>
      </c>
      <c r="J686" s="55" t="s">
        <v>60</v>
      </c>
      <c r="K686" s="55" t="s">
        <v>4</v>
      </c>
      <c r="L686" s="56" t="s">
        <v>1</v>
      </c>
      <c r="M686" s="57" t="s">
        <v>2</v>
      </c>
      <c r="N686" s="58" t="s">
        <v>61</v>
      </c>
      <c r="O686" s="54" t="s">
        <v>83</v>
      </c>
      <c r="P686" s="67" t="s">
        <v>51</v>
      </c>
      <c r="Q686" s="58" t="s">
        <v>66</v>
      </c>
      <c r="R686" s="105"/>
      <c r="S686" s="105"/>
    </row>
    <row r="687" spans="1:27" ht="18" customHeight="1">
      <c r="A687" s="7">
        <v>1</v>
      </c>
      <c r="B687" s="7">
        <v>2</v>
      </c>
      <c r="C687" s="7">
        <v>3</v>
      </c>
      <c r="D687" s="7">
        <v>4</v>
      </c>
      <c r="E687" s="7">
        <v>5</v>
      </c>
      <c r="F687" s="7">
        <v>6</v>
      </c>
      <c r="G687" s="7">
        <v>7</v>
      </c>
      <c r="H687" s="7">
        <v>8</v>
      </c>
      <c r="I687" s="7">
        <v>9</v>
      </c>
      <c r="J687" s="7">
        <v>10</v>
      </c>
      <c r="K687" s="7">
        <v>11</v>
      </c>
      <c r="L687" s="7">
        <v>12</v>
      </c>
      <c r="M687" s="7">
        <v>13</v>
      </c>
      <c r="N687" s="7">
        <v>14</v>
      </c>
      <c r="O687" s="7">
        <v>15</v>
      </c>
      <c r="P687" s="7">
        <v>17</v>
      </c>
      <c r="Q687" s="7">
        <v>18</v>
      </c>
      <c r="R687" s="7">
        <v>19</v>
      </c>
      <c r="S687" s="7">
        <v>20</v>
      </c>
    </row>
    <row r="688" spans="1:27" ht="21" customHeight="1">
      <c r="A688" s="8">
        <v>1</v>
      </c>
      <c r="B688" s="23">
        <v>44562</v>
      </c>
      <c r="C688" s="9" t="str">
        <f>IF(ISNA(VLOOKUP(Y683,Master!A$8:N$127,5,FALSE)),"",VLOOKUP(Y683,Master!A$8:AH$127,5,FALSE))</f>
        <v/>
      </c>
      <c r="D688" s="9" t="str">
        <f>IF(AND(C688=""),"",IF(AND(Y683=""),"",ROUND(C688*Master!C$5%,0)))</f>
        <v/>
      </c>
      <c r="E688" s="9" t="str">
        <f>IF(AND(C688=""),"",IF(AND(Y683=""),"",ROUND(C688*Master!H$5%,0)))</f>
        <v/>
      </c>
      <c r="F688" s="9" t="str">
        <f t="shared" ref="F688" si="571">IF(AND(C688=""),"",SUM(C688:E688))</f>
        <v/>
      </c>
      <c r="G688" s="9" t="str">
        <f>IF(ISNA(VLOOKUP(Y683,Master!A$8:N$127,5,FALSE)),"",VLOOKUP(Y683,Master!A$8:AH$127,5,FALSE))</f>
        <v/>
      </c>
      <c r="H688" s="9" t="str">
        <f>IF(AND(G688=""),"",IF(AND(Y683=""),"",ROUND(G688*Master!C$4%,0)))</f>
        <v/>
      </c>
      <c r="I688" s="9" t="str">
        <f>IF(AND(G688=""),"",IF(AND(Y683=""),"",ROUND(G688*Master!H$4%,0)))</f>
        <v/>
      </c>
      <c r="J688" s="9" t="str">
        <f t="shared" ref="J688:J689" si="572">IF(AND(C688=""),"",SUM(G688:I688))</f>
        <v/>
      </c>
      <c r="K688" s="9" t="str">
        <f t="shared" ref="K688:K690" si="573">IF(AND(C688=""),"",IF(AND(G688=""),"",C688-G688))</f>
        <v/>
      </c>
      <c r="L688" s="9" t="str">
        <f t="shared" ref="L688:L690" si="574">IF(AND(D688=""),"",IF(AND(H688=""),"",D688-H688))</f>
        <v/>
      </c>
      <c r="M688" s="9" t="str">
        <f t="shared" ref="M688:M689" si="575">IF(AND(E688=""),"",IF(AND(I688=""),"",E688-I688))</f>
        <v/>
      </c>
      <c r="N688" s="9" t="str">
        <f t="shared" ref="N688:N689" si="576">IF(AND(F688=""),"",IF(AND(J688=""),"",F688-J688))</f>
        <v/>
      </c>
      <c r="O688" s="9" t="str">
        <f>IF(AND(C688=""),"",N688-P688)</f>
        <v/>
      </c>
      <c r="P688" s="9" t="str">
        <f>IF(AND(Y683=""),"",IF(AND(N688=""),"",ROUND(N688*AA$1%,0)))</f>
        <v/>
      </c>
      <c r="Q688" s="9" t="str">
        <f>IF(AND(Y683=""),"",IF(AND(C688=""),"",IF(AND(O688=""),"",SUM(O688,P688))))</f>
        <v/>
      </c>
      <c r="R688" s="9" t="str">
        <f>IF(AND(N688=""),"",IF(AND(Q688=""),"",N688-Q688))</f>
        <v/>
      </c>
      <c r="S688" s="20"/>
    </row>
    <row r="689" spans="1:25" ht="21" customHeight="1">
      <c r="A689" s="8">
        <v>2</v>
      </c>
      <c r="B689" s="23">
        <v>44593</v>
      </c>
      <c r="C689" s="9" t="str">
        <f>IF(AND(Y683=""),"",C688)</f>
        <v/>
      </c>
      <c r="D689" s="9" t="str">
        <f>IF(AND(C689=""),"",IF(AND(Y683=""),"",ROUND(C689*Master!C$5%,0)))</f>
        <v/>
      </c>
      <c r="E689" s="9" t="str">
        <f>IF(AND(C689=""),"",IF(AND(Y683=""),"",ROUND(C689*Master!H$5%,0)))</f>
        <v/>
      </c>
      <c r="F689" s="9" t="str">
        <f>IF(AND(C689=""),"",SUM(C689:E689))</f>
        <v/>
      </c>
      <c r="G689" s="9" t="str">
        <f>IF(AND(Y683=""),"",G688)</f>
        <v/>
      </c>
      <c r="H689" s="9" t="str">
        <f>IF(AND(G689=""),"",IF(AND(Y683=""),"",ROUND(G689*Master!C$4%,0)))</f>
        <v/>
      </c>
      <c r="I689" s="9" t="str">
        <f>IF(AND(G689=""),"",IF(AND(Y683=""),"",ROUND(G689*Master!H$4%,0)))</f>
        <v/>
      </c>
      <c r="J689" s="9" t="str">
        <f t="shared" si="572"/>
        <v/>
      </c>
      <c r="K689" s="9" t="str">
        <f t="shared" si="573"/>
        <v/>
      </c>
      <c r="L689" s="9" t="str">
        <f t="shared" si="574"/>
        <v/>
      </c>
      <c r="M689" s="9" t="str">
        <f t="shared" si="575"/>
        <v/>
      </c>
      <c r="N689" s="9" t="str">
        <f t="shared" si="576"/>
        <v/>
      </c>
      <c r="O689" s="9" t="str">
        <f t="shared" ref="O689:O690" si="577">IF(AND(C689=""),"",N689-P689)</f>
        <v/>
      </c>
      <c r="P689" s="9" t="str">
        <f>IF(AND(Y683=""),"",IF(AND(N689=""),"",ROUND(N689*AA$1%,0)))</f>
        <v/>
      </c>
      <c r="Q689" s="9" t="str">
        <f>IF(AND(Y683=""),"",IF(AND(C689=""),"",IF(AND(O689=""),"",SUM(O689,P689))))</f>
        <v/>
      </c>
      <c r="R689" s="9" t="str">
        <f t="shared" ref="R689:R690" si="578">IF(AND(N689=""),"",IF(AND(Q689=""),"",N689-Q689))</f>
        <v/>
      </c>
      <c r="S689" s="20"/>
    </row>
    <row r="690" spans="1:25" ht="21" customHeight="1">
      <c r="A690" s="8">
        <v>3</v>
      </c>
      <c r="B690" s="23">
        <v>44621</v>
      </c>
      <c r="C690" s="9" t="str">
        <f>IF(AND(Y683=""),"",C689)</f>
        <v/>
      </c>
      <c r="D690" s="9" t="str">
        <f>IF(AND(C690=""),"",IF(AND(Y683=""),"",ROUND(C690*Master!C$5%,0)))</f>
        <v/>
      </c>
      <c r="E690" s="9" t="str">
        <f>IF(AND(C690=""),"",IF(AND(Y683=""),"",ROUND(C690*Master!H$5%,0)))</f>
        <v/>
      </c>
      <c r="F690" s="9" t="str">
        <f t="shared" ref="F690" si="579">IF(AND(C690=""),"",SUM(C690:E690))</f>
        <v/>
      </c>
      <c r="G690" s="9" t="str">
        <f>IF(AND(Y683=""),"",G689)</f>
        <v/>
      </c>
      <c r="H690" s="9" t="str">
        <f>IF(AND(G690=""),"",IF(AND(Y683=""),"",ROUND(G690*Master!C$4%,0)))</f>
        <v/>
      </c>
      <c r="I690" s="9" t="str">
        <f>IF(AND(G690=""),"",IF(AND(Y683=""),"",ROUND(G690*Master!H$4%,0)))</f>
        <v/>
      </c>
      <c r="J690" s="9" t="str">
        <f>IF(AND(C690=""),"",SUM(G690:I690))</f>
        <v/>
      </c>
      <c r="K690" s="9" t="str">
        <f t="shared" si="573"/>
        <v/>
      </c>
      <c r="L690" s="9" t="str">
        <f t="shared" si="574"/>
        <v/>
      </c>
      <c r="M690" s="9" t="str">
        <f>IF(AND(E690=""),"",IF(AND(I690=""),"",E690-I690))</f>
        <v/>
      </c>
      <c r="N690" s="9" t="str">
        <f>IF(AND(F690=""),"",IF(AND(J690=""),"",F690-J690))</f>
        <v/>
      </c>
      <c r="O690" s="9" t="str">
        <f t="shared" si="577"/>
        <v/>
      </c>
      <c r="P690" s="9" t="str">
        <f>IF(AND(Y683=""),"",IF(AND(N690=""),"",ROUND(N690*AA$1%,0)))</f>
        <v/>
      </c>
      <c r="Q690" s="9" t="str">
        <f>IF(AND(Y683=""),"",IF(AND(C690=""),"",IF(AND(O690=""),"",SUM(O690,P690))))</f>
        <v/>
      </c>
      <c r="R690" s="9" t="str">
        <f t="shared" si="578"/>
        <v/>
      </c>
      <c r="S690" s="20"/>
    </row>
    <row r="691" spans="1:25" ht="23.25" customHeight="1">
      <c r="A691" s="108" t="s">
        <v>9</v>
      </c>
      <c r="B691" s="109"/>
      <c r="C691" s="64">
        <f>IF(AND(Y683=""),"",SUM(C688:C690))</f>
        <v>0</v>
      </c>
      <c r="D691" s="64">
        <f>IF(AND(Y683=""),"",SUM(D688:D690))</f>
        <v>0</v>
      </c>
      <c r="E691" s="64">
        <f>IF(AND(Y683=""),"",SUM(E688:E690))</f>
        <v>0</v>
      </c>
      <c r="F691" s="64">
        <f>IF(AND(Y683=""),"",SUM(F688:F690))</f>
        <v>0</v>
      </c>
      <c r="G691" s="64">
        <f>IF(AND(Y683=""),"",SUM(G688:G690))</f>
        <v>0</v>
      </c>
      <c r="H691" s="64">
        <f>IF(AND(Y683=""),"",SUM(H688:H690))</f>
        <v>0</v>
      </c>
      <c r="I691" s="64">
        <f>IF(AND(Y683=""),"",SUM(I688:I690))</f>
        <v>0</v>
      </c>
      <c r="J691" s="64">
        <f>IF(AND(Y683=""),"",SUM(J688:J690))</f>
        <v>0</v>
      </c>
      <c r="K691" s="64">
        <f>IF(AND(Y683=""),"",SUM(K688:K690))</f>
        <v>0</v>
      </c>
      <c r="L691" s="64">
        <f>IF(AND(Y683=""),"",SUM(L688:L690))</f>
        <v>0</v>
      </c>
      <c r="M691" s="64">
        <f>IF(AND(Y683=""),"",SUM(M688:M690))</f>
        <v>0</v>
      </c>
      <c r="N691" s="64">
        <f>IF(AND(Y683=""),"",SUM(N688:N690))</f>
        <v>0</v>
      </c>
      <c r="O691" s="64">
        <f>IF(AND(Y683=""),"",SUM(O688:O690))</f>
        <v>0</v>
      </c>
      <c r="P691" s="64">
        <f>IF(AND(Y683=""),"",SUM(P688:P690))</f>
        <v>0</v>
      </c>
      <c r="Q691" s="64">
        <f>IF(AND(Y683=""),"",SUM(Q688:Q690))</f>
        <v>0</v>
      </c>
      <c r="R691" s="64">
        <f>IF(AND(Y683=""),"",SUM(R688:R690))</f>
        <v>0</v>
      </c>
      <c r="S691" s="50"/>
    </row>
    <row r="692" spans="1:25" ht="10.5" customHeight="1">
      <c r="A692" s="75"/>
      <c r="B692" s="75"/>
      <c r="C692" s="76"/>
      <c r="D692" s="76"/>
      <c r="E692" s="76"/>
      <c r="F692" s="76"/>
      <c r="G692" s="76"/>
      <c r="H692" s="76"/>
      <c r="I692" s="76"/>
      <c r="J692" s="76"/>
      <c r="K692" s="76"/>
      <c r="L692" s="76"/>
      <c r="M692" s="76"/>
      <c r="N692" s="76"/>
      <c r="O692" s="76"/>
      <c r="P692" s="76"/>
      <c r="Q692" s="76"/>
      <c r="R692" s="76"/>
      <c r="S692" s="77"/>
    </row>
    <row r="693" spans="1:25" ht="23.25" customHeight="1">
      <c r="E693" s="116" t="s">
        <v>10</v>
      </c>
      <c r="F693" s="116"/>
      <c r="G693" s="116"/>
      <c r="H693" s="116"/>
      <c r="I693" s="116"/>
      <c r="J693" s="115" t="str">
        <f>IF(ISNA(VLOOKUP(Y695,Master!A$8:N$127,2,FALSE)),"",VLOOKUP(Y695,Master!A$8:AH$127,2,FALSE))</f>
        <v/>
      </c>
      <c r="K693" s="115"/>
      <c r="L693" s="115"/>
      <c r="M693" s="115"/>
      <c r="N693" s="115"/>
      <c r="O693" s="61" t="s">
        <v>31</v>
      </c>
      <c r="P693" s="115" t="str">
        <f>IF(ISNA(VLOOKUP(Y695,Master!A$8:N$127,3,FALSE)),"",VLOOKUP(Y695,Master!A$8:AH$127,3,FALSE))</f>
        <v/>
      </c>
      <c r="Q693" s="115"/>
      <c r="R693" s="115"/>
      <c r="S693" s="115"/>
    </row>
    <row r="694" spans="1:25" ht="9" customHeight="1">
      <c r="E694" s="19"/>
      <c r="F694" s="53"/>
      <c r="G694" s="22"/>
      <c r="H694" s="22"/>
      <c r="I694" s="22"/>
      <c r="J694" s="5"/>
      <c r="K694" s="5"/>
      <c r="L694" s="5"/>
      <c r="M694" s="5"/>
      <c r="N694" s="5"/>
      <c r="O694" s="6"/>
      <c r="P694" s="6"/>
    </row>
    <row r="695" spans="1:25" ht="21" customHeight="1">
      <c r="A695" s="8">
        <v>1</v>
      </c>
      <c r="B695" s="23">
        <v>44562</v>
      </c>
      <c r="C695" s="9" t="str">
        <f>IF(ISNA(VLOOKUP(Y695,Master!A$8:N$127,5,FALSE)),"",VLOOKUP(Y695,Master!A$8:AH$127,5,FALSE))</f>
        <v/>
      </c>
      <c r="D695" s="9" t="str">
        <f>IF(AND(C695=""),"",IF(AND(Y695=""),"",ROUND(C695*Master!C$5%,0)))</f>
        <v/>
      </c>
      <c r="E695" s="9" t="str">
        <f>IF(AND(C695=""),"",IF(AND(Y695=""),"",ROUND(C695*Master!H$5%,0)))</f>
        <v/>
      </c>
      <c r="F695" s="9" t="str">
        <f t="shared" ref="F695:F697" si="580">IF(AND(C695=""),"",SUM(C695:E695))</f>
        <v/>
      </c>
      <c r="G695" s="9" t="str">
        <f>IF(ISNA(VLOOKUP(Y695,Master!A$8:N$127,5,FALSE)),"",VLOOKUP(Y695,Master!A$8:AH$127,5,FALSE))</f>
        <v/>
      </c>
      <c r="H695" s="9" t="str">
        <f>IF(AND(G695=""),"",IF(AND(Y695=""),"",ROUND(G695*Master!C$4%,0)))</f>
        <v/>
      </c>
      <c r="I695" s="9" t="str">
        <f>IF(AND(G695=""),"",IF(AND(Y695=""),"",ROUND(G695*Master!H$4%,0)))</f>
        <v/>
      </c>
      <c r="J695" s="9" t="str">
        <f t="shared" ref="J695:J697" si="581">IF(AND(C695=""),"",SUM(G695:I695))</f>
        <v/>
      </c>
      <c r="K695" s="9" t="str">
        <f t="shared" ref="K695" si="582">IF(AND(C695=""),"",IF(AND(G695=""),"",C695-G695))</f>
        <v/>
      </c>
      <c r="L695" s="9" t="str">
        <f>IF(AND(D695=""),"",IF(AND(H695=""),"",D695-H695))</f>
        <v/>
      </c>
      <c r="M695" s="9" t="str">
        <f t="shared" ref="M695:M697" si="583">IF(AND(E695=""),"",IF(AND(I695=""),"",E695-I695))</f>
        <v/>
      </c>
      <c r="N695" s="9" t="str">
        <f t="shared" ref="N695:N697" si="584">IF(AND(F695=""),"",IF(AND(J695=""),"",F695-J695))</f>
        <v/>
      </c>
      <c r="O695" s="9" t="str">
        <f>IF(AND(C695=""),"",N695-P695)</f>
        <v/>
      </c>
      <c r="P695" s="9" t="str">
        <f>IF(AND(Y695=""),"",IF(AND(N695=""),"",ROUND(N695*X$16%,0)))</f>
        <v/>
      </c>
      <c r="Q695" s="9" t="str">
        <f>IF(AND(Y695=""),"",IF(AND(C695=""),"",IF(AND(O695=""),"",SUM(O695,P695))))</f>
        <v/>
      </c>
      <c r="R695" s="9" t="str">
        <f>IF(AND(N695=""),"",IF(AND(Q695=""),"",N695-Q695))</f>
        <v/>
      </c>
      <c r="S695" s="20"/>
      <c r="X695" s="62" t="s">
        <v>62</v>
      </c>
      <c r="Y695" s="65">
        <v>62</v>
      </c>
    </row>
    <row r="696" spans="1:25" ht="21" customHeight="1">
      <c r="A696" s="8">
        <v>2</v>
      </c>
      <c r="B696" s="23">
        <v>44593</v>
      </c>
      <c r="C696" s="9" t="str">
        <f>IF(AND(Y695=""),"",C695)</f>
        <v/>
      </c>
      <c r="D696" s="9" t="str">
        <f>IF(AND(C696=""),"",IF(AND(Y695=""),"",ROUND(C696*Master!C$5%,0)))</f>
        <v/>
      </c>
      <c r="E696" s="9" t="str">
        <f>IF(AND(C696=""),"",IF(AND(Y695=""),"",ROUND(C696*Master!H$5%,0)))</f>
        <v/>
      </c>
      <c r="F696" s="9" t="str">
        <f t="shared" si="580"/>
        <v/>
      </c>
      <c r="G696" s="9" t="str">
        <f>IF(AND(Y695=""),"",G695)</f>
        <v/>
      </c>
      <c r="H696" s="9" t="str">
        <f>IF(AND(G696=""),"",IF(AND(Y695=""),"",ROUND(G696*Master!C$4%,0)))</f>
        <v/>
      </c>
      <c r="I696" s="9" t="str">
        <f>IF(AND(G696=""),"",IF(AND(Y695=""),"",ROUND(G696*Master!H$4%,0)))</f>
        <v/>
      </c>
      <c r="J696" s="9" t="str">
        <f t="shared" si="581"/>
        <v/>
      </c>
      <c r="K696" s="9" t="str">
        <f>IF(AND(C696=""),"",IF(AND(G696=""),"",C696-G696))</f>
        <v/>
      </c>
      <c r="L696" s="9" t="str">
        <f t="shared" ref="L696:L697" si="585">IF(AND(D696=""),"",IF(AND(H696=""),"",D696-H696))</f>
        <v/>
      </c>
      <c r="M696" s="9" t="str">
        <f t="shared" si="583"/>
        <v/>
      </c>
      <c r="N696" s="9" t="str">
        <f t="shared" si="584"/>
        <v/>
      </c>
      <c r="O696" s="9" t="str">
        <f t="shared" ref="O696:O697" si="586">IF(AND(C696=""),"",N696-P696)</f>
        <v/>
      </c>
      <c r="P696" s="9" t="str">
        <f>IF(AND(Y695=""),"",IF(AND(N696=""),"",ROUND(N696*X$16%,0)))</f>
        <v/>
      </c>
      <c r="Q696" s="9" t="str">
        <f>IF(AND(Y695=""),"",IF(AND(C696=""),"",IF(AND(O696=""),"",SUM(O696,P696))))</f>
        <v/>
      </c>
      <c r="R696" s="9" t="str">
        <f t="shared" ref="R696:R697" si="587">IF(AND(N696=""),"",IF(AND(Q696=""),"",N696-Q696))</f>
        <v/>
      </c>
      <c r="S696" s="20"/>
      <c r="X696" s="4" t="str">
        <f>IF(ISNA(VLOOKUP(Y695,Master!A$8:N$127,7,FALSE)),"",VLOOKUP(Y695,Master!A$8:AH$127,7,FALSE))</f>
        <v/>
      </c>
    </row>
    <row r="697" spans="1:25" ht="21" customHeight="1">
      <c r="A697" s="8">
        <v>3</v>
      </c>
      <c r="B697" s="23">
        <v>44621</v>
      </c>
      <c r="C697" s="9" t="str">
        <f>IF(AND(Y695=""),"",C696)</f>
        <v/>
      </c>
      <c r="D697" s="9" t="str">
        <f>IF(AND(C697=""),"",IF(AND(Y695=""),"",ROUND(C697*Master!C$5%,0)))</f>
        <v/>
      </c>
      <c r="E697" s="9" t="str">
        <f>IF(AND(C697=""),"",IF(AND(Y695=""),"",ROUND(C697*Master!H$5%,0)))</f>
        <v/>
      </c>
      <c r="F697" s="9" t="str">
        <f t="shared" si="580"/>
        <v/>
      </c>
      <c r="G697" s="9" t="str">
        <f>IF(AND(Y695=""),"",G696)</f>
        <v/>
      </c>
      <c r="H697" s="9" t="str">
        <f>IF(AND(G697=""),"",IF(AND(Y695=""),"",ROUND(G697*Master!C$4%,0)))</f>
        <v/>
      </c>
      <c r="I697" s="9" t="str">
        <f>IF(AND(G697=""),"",IF(AND(Y695=""),"",ROUND(G697*Master!H$4%,0)))</f>
        <v/>
      </c>
      <c r="J697" s="9" t="str">
        <f t="shared" si="581"/>
        <v/>
      </c>
      <c r="K697" s="9" t="str">
        <f t="shared" ref="K697" si="588">IF(AND(C697=""),"",IF(AND(G697=""),"",C697-G697))</f>
        <v/>
      </c>
      <c r="L697" s="9" t="str">
        <f t="shared" si="585"/>
        <v/>
      </c>
      <c r="M697" s="9" t="str">
        <f t="shared" si="583"/>
        <v/>
      </c>
      <c r="N697" s="9" t="str">
        <f t="shared" si="584"/>
        <v/>
      </c>
      <c r="O697" s="9" t="str">
        <f t="shared" si="586"/>
        <v/>
      </c>
      <c r="P697" s="9" t="str">
        <f>IF(AND(Y695=""),"",IF(AND(N697=""),"",ROUND(N697*X$16%,0)))</f>
        <v/>
      </c>
      <c r="Q697" s="9" t="str">
        <f>IF(AND(Y695=""),"",IF(AND(C697=""),"",IF(AND(O697=""),"",SUM(O697,P697))))</f>
        <v/>
      </c>
      <c r="R697" s="9" t="str">
        <f t="shared" si="587"/>
        <v/>
      </c>
      <c r="S697" s="20"/>
    </row>
    <row r="698" spans="1:25" ht="30.75" customHeight="1">
      <c r="A698" s="108" t="s">
        <v>9</v>
      </c>
      <c r="B698" s="109"/>
      <c r="C698" s="64">
        <f>IF(AND(Y695=""),"",SUM(C695:C697))</f>
        <v>0</v>
      </c>
      <c r="D698" s="64">
        <f>IF(AND(Y695=""),"",SUM(D695:D697))</f>
        <v>0</v>
      </c>
      <c r="E698" s="64">
        <f>IF(AND(Y695=""),"",SUM(E695:E697))</f>
        <v>0</v>
      </c>
      <c r="F698" s="64">
        <f>IF(AND(Y695=""),"",SUM(F695:F697))</f>
        <v>0</v>
      </c>
      <c r="G698" s="64">
        <f>IF(AND(Y695=""),"",SUM(G695:G697))</f>
        <v>0</v>
      </c>
      <c r="H698" s="64">
        <f>IF(AND(Y695=""),"",SUM(H695:H697))</f>
        <v>0</v>
      </c>
      <c r="I698" s="64">
        <f>IF(AND(Y695=""),"",SUM(I695:I697))</f>
        <v>0</v>
      </c>
      <c r="J698" s="64">
        <f>IF(AND(Y695=""),"",SUM(J695:J697))</f>
        <v>0</v>
      </c>
      <c r="K698" s="64">
        <f>IF(AND(Y695=""),"",SUM(K695:K697))</f>
        <v>0</v>
      </c>
      <c r="L698" s="64">
        <f>IF(AND(Y695=""),"",SUM(L695:L697))</f>
        <v>0</v>
      </c>
      <c r="M698" s="64">
        <f>IF(AND(Y695=""),"",SUM(M695:M697))</f>
        <v>0</v>
      </c>
      <c r="N698" s="64">
        <f>IF(AND(Y695=""),"",SUM(N695:N697))</f>
        <v>0</v>
      </c>
      <c r="O698" s="64">
        <f>IF(AND(Y695=""),"",SUM(O695:O697))</f>
        <v>0</v>
      </c>
      <c r="P698" s="64">
        <f>IF(AND(Y695=""),"",SUM(P695:P697))</f>
        <v>0</v>
      </c>
      <c r="Q698" s="64">
        <f>IF(AND(Y695=""),"",SUM(Q695:Q697))</f>
        <v>0</v>
      </c>
      <c r="R698" s="64">
        <f>IF(AND(Y695=""),"",SUM(R695:R697))</f>
        <v>0</v>
      </c>
      <c r="S698" s="50"/>
    </row>
    <row r="699" spans="1:25" ht="11.25" customHeight="1">
      <c r="A699" s="75"/>
      <c r="B699" s="75"/>
      <c r="C699" s="76"/>
      <c r="D699" s="76"/>
      <c r="E699" s="76"/>
      <c r="F699" s="76"/>
      <c r="G699" s="76"/>
      <c r="H699" s="76"/>
      <c r="I699" s="76"/>
      <c r="J699" s="76"/>
      <c r="K699" s="76"/>
      <c r="L699" s="76"/>
      <c r="M699" s="76"/>
      <c r="N699" s="76"/>
      <c r="O699" s="76"/>
      <c r="P699" s="76"/>
      <c r="Q699" s="76"/>
      <c r="R699" s="76"/>
      <c r="S699" s="77"/>
    </row>
    <row r="700" spans="1:25" ht="23.25" customHeight="1">
      <c r="E700" s="116" t="s">
        <v>10</v>
      </c>
      <c r="F700" s="116"/>
      <c r="G700" s="116"/>
      <c r="H700" s="116"/>
      <c r="I700" s="116"/>
      <c r="J700" s="115" t="str">
        <f>IF(ISNA(VLOOKUP(Y702,Master!A$8:N$127,2,FALSE)),"",VLOOKUP(Y702,Master!A$8:AH$127,2,FALSE))</f>
        <v/>
      </c>
      <c r="K700" s="115"/>
      <c r="L700" s="115"/>
      <c r="M700" s="115"/>
      <c r="N700" s="115"/>
      <c r="O700" s="61" t="s">
        <v>31</v>
      </c>
      <c r="P700" s="115" t="str">
        <f>IF(ISNA(VLOOKUP($Y$396,Master!A$8:N$127,3,FALSE)),"",VLOOKUP($Y$396,Master!A$8:AH$127,3,FALSE))</f>
        <v/>
      </c>
      <c r="Q700" s="115"/>
      <c r="R700" s="115"/>
      <c r="S700" s="115"/>
    </row>
    <row r="701" spans="1:25" ht="9" customHeight="1">
      <c r="E701" s="19"/>
      <c r="F701" s="53"/>
      <c r="G701" s="22"/>
      <c r="H701" s="22"/>
      <c r="I701" s="22"/>
      <c r="J701" s="5"/>
      <c r="K701" s="5"/>
      <c r="L701" s="5"/>
      <c r="M701" s="5"/>
      <c r="N701" s="5"/>
      <c r="O701" s="6"/>
      <c r="P701" s="6"/>
    </row>
    <row r="702" spans="1:25" ht="21" customHeight="1">
      <c r="A702" s="8">
        <v>1</v>
      </c>
      <c r="B702" s="23">
        <v>44562</v>
      </c>
      <c r="C702" s="9" t="str">
        <f>IF(ISNA(VLOOKUP(Y702,Master!A$8:N$127,5,FALSE)),"",VLOOKUP(Y702,Master!A$8:AH$127,5,FALSE))</f>
        <v/>
      </c>
      <c r="D702" s="9" t="str">
        <f>IF(AND(C702=""),"",IF(AND(Y702=""),"",ROUND(C702*Master!C$5%,0)))</f>
        <v/>
      </c>
      <c r="E702" s="9" t="str">
        <f>IF(AND(C702=""),"",IF(AND(Y702=""),"",ROUND(C702*Master!H$5%,0)))</f>
        <v/>
      </c>
      <c r="F702" s="9" t="str">
        <f t="shared" ref="F702:F704" si="589">IF(AND(C702=""),"",SUM(C702:E702))</f>
        <v/>
      </c>
      <c r="G702" s="9" t="str">
        <f>IF(ISNA(VLOOKUP(Y702,Master!A$8:N$127,5,FALSE)),"",VLOOKUP(Y702,Master!A$8:AH$127,5,FALSE))</f>
        <v/>
      </c>
      <c r="H702" s="9" t="str">
        <f>IF(AND(G702=""),"",IF(AND(Y702=""),"",ROUND(G702*Master!C$4%,0)))</f>
        <v/>
      </c>
      <c r="I702" s="9" t="str">
        <f>IF(AND(G702=""),"",IF(AND(Y702=""),"",ROUND(G702*Master!H$4%,0)))</f>
        <v/>
      </c>
      <c r="J702" s="9" t="str">
        <f t="shared" ref="J702:J704" si="590">IF(AND(C702=""),"",SUM(G702:I702))</f>
        <v/>
      </c>
      <c r="K702" s="9" t="str">
        <f t="shared" ref="K702:K704" si="591">IF(AND(C702=""),"",IF(AND(G702=""),"",C702-G702))</f>
        <v/>
      </c>
      <c r="L702" s="9" t="str">
        <f t="shared" ref="L702:L704" si="592">IF(AND(D702=""),"",IF(AND(H702=""),"",D702-H702))</f>
        <v/>
      </c>
      <c r="M702" s="9" t="str">
        <f t="shared" ref="M702:M704" si="593">IF(AND(E702=""),"",IF(AND(I702=""),"",E702-I702))</f>
        <v/>
      </c>
      <c r="N702" s="9" t="str">
        <f t="shared" ref="N702:N704" si="594">IF(AND(F702=""),"",IF(AND(J702=""),"",F702-J702))</f>
        <v/>
      </c>
      <c r="O702" s="9" t="str">
        <f>IF(AND(C702=""),"",N702-P702)</f>
        <v/>
      </c>
      <c r="P702" s="9" t="str">
        <f>IF(AND(Y702=""),"",IF(AND(N702=""),"",ROUND(N702*AA$1%,0)))</f>
        <v/>
      </c>
      <c r="Q702" s="9" t="str">
        <f>IF(AND(Y702=""),"",IF(AND(C702=""),"",IF(AND(O702=""),"",SUM(O702,P702))))</f>
        <v/>
      </c>
      <c r="R702" s="9" t="str">
        <f>IF(AND(N702=""),"",IF(AND(Q702=""),"",N702-Q702))</f>
        <v/>
      </c>
      <c r="S702" s="20"/>
      <c r="X702" s="62" t="s">
        <v>62</v>
      </c>
      <c r="Y702" s="65">
        <v>63</v>
      </c>
    </row>
    <row r="703" spans="1:25" ht="21" customHeight="1">
      <c r="A703" s="8">
        <v>2</v>
      </c>
      <c r="B703" s="23">
        <v>44593</v>
      </c>
      <c r="C703" s="9" t="str">
        <f>IF(AND(Y702=""),"",C702)</f>
        <v/>
      </c>
      <c r="D703" s="9" t="str">
        <f>IF(AND(C703=""),"",IF(AND(Y702=""),"",ROUND(C703*Master!C$5%,0)))</f>
        <v/>
      </c>
      <c r="E703" s="9" t="str">
        <f>IF(AND(C703=""),"",IF(AND(Y702=""),"",ROUND(C703*Master!H$5%,0)))</f>
        <v/>
      </c>
      <c r="F703" s="9" t="str">
        <f t="shared" si="589"/>
        <v/>
      </c>
      <c r="G703" s="9" t="str">
        <f>IF(AND(Y702=""),"",G702)</f>
        <v/>
      </c>
      <c r="H703" s="9" t="str">
        <f>IF(AND(G703=""),"",IF(AND(Y702=""),"",ROUND(G703*Master!C$4%,0)))</f>
        <v/>
      </c>
      <c r="I703" s="9" t="str">
        <f>IF(AND(G703=""),"",IF(AND(Y702=""),"",ROUND(G703*Master!H$4%,0)))</f>
        <v/>
      </c>
      <c r="J703" s="9" t="str">
        <f t="shared" si="590"/>
        <v/>
      </c>
      <c r="K703" s="9" t="str">
        <f t="shared" si="591"/>
        <v/>
      </c>
      <c r="L703" s="9" t="str">
        <f t="shared" si="592"/>
        <v/>
      </c>
      <c r="M703" s="9" t="str">
        <f t="shared" si="593"/>
        <v/>
      </c>
      <c r="N703" s="9" t="str">
        <f t="shared" si="594"/>
        <v/>
      </c>
      <c r="O703" s="9" t="str">
        <f t="shared" ref="O703:O704" si="595">IF(AND(C703=""),"",N703-P703)</f>
        <v/>
      </c>
      <c r="P703" s="9" t="str">
        <f>IF(AND(Y702=""),"",IF(AND(N703=""),"",ROUND(N703*AA$1%,0)))</f>
        <v/>
      </c>
      <c r="Q703" s="9" t="str">
        <f>IF(AND(Y702=""),"",IF(AND(C703=""),"",IF(AND(O703=""),"",SUM(O703,P703))))</f>
        <v/>
      </c>
      <c r="R703" s="9" t="str">
        <f t="shared" ref="R703:R704" si="596">IF(AND(N703=""),"",IF(AND(Q703=""),"",N703-Q703))</f>
        <v/>
      </c>
      <c r="S703" s="20"/>
      <c r="X703" s="4" t="str">
        <f>IF(ISNA(VLOOKUP(Y702,Master!A$8:N$127,7,FALSE)),"",VLOOKUP(Y702,Master!A$8:AH$127,7,FALSE))</f>
        <v/>
      </c>
    </row>
    <row r="704" spans="1:25" ht="21" customHeight="1">
      <c r="A704" s="8">
        <v>3</v>
      </c>
      <c r="B704" s="23">
        <v>44621</v>
      </c>
      <c r="C704" s="9" t="str">
        <f>IF(AND(Y702=""),"",C703)</f>
        <v/>
      </c>
      <c r="D704" s="9" t="str">
        <f>IF(AND(C704=""),"",IF(AND(Y702=""),"",ROUND(C704*Master!C$5%,0)))</f>
        <v/>
      </c>
      <c r="E704" s="9" t="str">
        <f>IF(AND(C704=""),"",IF(AND(Y702=""),"",ROUND(C704*Master!H$5%,0)))</f>
        <v/>
      </c>
      <c r="F704" s="9" t="str">
        <f t="shared" si="589"/>
        <v/>
      </c>
      <c r="G704" s="9" t="str">
        <f>IF(AND(Y702=""),"",G703)</f>
        <v/>
      </c>
      <c r="H704" s="9" t="str">
        <f>IF(AND(G704=""),"",IF(AND(Y702=""),"",ROUND(G704*Master!C$4%,0)))</f>
        <v/>
      </c>
      <c r="I704" s="9" t="str">
        <f>IF(AND(G704=""),"",IF(AND(Y702=""),"",ROUND(G704*Master!H$4%,0)))</f>
        <v/>
      </c>
      <c r="J704" s="9" t="str">
        <f t="shared" si="590"/>
        <v/>
      </c>
      <c r="K704" s="9" t="str">
        <f t="shared" si="591"/>
        <v/>
      </c>
      <c r="L704" s="9" t="str">
        <f t="shared" si="592"/>
        <v/>
      </c>
      <c r="M704" s="9" t="str">
        <f t="shared" si="593"/>
        <v/>
      </c>
      <c r="N704" s="9" t="str">
        <f t="shared" si="594"/>
        <v/>
      </c>
      <c r="O704" s="9" t="str">
        <f t="shared" si="595"/>
        <v/>
      </c>
      <c r="P704" s="9" t="str">
        <f>IF(AND(Y702=""),"",IF(AND(N704=""),"",ROUND(N704*AA$1%,0)))</f>
        <v/>
      </c>
      <c r="Q704" s="9" t="str">
        <f>IF(AND(Y702=""),"",IF(AND(C704=""),"",IF(AND(O704=""),"",SUM(O704,P704))))</f>
        <v/>
      </c>
      <c r="R704" s="9" t="str">
        <f t="shared" si="596"/>
        <v/>
      </c>
      <c r="S704" s="20"/>
    </row>
    <row r="705" spans="1:27" ht="30.75" customHeight="1">
      <c r="A705" s="108" t="s">
        <v>9</v>
      </c>
      <c r="B705" s="109"/>
      <c r="C705" s="64">
        <f>IF(AND(Y702=""),"",SUM(C702:C704))</f>
        <v>0</v>
      </c>
      <c r="D705" s="64">
        <f>IF(AND(Y702=""),"",SUM(D702:D704))</f>
        <v>0</v>
      </c>
      <c r="E705" s="64">
        <f>IF(AND(Y702=""),"",SUM(E702:E704))</f>
        <v>0</v>
      </c>
      <c r="F705" s="64">
        <f>IF(AND(Y702=""),"",SUM(F702:F704))</f>
        <v>0</v>
      </c>
      <c r="G705" s="64">
        <f>IF(AND(Y702=""),"",SUM(G702:G704))</f>
        <v>0</v>
      </c>
      <c r="H705" s="64">
        <f>IF(AND(Y702=""),"",SUM(H702:H704))</f>
        <v>0</v>
      </c>
      <c r="I705" s="64">
        <f>IF(AND(Y702=""),"",SUM(I702:I704))</f>
        <v>0</v>
      </c>
      <c r="J705" s="64">
        <f>IF(AND(Y702=""),"",SUM(J702:J704))</f>
        <v>0</v>
      </c>
      <c r="K705" s="64">
        <f>IF(AND(Y702=""),"",SUM(K702:K704))</f>
        <v>0</v>
      </c>
      <c r="L705" s="64">
        <f>IF(AND(Y702=""),"",SUM(L702:L704))</f>
        <v>0</v>
      </c>
      <c r="M705" s="64">
        <f>IF(AND(Y702=""),"",SUM(M702:M704))</f>
        <v>0</v>
      </c>
      <c r="N705" s="64">
        <f>IF(AND(Y702=""),"",SUM(N702:N704))</f>
        <v>0</v>
      </c>
      <c r="O705" s="64">
        <f>IF(AND(Y702=""),"",SUM(O702:O704))</f>
        <v>0</v>
      </c>
      <c r="P705" s="64">
        <f>IF(AND(Y702=""),"",SUM(P702:P704))</f>
        <v>0</v>
      </c>
      <c r="Q705" s="64">
        <f>IF(AND(Y702=""),"",SUM(Q702:Q704))</f>
        <v>0</v>
      </c>
      <c r="R705" s="64">
        <f>IF(AND(Y702=""),"",SUM(R702:R704))</f>
        <v>0</v>
      </c>
      <c r="S705" s="50"/>
    </row>
    <row r="706" spans="1:27" ht="30.75" customHeight="1">
      <c r="A706" s="75"/>
      <c r="B706" s="75"/>
      <c r="C706" s="76"/>
      <c r="D706" s="76"/>
      <c r="E706" s="76"/>
      <c r="F706" s="76"/>
      <c r="G706" s="76"/>
      <c r="H706" s="76"/>
      <c r="I706" s="76"/>
      <c r="J706" s="76"/>
      <c r="K706" s="76"/>
      <c r="L706" s="76"/>
      <c r="M706" s="76"/>
      <c r="N706" s="76"/>
      <c r="O706" s="76"/>
      <c r="P706" s="76"/>
      <c r="Q706" s="76"/>
      <c r="R706" s="76"/>
      <c r="S706" s="77"/>
    </row>
    <row r="707" spans="1:27" ht="18.75">
      <c r="A707" s="21"/>
      <c r="B707" s="59"/>
      <c r="C707" s="59"/>
      <c r="D707" s="59"/>
      <c r="E707" s="59"/>
      <c r="F707" s="59"/>
      <c r="G707" s="59"/>
      <c r="H707" s="60"/>
      <c r="I707" s="60"/>
      <c r="J707" s="60"/>
      <c r="K707" s="68"/>
      <c r="L707" s="68"/>
      <c r="M707" s="68"/>
      <c r="N707" s="68"/>
      <c r="O707" s="107" t="s">
        <v>55</v>
      </c>
      <c r="P707" s="107"/>
      <c r="Q707" s="107"/>
      <c r="R707" s="107"/>
      <c r="S707" s="107"/>
    </row>
    <row r="708" spans="1:27" ht="18.75">
      <c r="A708" s="1"/>
      <c r="B708" s="24" t="s">
        <v>19</v>
      </c>
      <c r="C708" s="118"/>
      <c r="D708" s="118"/>
      <c r="E708" s="118"/>
      <c r="F708" s="118"/>
      <c r="G708" s="118"/>
      <c r="H708" s="25"/>
      <c r="I708" s="121" t="s">
        <v>20</v>
      </c>
      <c r="J708" s="121"/>
      <c r="K708" s="120"/>
      <c r="L708" s="120"/>
      <c r="M708" s="120"/>
      <c r="O708" s="107"/>
      <c r="P708" s="107"/>
      <c r="Q708" s="107"/>
      <c r="R708" s="107"/>
      <c r="S708" s="107"/>
    </row>
    <row r="709" spans="1:27" ht="18.75">
      <c r="A709" s="1"/>
      <c r="B709" s="119" t="s">
        <v>21</v>
      </c>
      <c r="C709" s="119"/>
      <c r="D709" s="119"/>
      <c r="E709" s="119"/>
      <c r="F709" s="119"/>
      <c r="G709" s="119"/>
      <c r="H709" s="119"/>
      <c r="I709" s="27"/>
      <c r="J709" s="26"/>
      <c r="K709" s="26"/>
      <c r="L709" s="26"/>
      <c r="M709" s="26"/>
    </row>
    <row r="710" spans="1:27" ht="18.75">
      <c r="A710" s="22">
        <v>1</v>
      </c>
      <c r="B710" s="117" t="s">
        <v>22</v>
      </c>
      <c r="C710" s="117"/>
      <c r="D710" s="117"/>
      <c r="E710" s="117"/>
      <c r="F710" s="117"/>
      <c r="G710" s="117"/>
      <c r="H710" s="117"/>
      <c r="I710" s="28"/>
      <c r="J710" s="26"/>
      <c r="K710" s="26"/>
      <c r="L710" s="26"/>
      <c r="M710" s="26"/>
    </row>
    <row r="711" spans="1:27" ht="18.75">
      <c r="A711" s="2">
        <v>2</v>
      </c>
      <c r="B711" s="117" t="s">
        <v>23</v>
      </c>
      <c r="C711" s="117"/>
      <c r="D711" s="117"/>
      <c r="E711" s="117"/>
      <c r="F711" s="117"/>
      <c r="G711" s="115"/>
      <c r="H711" s="115"/>
      <c r="I711" s="115"/>
      <c r="J711" s="115"/>
      <c r="K711" s="115"/>
      <c r="L711" s="115"/>
      <c r="M711" s="115"/>
    </row>
    <row r="712" spans="1:27" ht="18.75">
      <c r="A712" s="3">
        <v>3</v>
      </c>
      <c r="B712" s="117" t="s">
        <v>24</v>
      </c>
      <c r="C712" s="117"/>
      <c r="D712" s="117"/>
      <c r="E712" s="29"/>
      <c r="F712" s="28"/>
      <c r="G712" s="28"/>
      <c r="H712" s="30"/>
      <c r="I712" s="31"/>
      <c r="J712" s="26"/>
      <c r="K712" s="26"/>
      <c r="L712" s="26"/>
      <c r="M712" s="26"/>
    </row>
    <row r="713" spans="1:27" ht="15.75">
      <c r="O713" s="107" t="s">
        <v>55</v>
      </c>
      <c r="P713" s="107"/>
      <c r="Q713" s="107"/>
      <c r="R713" s="107"/>
      <c r="S713" s="107"/>
    </row>
    <row r="715" spans="1:27" ht="18" customHeight="1">
      <c r="A715" s="122" t="str">
        <f>A681</f>
        <v xml:space="preserve">DA (38%) Drawn Statement  </v>
      </c>
      <c r="B715" s="122"/>
      <c r="C715" s="122"/>
      <c r="D715" s="122"/>
      <c r="E715" s="122"/>
      <c r="F715" s="122"/>
      <c r="G715" s="122"/>
      <c r="H715" s="122"/>
      <c r="I715" s="122"/>
      <c r="J715" s="122"/>
      <c r="K715" s="122"/>
      <c r="L715" s="122"/>
      <c r="M715" s="122"/>
      <c r="N715" s="122"/>
      <c r="O715" s="122"/>
      <c r="P715" s="122"/>
      <c r="Q715" s="122"/>
      <c r="R715" s="122"/>
      <c r="S715" s="122"/>
      <c r="W715" s="4">
        <f>IF(ISNA(VLOOKUP($Y$3,Master!A$8:N$127,4,FALSE)),"",VLOOKUP($Y$3,Master!A$8:AH$127,4,FALSE))</f>
        <v>3</v>
      </c>
      <c r="X715" s="4" t="str">
        <f>IF(ISNA(VLOOKUP($Y$3,Master!A$8:N$127,6,FALSE)),"",VLOOKUP($Y$3,Master!A$8:AH$127,6,FALSE))</f>
        <v>GPF</v>
      </c>
      <c r="Y715" s="4" t="s">
        <v>58</v>
      </c>
      <c r="Z715" s="4" t="s">
        <v>18</v>
      </c>
      <c r="AA715" s="4" t="str">
        <f>IF(ISNA(VLOOKUP(Y717,Master!A$8:N$127,7,FALSE)),"",VLOOKUP(Y717,Master!A$8:AH$127,7,FALSE))</f>
        <v/>
      </c>
    </row>
    <row r="716" spans="1:27" ht="18">
      <c r="A716" s="114" t="str">
        <f>IF(AND(Master!C717=""),"",CONCATENATE("Office Of  ",Master!C717))</f>
        <v/>
      </c>
      <c r="B716" s="114"/>
      <c r="C716" s="114"/>
      <c r="D716" s="114"/>
      <c r="E716" s="114"/>
      <c r="F716" s="114"/>
      <c r="G716" s="114"/>
      <c r="H716" s="114"/>
      <c r="I716" s="114"/>
      <c r="J716" s="114"/>
      <c r="K716" s="114"/>
      <c r="L716" s="114"/>
      <c r="M716" s="114"/>
      <c r="N716" s="114"/>
      <c r="O716" s="114"/>
      <c r="P716" s="114"/>
      <c r="Q716" s="114"/>
      <c r="R716" s="114"/>
      <c r="S716" s="114"/>
      <c r="X716" s="4">
        <f>IF(ISNA(VLOOKUP($Y$3,Master!A$8:N$127,8,FALSE)),"",VLOOKUP($Y$3,Master!A$8:AH$127,8,FALSE))</f>
        <v>44743</v>
      </c>
      <c r="Y716" s="4" t="s">
        <v>56</v>
      </c>
    </row>
    <row r="717" spans="1:27" ht="18.75">
      <c r="E717" s="116" t="s">
        <v>10</v>
      </c>
      <c r="F717" s="116"/>
      <c r="G717" s="116"/>
      <c r="H717" s="116"/>
      <c r="I717" s="116"/>
      <c r="J717" s="115" t="str">
        <f>IF(ISNA(VLOOKUP(Y717,Master!A$8:N$127,2,FALSE)),"",VLOOKUP(Y717,Master!A$8:AH$127,2,FALSE))</f>
        <v/>
      </c>
      <c r="K717" s="115"/>
      <c r="L717" s="115"/>
      <c r="M717" s="115"/>
      <c r="N717" s="115"/>
      <c r="O717" s="61" t="s">
        <v>31</v>
      </c>
      <c r="P717" s="115" t="str">
        <f>IF(ISNA(VLOOKUP(Y717,Master!A$8:N$127,3,FALSE)),"",VLOOKUP(Y717,Master!A$8:AH$127,3,FALSE))</f>
        <v/>
      </c>
      <c r="Q717" s="115"/>
      <c r="R717" s="115"/>
      <c r="S717" s="115"/>
      <c r="X717" s="62" t="s">
        <v>62</v>
      </c>
      <c r="Y717" s="65">
        <v>64</v>
      </c>
    </row>
    <row r="718" spans="1:27" ht="8.25" customHeight="1">
      <c r="E718" s="19"/>
      <c r="F718" s="53"/>
      <c r="G718" s="22"/>
      <c r="H718" s="22"/>
      <c r="I718" s="22"/>
      <c r="J718" s="5"/>
      <c r="K718" s="5"/>
      <c r="L718" s="5"/>
      <c r="M718" s="5"/>
      <c r="N718" s="5"/>
      <c r="O718" s="6"/>
      <c r="P718" s="6"/>
    </row>
    <row r="719" spans="1:27" ht="24.75" customHeight="1">
      <c r="A719" s="110" t="s">
        <v>0</v>
      </c>
      <c r="B719" s="111" t="s">
        <v>3</v>
      </c>
      <c r="C719" s="112" t="s">
        <v>5</v>
      </c>
      <c r="D719" s="112"/>
      <c r="E719" s="112"/>
      <c r="F719" s="112"/>
      <c r="G719" s="112" t="s">
        <v>6</v>
      </c>
      <c r="H719" s="112"/>
      <c r="I719" s="112"/>
      <c r="J719" s="112"/>
      <c r="K719" s="112" t="s">
        <v>7</v>
      </c>
      <c r="L719" s="112"/>
      <c r="M719" s="112"/>
      <c r="N719" s="112"/>
      <c r="O719" s="97" t="s">
        <v>8</v>
      </c>
      <c r="P719" s="98"/>
      <c r="Q719" s="99"/>
      <c r="R719" s="105" t="s">
        <v>67</v>
      </c>
      <c r="S719" s="105" t="s">
        <v>50</v>
      </c>
    </row>
    <row r="720" spans="1:27" ht="69" customHeight="1">
      <c r="A720" s="110"/>
      <c r="B720" s="111"/>
      <c r="C720" s="55" t="s">
        <v>29</v>
      </c>
      <c r="D720" s="56" t="s">
        <v>1</v>
      </c>
      <c r="E720" s="57" t="s">
        <v>2</v>
      </c>
      <c r="F720" s="55" t="s">
        <v>59</v>
      </c>
      <c r="G720" s="55" t="s">
        <v>29</v>
      </c>
      <c r="H720" s="56" t="s">
        <v>1</v>
      </c>
      <c r="I720" s="57" t="s">
        <v>2</v>
      </c>
      <c r="J720" s="55" t="s">
        <v>60</v>
      </c>
      <c r="K720" s="55" t="s">
        <v>4</v>
      </c>
      <c r="L720" s="56" t="s">
        <v>1</v>
      </c>
      <c r="M720" s="57" t="s">
        <v>2</v>
      </c>
      <c r="N720" s="58" t="s">
        <v>61</v>
      </c>
      <c r="O720" s="54" t="s">
        <v>83</v>
      </c>
      <c r="P720" s="67" t="s">
        <v>51</v>
      </c>
      <c r="Q720" s="58" t="s">
        <v>66</v>
      </c>
      <c r="R720" s="105"/>
      <c r="S720" s="105"/>
    </row>
    <row r="721" spans="1:25" ht="18" customHeight="1">
      <c r="A721" s="7">
        <v>1</v>
      </c>
      <c r="B721" s="7">
        <v>2</v>
      </c>
      <c r="C721" s="7">
        <v>3</v>
      </c>
      <c r="D721" s="7">
        <v>4</v>
      </c>
      <c r="E721" s="7">
        <v>5</v>
      </c>
      <c r="F721" s="7">
        <v>6</v>
      </c>
      <c r="G721" s="7">
        <v>7</v>
      </c>
      <c r="H721" s="7">
        <v>8</v>
      </c>
      <c r="I721" s="7">
        <v>9</v>
      </c>
      <c r="J721" s="7">
        <v>10</v>
      </c>
      <c r="K721" s="7">
        <v>11</v>
      </c>
      <c r="L721" s="7">
        <v>12</v>
      </c>
      <c r="M721" s="7">
        <v>13</v>
      </c>
      <c r="N721" s="7">
        <v>14</v>
      </c>
      <c r="O721" s="7">
        <v>15</v>
      </c>
      <c r="P721" s="7">
        <v>17</v>
      </c>
      <c r="Q721" s="7">
        <v>18</v>
      </c>
      <c r="R721" s="7">
        <v>19</v>
      </c>
      <c r="S721" s="7">
        <v>20</v>
      </c>
    </row>
    <row r="722" spans="1:25" ht="21" customHeight="1">
      <c r="A722" s="8">
        <v>1</v>
      </c>
      <c r="B722" s="23">
        <v>44562</v>
      </c>
      <c r="C722" s="9" t="str">
        <f>IF(ISNA(VLOOKUP(Y717,Master!A$8:N$127,5,FALSE)),"",VLOOKUP(Y717,Master!A$8:AH$127,5,FALSE))</f>
        <v/>
      </c>
      <c r="D722" s="9" t="str">
        <f>IF(AND(C722=""),"",IF(AND(Y717=""),"",ROUND(C722*Master!C$5%,0)))</f>
        <v/>
      </c>
      <c r="E722" s="9" t="str">
        <f>IF(AND(C722=""),"",IF(AND(Y717=""),"",ROUND(C722*Master!H$5%,0)))</f>
        <v/>
      </c>
      <c r="F722" s="9" t="str">
        <f t="shared" ref="F722" si="597">IF(AND(C722=""),"",SUM(C722:E722))</f>
        <v/>
      </c>
      <c r="G722" s="9" t="str">
        <f>IF(ISNA(VLOOKUP(Y717,Master!A$8:N$127,5,FALSE)),"",VLOOKUP(Y717,Master!A$8:AH$127,5,FALSE))</f>
        <v/>
      </c>
      <c r="H722" s="9" t="str">
        <f>IF(AND(G722=""),"",IF(AND(Y717=""),"",ROUND(G722*Master!C$4%,0)))</f>
        <v/>
      </c>
      <c r="I722" s="9" t="str">
        <f>IF(AND(G722=""),"",IF(AND(Y717=""),"",ROUND(G722*Master!H$4%,0)))</f>
        <v/>
      </c>
      <c r="J722" s="9" t="str">
        <f t="shared" ref="J722:J723" si="598">IF(AND(C722=""),"",SUM(G722:I722))</f>
        <v/>
      </c>
      <c r="K722" s="9" t="str">
        <f t="shared" ref="K722:K724" si="599">IF(AND(C722=""),"",IF(AND(G722=""),"",C722-G722))</f>
        <v/>
      </c>
      <c r="L722" s="9" t="str">
        <f t="shared" ref="L722:L724" si="600">IF(AND(D722=""),"",IF(AND(H722=""),"",D722-H722))</f>
        <v/>
      </c>
      <c r="M722" s="9" t="str">
        <f t="shared" ref="M722:M723" si="601">IF(AND(E722=""),"",IF(AND(I722=""),"",E722-I722))</f>
        <v/>
      </c>
      <c r="N722" s="9" t="str">
        <f t="shared" ref="N722:N723" si="602">IF(AND(F722=""),"",IF(AND(J722=""),"",F722-J722))</f>
        <v/>
      </c>
      <c r="O722" s="9" t="str">
        <f>IF(AND(C722=""),"",N722-P722)</f>
        <v/>
      </c>
      <c r="P722" s="9" t="str">
        <f>IF(AND(Y717=""),"",IF(AND(N722=""),"",ROUND(N722*AA$1%,0)))</f>
        <v/>
      </c>
      <c r="Q722" s="9" t="str">
        <f>IF(AND(Y717=""),"",IF(AND(C722=""),"",IF(AND(O722=""),"",SUM(O722,P722))))</f>
        <v/>
      </c>
      <c r="R722" s="9" t="str">
        <f>IF(AND(N722=""),"",IF(AND(Q722=""),"",N722-Q722))</f>
        <v/>
      </c>
      <c r="S722" s="20"/>
    </row>
    <row r="723" spans="1:25" ht="21" customHeight="1">
      <c r="A723" s="8">
        <v>2</v>
      </c>
      <c r="B723" s="23">
        <v>44593</v>
      </c>
      <c r="C723" s="9" t="str">
        <f>IF(AND(Y717=""),"",C722)</f>
        <v/>
      </c>
      <c r="D723" s="9" t="str">
        <f>IF(AND(C723=""),"",IF(AND(Y717=""),"",ROUND(C723*Master!C$5%,0)))</f>
        <v/>
      </c>
      <c r="E723" s="9" t="str">
        <f>IF(AND(C723=""),"",IF(AND(Y717=""),"",ROUND(C723*Master!H$5%,0)))</f>
        <v/>
      </c>
      <c r="F723" s="9" t="str">
        <f>IF(AND(C723=""),"",SUM(C723:E723))</f>
        <v/>
      </c>
      <c r="G723" s="9" t="str">
        <f>IF(AND(Y717=""),"",G722)</f>
        <v/>
      </c>
      <c r="H723" s="9" t="str">
        <f>IF(AND(G723=""),"",IF(AND(Y717=""),"",ROUND(G723*Master!C$4%,0)))</f>
        <v/>
      </c>
      <c r="I723" s="9" t="str">
        <f>IF(AND(G723=""),"",IF(AND(Y717=""),"",ROUND(G723*Master!H$4%,0)))</f>
        <v/>
      </c>
      <c r="J723" s="9" t="str">
        <f t="shared" si="598"/>
        <v/>
      </c>
      <c r="K723" s="9" t="str">
        <f t="shared" si="599"/>
        <v/>
      </c>
      <c r="L723" s="9" t="str">
        <f t="shared" si="600"/>
        <v/>
      </c>
      <c r="M723" s="9" t="str">
        <f t="shared" si="601"/>
        <v/>
      </c>
      <c r="N723" s="9" t="str">
        <f t="shared" si="602"/>
        <v/>
      </c>
      <c r="O723" s="9" t="str">
        <f t="shared" ref="O723:O724" si="603">IF(AND(C723=""),"",N723-P723)</f>
        <v/>
      </c>
      <c r="P723" s="9" t="str">
        <f>IF(AND(Y717=""),"",IF(AND(N723=""),"",ROUND(N723*AA$1%,0)))</f>
        <v/>
      </c>
      <c r="Q723" s="9" t="str">
        <f>IF(AND(Y717=""),"",IF(AND(C723=""),"",IF(AND(O723=""),"",SUM(O723,P723))))</f>
        <v/>
      </c>
      <c r="R723" s="9" t="str">
        <f t="shared" ref="R723:R724" si="604">IF(AND(N723=""),"",IF(AND(Q723=""),"",N723-Q723))</f>
        <v/>
      </c>
      <c r="S723" s="20"/>
    </row>
    <row r="724" spans="1:25" ht="21" customHeight="1">
      <c r="A724" s="8">
        <v>3</v>
      </c>
      <c r="B724" s="23">
        <v>44621</v>
      </c>
      <c r="C724" s="9" t="str">
        <f>IF(AND(Y717=""),"",C723)</f>
        <v/>
      </c>
      <c r="D724" s="9" t="str">
        <f>IF(AND(C724=""),"",IF(AND(Y717=""),"",ROUND(C724*Master!C$5%,0)))</f>
        <v/>
      </c>
      <c r="E724" s="9" t="str">
        <f>IF(AND(C724=""),"",IF(AND(Y717=""),"",ROUND(C724*Master!H$5%,0)))</f>
        <v/>
      </c>
      <c r="F724" s="9" t="str">
        <f t="shared" ref="F724" si="605">IF(AND(C724=""),"",SUM(C724:E724))</f>
        <v/>
      </c>
      <c r="G724" s="9" t="str">
        <f>IF(AND(Y717=""),"",G723)</f>
        <v/>
      </c>
      <c r="H724" s="9" t="str">
        <f>IF(AND(G724=""),"",IF(AND(Y717=""),"",ROUND(G724*Master!C$4%,0)))</f>
        <v/>
      </c>
      <c r="I724" s="9" t="str">
        <f>IF(AND(G724=""),"",IF(AND(Y717=""),"",ROUND(G724*Master!H$4%,0)))</f>
        <v/>
      </c>
      <c r="J724" s="9" t="str">
        <f>IF(AND(C724=""),"",SUM(G724:I724))</f>
        <v/>
      </c>
      <c r="K724" s="9" t="str">
        <f t="shared" si="599"/>
        <v/>
      </c>
      <c r="L724" s="9" t="str">
        <f t="shared" si="600"/>
        <v/>
      </c>
      <c r="M724" s="9" t="str">
        <f>IF(AND(E724=""),"",IF(AND(I724=""),"",E724-I724))</f>
        <v/>
      </c>
      <c r="N724" s="9" t="str">
        <f>IF(AND(F724=""),"",IF(AND(J724=""),"",F724-J724))</f>
        <v/>
      </c>
      <c r="O724" s="9" t="str">
        <f t="shared" si="603"/>
        <v/>
      </c>
      <c r="P724" s="9" t="str">
        <f>IF(AND(Y717=""),"",IF(AND(N724=""),"",ROUND(N724*AA$1%,0)))</f>
        <v/>
      </c>
      <c r="Q724" s="9" t="str">
        <f>IF(AND(Y717=""),"",IF(AND(C724=""),"",IF(AND(O724=""),"",SUM(O724,P724))))</f>
        <v/>
      </c>
      <c r="R724" s="9" t="str">
        <f t="shared" si="604"/>
        <v/>
      </c>
      <c r="S724" s="20"/>
    </row>
    <row r="725" spans="1:25" ht="23.25" customHeight="1">
      <c r="A725" s="108" t="s">
        <v>9</v>
      </c>
      <c r="B725" s="109"/>
      <c r="C725" s="64">
        <f>IF(AND(Y717=""),"",SUM(C722:C724))</f>
        <v>0</v>
      </c>
      <c r="D725" s="64">
        <f>IF(AND(Y717=""),"",SUM(D722:D724))</f>
        <v>0</v>
      </c>
      <c r="E725" s="64">
        <f>IF(AND(Y717=""),"",SUM(E722:E724))</f>
        <v>0</v>
      </c>
      <c r="F725" s="64">
        <f>IF(AND(Y717=""),"",SUM(F722:F724))</f>
        <v>0</v>
      </c>
      <c r="G725" s="64">
        <f>IF(AND(Y717=""),"",SUM(G722:G724))</f>
        <v>0</v>
      </c>
      <c r="H725" s="64">
        <f>IF(AND(Y717=""),"",SUM(H722:H724))</f>
        <v>0</v>
      </c>
      <c r="I725" s="64">
        <f>IF(AND(Y717=""),"",SUM(I722:I724))</f>
        <v>0</v>
      </c>
      <c r="J725" s="64">
        <f>IF(AND(Y717=""),"",SUM(J722:J724))</f>
        <v>0</v>
      </c>
      <c r="K725" s="64">
        <f>IF(AND(Y717=""),"",SUM(K722:K724))</f>
        <v>0</v>
      </c>
      <c r="L725" s="64">
        <f>IF(AND(Y717=""),"",SUM(L722:L724))</f>
        <v>0</v>
      </c>
      <c r="M725" s="64">
        <f>IF(AND(Y717=""),"",SUM(M722:M724))</f>
        <v>0</v>
      </c>
      <c r="N725" s="64">
        <f>IF(AND(Y717=""),"",SUM(N722:N724))</f>
        <v>0</v>
      </c>
      <c r="O725" s="64">
        <f>IF(AND(Y717=""),"",SUM(O722:O724))</f>
        <v>0</v>
      </c>
      <c r="P725" s="64">
        <f>IF(AND(Y717=""),"",SUM(P722:P724))</f>
        <v>0</v>
      </c>
      <c r="Q725" s="64">
        <f>IF(AND(Y717=""),"",SUM(Q722:Q724))</f>
        <v>0</v>
      </c>
      <c r="R725" s="64">
        <f>IF(AND(Y717=""),"",SUM(R722:R724))</f>
        <v>0</v>
      </c>
      <c r="S725" s="50"/>
    </row>
    <row r="726" spans="1:25" ht="10.5" customHeight="1">
      <c r="A726" s="75"/>
      <c r="B726" s="75"/>
      <c r="C726" s="76"/>
      <c r="D726" s="76"/>
      <c r="E726" s="76"/>
      <c r="F726" s="76"/>
      <c r="G726" s="76"/>
      <c r="H726" s="76"/>
      <c r="I726" s="76"/>
      <c r="J726" s="76"/>
      <c r="K726" s="76"/>
      <c r="L726" s="76"/>
      <c r="M726" s="76"/>
      <c r="N726" s="76"/>
      <c r="O726" s="76"/>
      <c r="P726" s="76"/>
      <c r="Q726" s="76"/>
      <c r="R726" s="76"/>
      <c r="S726" s="77"/>
    </row>
    <row r="727" spans="1:25" ht="23.25" customHeight="1">
      <c r="E727" s="116" t="s">
        <v>10</v>
      </c>
      <c r="F727" s="116"/>
      <c r="G727" s="116"/>
      <c r="H727" s="116"/>
      <c r="I727" s="116"/>
      <c r="J727" s="115" t="str">
        <f>IF(ISNA(VLOOKUP(Y729,Master!A$8:N$127,2,FALSE)),"",VLOOKUP(Y729,Master!A$8:AH$127,2,FALSE))</f>
        <v/>
      </c>
      <c r="K727" s="115"/>
      <c r="L727" s="115"/>
      <c r="M727" s="115"/>
      <c r="N727" s="115"/>
      <c r="O727" s="61" t="s">
        <v>31</v>
      </c>
      <c r="P727" s="115" t="str">
        <f>IF(ISNA(VLOOKUP(Y729,Master!A$8:N$127,3,FALSE)),"",VLOOKUP(Y729,Master!A$8:AH$127,3,FALSE))</f>
        <v/>
      </c>
      <c r="Q727" s="115"/>
      <c r="R727" s="115"/>
      <c r="S727" s="115"/>
    </row>
    <row r="728" spans="1:25" ht="9" customHeight="1">
      <c r="E728" s="19"/>
      <c r="F728" s="53"/>
      <c r="G728" s="22"/>
      <c r="H728" s="22"/>
      <c r="I728" s="22"/>
      <c r="J728" s="5"/>
      <c r="K728" s="5"/>
      <c r="L728" s="5"/>
      <c r="M728" s="5"/>
      <c r="N728" s="5"/>
      <c r="O728" s="6"/>
      <c r="P728" s="6"/>
    </row>
    <row r="729" spans="1:25" ht="21" customHeight="1">
      <c r="A729" s="8">
        <v>1</v>
      </c>
      <c r="B729" s="23">
        <v>44562</v>
      </c>
      <c r="C729" s="9" t="str">
        <f>IF(ISNA(VLOOKUP(Y729,Master!A$8:N$127,5,FALSE)),"",VLOOKUP(Y729,Master!A$8:AH$127,5,FALSE))</f>
        <v/>
      </c>
      <c r="D729" s="9" t="str">
        <f>IF(AND(C729=""),"",IF(AND(Y729=""),"",ROUND(C729*Master!C$5%,0)))</f>
        <v/>
      </c>
      <c r="E729" s="9" t="str">
        <f>IF(AND(C729=""),"",IF(AND(Y729=""),"",ROUND(C729*Master!H$5%,0)))</f>
        <v/>
      </c>
      <c r="F729" s="9" t="str">
        <f t="shared" ref="F729:F731" si="606">IF(AND(C729=""),"",SUM(C729:E729))</f>
        <v/>
      </c>
      <c r="G729" s="9" t="str">
        <f>IF(ISNA(VLOOKUP(Y729,Master!A$8:N$127,5,FALSE)),"",VLOOKUP(Y729,Master!A$8:AH$127,5,FALSE))</f>
        <v/>
      </c>
      <c r="H729" s="9" t="str">
        <f>IF(AND(G729=""),"",IF(AND(Y729=""),"",ROUND(G729*Master!C$4%,0)))</f>
        <v/>
      </c>
      <c r="I729" s="9" t="str">
        <f>IF(AND(G729=""),"",IF(AND(Y729=""),"",ROUND(G729*Master!H$4%,0)))</f>
        <v/>
      </c>
      <c r="J729" s="9" t="str">
        <f t="shared" ref="J729:J731" si="607">IF(AND(C729=""),"",SUM(G729:I729))</f>
        <v/>
      </c>
      <c r="K729" s="9" t="str">
        <f t="shared" ref="K729" si="608">IF(AND(C729=""),"",IF(AND(G729=""),"",C729-G729))</f>
        <v/>
      </c>
      <c r="L729" s="9" t="str">
        <f>IF(AND(D729=""),"",IF(AND(H729=""),"",D729-H729))</f>
        <v/>
      </c>
      <c r="M729" s="9" t="str">
        <f t="shared" ref="M729:M731" si="609">IF(AND(E729=""),"",IF(AND(I729=""),"",E729-I729))</f>
        <v/>
      </c>
      <c r="N729" s="9" t="str">
        <f t="shared" ref="N729:N731" si="610">IF(AND(F729=""),"",IF(AND(J729=""),"",F729-J729))</f>
        <v/>
      </c>
      <c r="O729" s="9" t="str">
        <f>IF(AND(C729=""),"",N729-P729)</f>
        <v/>
      </c>
      <c r="P729" s="9" t="str">
        <f>IF(AND(Y729=""),"",IF(AND(N729=""),"",ROUND(N729*X$16%,0)))</f>
        <v/>
      </c>
      <c r="Q729" s="9" t="str">
        <f>IF(AND(Y729=""),"",IF(AND(C729=""),"",IF(AND(O729=""),"",SUM(O729,P729))))</f>
        <v/>
      </c>
      <c r="R729" s="9" t="str">
        <f>IF(AND(N729=""),"",IF(AND(Q729=""),"",N729-Q729))</f>
        <v/>
      </c>
      <c r="S729" s="20"/>
      <c r="X729" s="62" t="s">
        <v>62</v>
      </c>
      <c r="Y729" s="65">
        <v>65</v>
      </c>
    </row>
    <row r="730" spans="1:25" ht="21" customHeight="1">
      <c r="A730" s="8">
        <v>2</v>
      </c>
      <c r="B730" s="23">
        <v>44593</v>
      </c>
      <c r="C730" s="9" t="str">
        <f>IF(AND(Y729=""),"",C729)</f>
        <v/>
      </c>
      <c r="D730" s="9" t="str">
        <f>IF(AND(C730=""),"",IF(AND(Y729=""),"",ROUND(C730*Master!C$5%,0)))</f>
        <v/>
      </c>
      <c r="E730" s="9" t="str">
        <f>IF(AND(C730=""),"",IF(AND(Y729=""),"",ROUND(C730*Master!H$5%,0)))</f>
        <v/>
      </c>
      <c r="F730" s="9" t="str">
        <f t="shared" si="606"/>
        <v/>
      </c>
      <c r="G730" s="9" t="str">
        <f>IF(AND(Y729=""),"",G729)</f>
        <v/>
      </c>
      <c r="H730" s="9" t="str">
        <f>IF(AND(G730=""),"",IF(AND(Y729=""),"",ROUND(G730*Master!C$4%,0)))</f>
        <v/>
      </c>
      <c r="I730" s="9" t="str">
        <f>IF(AND(G730=""),"",IF(AND(Y729=""),"",ROUND(G730*Master!H$4%,0)))</f>
        <v/>
      </c>
      <c r="J730" s="9" t="str">
        <f t="shared" si="607"/>
        <v/>
      </c>
      <c r="K730" s="9" t="str">
        <f>IF(AND(C730=""),"",IF(AND(G730=""),"",C730-G730))</f>
        <v/>
      </c>
      <c r="L730" s="9" t="str">
        <f t="shared" ref="L730:L731" si="611">IF(AND(D730=""),"",IF(AND(H730=""),"",D730-H730))</f>
        <v/>
      </c>
      <c r="M730" s="9" t="str">
        <f t="shared" si="609"/>
        <v/>
      </c>
      <c r="N730" s="9" t="str">
        <f t="shared" si="610"/>
        <v/>
      </c>
      <c r="O730" s="9" t="str">
        <f t="shared" ref="O730:O731" si="612">IF(AND(C730=""),"",N730-P730)</f>
        <v/>
      </c>
      <c r="P730" s="9" t="str">
        <f>IF(AND(Y729=""),"",IF(AND(N730=""),"",ROUND(N730*X$16%,0)))</f>
        <v/>
      </c>
      <c r="Q730" s="9" t="str">
        <f>IF(AND(Y729=""),"",IF(AND(C730=""),"",IF(AND(O730=""),"",SUM(O730,P730))))</f>
        <v/>
      </c>
      <c r="R730" s="9" t="str">
        <f t="shared" ref="R730:R731" si="613">IF(AND(N730=""),"",IF(AND(Q730=""),"",N730-Q730))</f>
        <v/>
      </c>
      <c r="S730" s="20"/>
      <c r="X730" s="4" t="str">
        <f>IF(ISNA(VLOOKUP(Y729,Master!A$8:N$127,7,FALSE)),"",VLOOKUP(Y729,Master!A$8:AH$127,7,FALSE))</f>
        <v/>
      </c>
    </row>
    <row r="731" spans="1:25" ht="21" customHeight="1">
      <c r="A731" s="8">
        <v>3</v>
      </c>
      <c r="B731" s="23">
        <v>44621</v>
      </c>
      <c r="C731" s="9" t="str">
        <f>IF(AND(Y729=""),"",C730)</f>
        <v/>
      </c>
      <c r="D731" s="9" t="str">
        <f>IF(AND(C731=""),"",IF(AND(Y729=""),"",ROUND(C731*Master!C$5%,0)))</f>
        <v/>
      </c>
      <c r="E731" s="9" t="str">
        <f>IF(AND(C731=""),"",IF(AND(Y729=""),"",ROUND(C731*Master!H$5%,0)))</f>
        <v/>
      </c>
      <c r="F731" s="9" t="str">
        <f t="shared" si="606"/>
        <v/>
      </c>
      <c r="G731" s="9" t="str">
        <f>IF(AND(Y729=""),"",G730)</f>
        <v/>
      </c>
      <c r="H731" s="9" t="str">
        <f>IF(AND(G731=""),"",IF(AND(Y729=""),"",ROUND(G731*Master!C$4%,0)))</f>
        <v/>
      </c>
      <c r="I731" s="9" t="str">
        <f>IF(AND(G731=""),"",IF(AND(Y729=""),"",ROUND(G731*Master!H$4%,0)))</f>
        <v/>
      </c>
      <c r="J731" s="9" t="str">
        <f t="shared" si="607"/>
        <v/>
      </c>
      <c r="K731" s="9" t="str">
        <f t="shared" ref="K731" si="614">IF(AND(C731=""),"",IF(AND(G731=""),"",C731-G731))</f>
        <v/>
      </c>
      <c r="L731" s="9" t="str">
        <f t="shared" si="611"/>
        <v/>
      </c>
      <c r="M731" s="9" t="str">
        <f t="shared" si="609"/>
        <v/>
      </c>
      <c r="N731" s="9" t="str">
        <f t="shared" si="610"/>
        <v/>
      </c>
      <c r="O731" s="9" t="str">
        <f t="shared" si="612"/>
        <v/>
      </c>
      <c r="P731" s="9" t="str">
        <f>IF(AND(Y729=""),"",IF(AND(N731=""),"",ROUND(N731*X$16%,0)))</f>
        <v/>
      </c>
      <c r="Q731" s="9" t="str">
        <f>IF(AND(Y729=""),"",IF(AND(C731=""),"",IF(AND(O731=""),"",SUM(O731,P731))))</f>
        <v/>
      </c>
      <c r="R731" s="9" t="str">
        <f t="shared" si="613"/>
        <v/>
      </c>
      <c r="S731" s="20"/>
    </row>
    <row r="732" spans="1:25" ht="30.75" customHeight="1">
      <c r="A732" s="108" t="s">
        <v>9</v>
      </c>
      <c r="B732" s="109"/>
      <c r="C732" s="64">
        <f>IF(AND(Y729=""),"",SUM(C729:C731))</f>
        <v>0</v>
      </c>
      <c r="D732" s="64">
        <f>IF(AND(Y729=""),"",SUM(D729:D731))</f>
        <v>0</v>
      </c>
      <c r="E732" s="64">
        <f>IF(AND(Y729=""),"",SUM(E729:E731))</f>
        <v>0</v>
      </c>
      <c r="F732" s="64">
        <f>IF(AND(Y729=""),"",SUM(F729:F731))</f>
        <v>0</v>
      </c>
      <c r="G732" s="64">
        <f>IF(AND(Y729=""),"",SUM(G729:G731))</f>
        <v>0</v>
      </c>
      <c r="H732" s="64">
        <f>IF(AND(Y729=""),"",SUM(H729:H731))</f>
        <v>0</v>
      </c>
      <c r="I732" s="64">
        <f>IF(AND(Y729=""),"",SUM(I729:I731))</f>
        <v>0</v>
      </c>
      <c r="J732" s="64">
        <f>IF(AND(Y729=""),"",SUM(J729:J731))</f>
        <v>0</v>
      </c>
      <c r="K732" s="64">
        <f>IF(AND(Y729=""),"",SUM(K729:K731))</f>
        <v>0</v>
      </c>
      <c r="L732" s="64">
        <f>IF(AND(Y729=""),"",SUM(L729:L731))</f>
        <v>0</v>
      </c>
      <c r="M732" s="64">
        <f>IF(AND(Y729=""),"",SUM(M729:M731))</f>
        <v>0</v>
      </c>
      <c r="N732" s="64">
        <f>IF(AND(Y729=""),"",SUM(N729:N731))</f>
        <v>0</v>
      </c>
      <c r="O732" s="64">
        <f>IF(AND(Y729=""),"",SUM(O729:O731))</f>
        <v>0</v>
      </c>
      <c r="P732" s="64">
        <f>IF(AND(Y729=""),"",SUM(P729:P731))</f>
        <v>0</v>
      </c>
      <c r="Q732" s="64">
        <f>IF(AND(Y729=""),"",SUM(Q729:Q731))</f>
        <v>0</v>
      </c>
      <c r="R732" s="64">
        <f>IF(AND(Y729=""),"",SUM(R729:R731))</f>
        <v>0</v>
      </c>
      <c r="S732" s="50"/>
    </row>
    <row r="733" spans="1:25" ht="11.25" customHeight="1">
      <c r="A733" s="75"/>
      <c r="B733" s="75"/>
      <c r="C733" s="76"/>
      <c r="D733" s="76"/>
      <c r="E733" s="76"/>
      <c r="F733" s="76"/>
      <c r="G733" s="76"/>
      <c r="H733" s="76"/>
      <c r="I733" s="76"/>
      <c r="J733" s="76"/>
      <c r="K733" s="76"/>
      <c r="L733" s="76"/>
      <c r="M733" s="76"/>
      <c r="N733" s="76"/>
      <c r="O733" s="76"/>
      <c r="P733" s="76"/>
      <c r="Q733" s="76"/>
      <c r="R733" s="76"/>
      <c r="S733" s="77"/>
    </row>
    <row r="734" spans="1:25" ht="23.25" customHeight="1">
      <c r="E734" s="116" t="s">
        <v>10</v>
      </c>
      <c r="F734" s="116"/>
      <c r="G734" s="116"/>
      <c r="H734" s="116"/>
      <c r="I734" s="116"/>
      <c r="J734" s="115" t="str">
        <f>IF(ISNA(VLOOKUP(Y736,Master!A$8:N$127,2,FALSE)),"",VLOOKUP(Y736,Master!A$8:AH$127,2,FALSE))</f>
        <v/>
      </c>
      <c r="K734" s="115"/>
      <c r="L734" s="115"/>
      <c r="M734" s="115"/>
      <c r="N734" s="115"/>
      <c r="O734" s="61" t="s">
        <v>31</v>
      </c>
      <c r="P734" s="115" t="str">
        <f>IF(ISNA(VLOOKUP($Y$396,Master!A$8:N$127,3,FALSE)),"",VLOOKUP($Y$396,Master!A$8:AH$127,3,FALSE))</f>
        <v/>
      </c>
      <c r="Q734" s="115"/>
      <c r="R734" s="115"/>
      <c r="S734" s="115"/>
    </row>
    <row r="735" spans="1:25" ht="9" customHeight="1">
      <c r="E735" s="19"/>
      <c r="F735" s="53"/>
      <c r="G735" s="22"/>
      <c r="H735" s="22"/>
      <c r="I735" s="22"/>
      <c r="J735" s="5"/>
      <c r="K735" s="5"/>
      <c r="L735" s="5"/>
      <c r="M735" s="5"/>
      <c r="N735" s="5"/>
      <c r="O735" s="6"/>
      <c r="P735" s="6"/>
    </row>
    <row r="736" spans="1:25" ht="21" customHeight="1">
      <c r="A736" s="8">
        <v>1</v>
      </c>
      <c r="B736" s="23">
        <v>44562</v>
      </c>
      <c r="C736" s="9" t="str">
        <f>IF(ISNA(VLOOKUP(Y736,Master!A$8:N$127,5,FALSE)),"",VLOOKUP(Y736,Master!A$8:AH$127,5,FALSE))</f>
        <v/>
      </c>
      <c r="D736" s="9" t="str">
        <f>IF(AND(C736=""),"",IF(AND(Y736=""),"",ROUND(C736*Master!C$5%,0)))</f>
        <v/>
      </c>
      <c r="E736" s="9" t="str">
        <f>IF(AND(C736=""),"",IF(AND(Y736=""),"",ROUND(C736*Master!H$5%,0)))</f>
        <v/>
      </c>
      <c r="F736" s="9" t="str">
        <f t="shared" ref="F736:F738" si="615">IF(AND(C736=""),"",SUM(C736:E736))</f>
        <v/>
      </c>
      <c r="G736" s="9" t="str">
        <f>IF(ISNA(VLOOKUP(Y736,Master!A$8:N$127,5,FALSE)),"",VLOOKUP(Y736,Master!A$8:AH$127,5,FALSE))</f>
        <v/>
      </c>
      <c r="H736" s="9" t="str">
        <f>IF(AND(G736=""),"",IF(AND(Y736=""),"",ROUND(G736*Master!C$4%,0)))</f>
        <v/>
      </c>
      <c r="I736" s="9" t="str">
        <f>IF(AND(G736=""),"",IF(AND(Y736=""),"",ROUND(G736*Master!H$4%,0)))</f>
        <v/>
      </c>
      <c r="J736" s="9" t="str">
        <f t="shared" ref="J736:J738" si="616">IF(AND(C736=""),"",SUM(G736:I736))</f>
        <v/>
      </c>
      <c r="K736" s="9" t="str">
        <f t="shared" ref="K736:K738" si="617">IF(AND(C736=""),"",IF(AND(G736=""),"",C736-G736))</f>
        <v/>
      </c>
      <c r="L736" s="9" t="str">
        <f t="shared" ref="L736:L738" si="618">IF(AND(D736=""),"",IF(AND(H736=""),"",D736-H736))</f>
        <v/>
      </c>
      <c r="M736" s="9" t="str">
        <f t="shared" ref="M736:M738" si="619">IF(AND(E736=""),"",IF(AND(I736=""),"",E736-I736))</f>
        <v/>
      </c>
      <c r="N736" s="9" t="str">
        <f t="shared" ref="N736:N738" si="620">IF(AND(F736=""),"",IF(AND(J736=""),"",F736-J736))</f>
        <v/>
      </c>
      <c r="O736" s="9" t="str">
        <f>IF(AND(C736=""),"",N736-P736)</f>
        <v/>
      </c>
      <c r="P736" s="9" t="str">
        <f>IF(AND(Y736=""),"",IF(AND(N736=""),"",ROUND(N736*AA$1%,0)))</f>
        <v/>
      </c>
      <c r="Q736" s="9" t="str">
        <f>IF(AND(Y736=""),"",IF(AND(C736=""),"",IF(AND(O736=""),"",SUM(O736,P736))))</f>
        <v/>
      </c>
      <c r="R736" s="9" t="str">
        <f>IF(AND(N736=""),"",IF(AND(Q736=""),"",N736-Q736))</f>
        <v/>
      </c>
      <c r="S736" s="20"/>
      <c r="X736" s="62" t="s">
        <v>62</v>
      </c>
      <c r="Y736" s="65">
        <v>66</v>
      </c>
    </row>
    <row r="737" spans="1:27" ht="21" customHeight="1">
      <c r="A737" s="8">
        <v>2</v>
      </c>
      <c r="B737" s="23">
        <v>44593</v>
      </c>
      <c r="C737" s="9" t="str">
        <f>IF(AND(Y736=""),"",C736)</f>
        <v/>
      </c>
      <c r="D737" s="9" t="str">
        <f>IF(AND(C737=""),"",IF(AND(Y736=""),"",ROUND(C737*Master!C$5%,0)))</f>
        <v/>
      </c>
      <c r="E737" s="9" t="str">
        <f>IF(AND(C737=""),"",IF(AND(Y736=""),"",ROUND(C737*Master!H$5%,0)))</f>
        <v/>
      </c>
      <c r="F737" s="9" t="str">
        <f t="shared" si="615"/>
        <v/>
      </c>
      <c r="G737" s="9" t="str">
        <f>IF(AND(Y736=""),"",G736)</f>
        <v/>
      </c>
      <c r="H737" s="9" t="str">
        <f>IF(AND(G737=""),"",IF(AND(Y736=""),"",ROUND(G737*Master!C$4%,0)))</f>
        <v/>
      </c>
      <c r="I737" s="9" t="str">
        <f>IF(AND(G737=""),"",IF(AND(Y736=""),"",ROUND(G737*Master!H$4%,0)))</f>
        <v/>
      </c>
      <c r="J737" s="9" t="str">
        <f t="shared" si="616"/>
        <v/>
      </c>
      <c r="K737" s="9" t="str">
        <f t="shared" si="617"/>
        <v/>
      </c>
      <c r="L737" s="9" t="str">
        <f t="shared" si="618"/>
        <v/>
      </c>
      <c r="M737" s="9" t="str">
        <f t="shared" si="619"/>
        <v/>
      </c>
      <c r="N737" s="9" t="str">
        <f t="shared" si="620"/>
        <v/>
      </c>
      <c r="O737" s="9" t="str">
        <f t="shared" ref="O737:O738" si="621">IF(AND(C737=""),"",N737-P737)</f>
        <v/>
      </c>
      <c r="P737" s="9" t="str">
        <f>IF(AND(Y736=""),"",IF(AND(N737=""),"",ROUND(N737*AA$1%,0)))</f>
        <v/>
      </c>
      <c r="Q737" s="9" t="str">
        <f>IF(AND(Y736=""),"",IF(AND(C737=""),"",IF(AND(O737=""),"",SUM(O737,P737))))</f>
        <v/>
      </c>
      <c r="R737" s="9" t="str">
        <f t="shared" ref="R737:R738" si="622">IF(AND(N737=""),"",IF(AND(Q737=""),"",N737-Q737))</f>
        <v/>
      </c>
      <c r="S737" s="20"/>
      <c r="X737" s="4" t="str">
        <f>IF(ISNA(VLOOKUP(Y736,Master!A$8:N$127,7,FALSE)),"",VLOOKUP(Y736,Master!A$8:AH$127,7,FALSE))</f>
        <v/>
      </c>
    </row>
    <row r="738" spans="1:27" ht="21" customHeight="1">
      <c r="A738" s="8">
        <v>3</v>
      </c>
      <c r="B738" s="23">
        <v>44621</v>
      </c>
      <c r="C738" s="9" t="str">
        <f>IF(AND(Y736=""),"",C737)</f>
        <v/>
      </c>
      <c r="D738" s="9" t="str">
        <f>IF(AND(C738=""),"",IF(AND(Y736=""),"",ROUND(C738*Master!C$5%,0)))</f>
        <v/>
      </c>
      <c r="E738" s="9" t="str">
        <f>IF(AND(C738=""),"",IF(AND(Y736=""),"",ROUND(C738*Master!H$5%,0)))</f>
        <v/>
      </c>
      <c r="F738" s="9" t="str">
        <f t="shared" si="615"/>
        <v/>
      </c>
      <c r="G738" s="9" t="str">
        <f>IF(AND(Y736=""),"",G737)</f>
        <v/>
      </c>
      <c r="H738" s="9" t="str">
        <f>IF(AND(G738=""),"",IF(AND(Y736=""),"",ROUND(G738*Master!C$4%,0)))</f>
        <v/>
      </c>
      <c r="I738" s="9" t="str">
        <f>IF(AND(G738=""),"",IF(AND(Y736=""),"",ROUND(G738*Master!H$4%,0)))</f>
        <v/>
      </c>
      <c r="J738" s="9" t="str">
        <f t="shared" si="616"/>
        <v/>
      </c>
      <c r="K738" s="9" t="str">
        <f t="shared" si="617"/>
        <v/>
      </c>
      <c r="L738" s="9" t="str">
        <f t="shared" si="618"/>
        <v/>
      </c>
      <c r="M738" s="9" t="str">
        <f t="shared" si="619"/>
        <v/>
      </c>
      <c r="N738" s="9" t="str">
        <f t="shared" si="620"/>
        <v/>
      </c>
      <c r="O738" s="9" t="str">
        <f t="shared" si="621"/>
        <v/>
      </c>
      <c r="P738" s="9" t="str">
        <f>IF(AND(Y736=""),"",IF(AND(N738=""),"",ROUND(N738*AA$1%,0)))</f>
        <v/>
      </c>
      <c r="Q738" s="9" t="str">
        <f>IF(AND(Y736=""),"",IF(AND(C738=""),"",IF(AND(O738=""),"",SUM(O738,P738))))</f>
        <v/>
      </c>
      <c r="R738" s="9" t="str">
        <f t="shared" si="622"/>
        <v/>
      </c>
      <c r="S738" s="20"/>
    </row>
    <row r="739" spans="1:27" ht="30.75" customHeight="1">
      <c r="A739" s="108" t="s">
        <v>9</v>
      </c>
      <c r="B739" s="109"/>
      <c r="C739" s="64">
        <f>IF(AND(Y736=""),"",SUM(C736:C738))</f>
        <v>0</v>
      </c>
      <c r="D739" s="64">
        <f>IF(AND(Y736=""),"",SUM(D736:D738))</f>
        <v>0</v>
      </c>
      <c r="E739" s="64">
        <f>IF(AND(Y736=""),"",SUM(E736:E738))</f>
        <v>0</v>
      </c>
      <c r="F739" s="64">
        <f>IF(AND(Y736=""),"",SUM(F736:F738))</f>
        <v>0</v>
      </c>
      <c r="G739" s="64">
        <f>IF(AND(Y736=""),"",SUM(G736:G738))</f>
        <v>0</v>
      </c>
      <c r="H739" s="64">
        <f>IF(AND(Y736=""),"",SUM(H736:H738))</f>
        <v>0</v>
      </c>
      <c r="I739" s="64">
        <f>IF(AND(Y736=""),"",SUM(I736:I738))</f>
        <v>0</v>
      </c>
      <c r="J739" s="64">
        <f>IF(AND(Y736=""),"",SUM(J736:J738))</f>
        <v>0</v>
      </c>
      <c r="K739" s="64">
        <f>IF(AND(Y736=""),"",SUM(K736:K738))</f>
        <v>0</v>
      </c>
      <c r="L739" s="64">
        <f>IF(AND(Y736=""),"",SUM(L736:L738))</f>
        <v>0</v>
      </c>
      <c r="M739" s="64">
        <f>IF(AND(Y736=""),"",SUM(M736:M738))</f>
        <v>0</v>
      </c>
      <c r="N739" s="64">
        <f>IF(AND(Y736=""),"",SUM(N736:N738))</f>
        <v>0</v>
      </c>
      <c r="O739" s="64">
        <f>IF(AND(Y736=""),"",SUM(O736:O738))</f>
        <v>0</v>
      </c>
      <c r="P739" s="64">
        <f>IF(AND(Y736=""),"",SUM(P736:P738))</f>
        <v>0</v>
      </c>
      <c r="Q739" s="64">
        <f>IF(AND(Y736=""),"",SUM(Q736:Q738))</f>
        <v>0</v>
      </c>
      <c r="R739" s="64">
        <f>IF(AND(Y736=""),"",SUM(R736:R738))</f>
        <v>0</v>
      </c>
      <c r="S739" s="50"/>
    </row>
    <row r="740" spans="1:27" ht="30.75" customHeight="1">
      <c r="A740" s="75"/>
      <c r="B740" s="75"/>
      <c r="C740" s="76"/>
      <c r="D740" s="76"/>
      <c r="E740" s="76"/>
      <c r="F740" s="76"/>
      <c r="G740" s="76"/>
      <c r="H740" s="76"/>
      <c r="I740" s="76"/>
      <c r="J740" s="76"/>
      <c r="K740" s="76"/>
      <c r="L740" s="76"/>
      <c r="M740" s="76"/>
      <c r="N740" s="76"/>
      <c r="O740" s="76"/>
      <c r="P740" s="76"/>
      <c r="Q740" s="76"/>
      <c r="R740" s="76"/>
      <c r="S740" s="77"/>
    </row>
    <row r="741" spans="1:27" ht="18.75">
      <c r="A741" s="21"/>
      <c r="B741" s="59"/>
      <c r="C741" s="59"/>
      <c r="D741" s="59"/>
      <c r="E741" s="59"/>
      <c r="F741" s="59"/>
      <c r="G741" s="59"/>
      <c r="H741" s="60"/>
      <c r="I741" s="60"/>
      <c r="J741" s="60"/>
      <c r="K741" s="68"/>
      <c r="L741" s="68"/>
      <c r="M741" s="68"/>
      <c r="N741" s="68"/>
      <c r="O741" s="107" t="s">
        <v>55</v>
      </c>
      <c r="P741" s="107"/>
      <c r="Q741" s="107"/>
      <c r="R741" s="107"/>
      <c r="S741" s="107"/>
    </row>
    <row r="742" spans="1:27" ht="18.75">
      <c r="A742" s="1"/>
      <c r="B742" s="24" t="s">
        <v>19</v>
      </c>
      <c r="C742" s="118"/>
      <c r="D742" s="118"/>
      <c r="E742" s="118"/>
      <c r="F742" s="118"/>
      <c r="G742" s="118"/>
      <c r="H742" s="25"/>
      <c r="I742" s="121" t="s">
        <v>20</v>
      </c>
      <c r="J742" s="121"/>
      <c r="K742" s="120"/>
      <c r="L742" s="120"/>
      <c r="M742" s="120"/>
      <c r="O742" s="107"/>
      <c r="P742" s="107"/>
      <c r="Q742" s="107"/>
      <c r="R742" s="107"/>
      <c r="S742" s="107"/>
    </row>
    <row r="743" spans="1:27" ht="18.75">
      <c r="A743" s="1"/>
      <c r="B743" s="119" t="s">
        <v>21</v>
      </c>
      <c r="C743" s="119"/>
      <c r="D743" s="119"/>
      <c r="E743" s="119"/>
      <c r="F743" s="119"/>
      <c r="G743" s="119"/>
      <c r="H743" s="119"/>
      <c r="I743" s="27"/>
      <c r="J743" s="26"/>
      <c r="K743" s="26"/>
      <c r="L743" s="26"/>
      <c r="M743" s="26"/>
    </row>
    <row r="744" spans="1:27" ht="18.75">
      <c r="A744" s="22">
        <v>1</v>
      </c>
      <c r="B744" s="117" t="s">
        <v>22</v>
      </c>
      <c r="C744" s="117"/>
      <c r="D744" s="117"/>
      <c r="E744" s="117"/>
      <c r="F744" s="117"/>
      <c r="G744" s="117"/>
      <c r="H744" s="117"/>
      <c r="I744" s="28"/>
      <c r="J744" s="26"/>
      <c r="K744" s="26"/>
      <c r="L744" s="26"/>
      <c r="M744" s="26"/>
    </row>
    <row r="745" spans="1:27" ht="18.75">
      <c r="A745" s="2">
        <v>2</v>
      </c>
      <c r="B745" s="117" t="s">
        <v>23</v>
      </c>
      <c r="C745" s="117"/>
      <c r="D745" s="117"/>
      <c r="E745" s="117"/>
      <c r="F745" s="117"/>
      <c r="G745" s="115"/>
      <c r="H745" s="115"/>
      <c r="I745" s="115"/>
      <c r="J745" s="115"/>
      <c r="K745" s="115"/>
      <c r="L745" s="115"/>
      <c r="M745" s="115"/>
    </row>
    <row r="746" spans="1:27" ht="18.75">
      <c r="A746" s="3">
        <v>3</v>
      </c>
      <c r="B746" s="117" t="s">
        <v>24</v>
      </c>
      <c r="C746" s="117"/>
      <c r="D746" s="117"/>
      <c r="E746" s="29"/>
      <c r="F746" s="28"/>
      <c r="G746" s="28"/>
      <c r="H746" s="30"/>
      <c r="I746" s="31"/>
      <c r="J746" s="26"/>
      <c r="K746" s="26"/>
      <c r="L746" s="26"/>
      <c r="M746" s="26"/>
    </row>
    <row r="747" spans="1:27" ht="15.75">
      <c r="O747" s="107" t="s">
        <v>55</v>
      </c>
      <c r="P747" s="107"/>
      <c r="Q747" s="107"/>
      <c r="R747" s="107"/>
      <c r="S747" s="107"/>
    </row>
    <row r="749" spans="1:27" ht="18" customHeight="1">
      <c r="A749" s="122" t="str">
        <f>A715</f>
        <v xml:space="preserve">DA (38%) Drawn Statement  </v>
      </c>
      <c r="B749" s="122"/>
      <c r="C749" s="122"/>
      <c r="D749" s="122"/>
      <c r="E749" s="122"/>
      <c r="F749" s="122"/>
      <c r="G749" s="122"/>
      <c r="H749" s="122"/>
      <c r="I749" s="122"/>
      <c r="J749" s="122"/>
      <c r="K749" s="122"/>
      <c r="L749" s="122"/>
      <c r="M749" s="122"/>
      <c r="N749" s="122"/>
      <c r="O749" s="122"/>
      <c r="P749" s="122"/>
      <c r="Q749" s="122"/>
      <c r="R749" s="122"/>
      <c r="S749" s="122"/>
      <c r="W749" s="4">
        <f>IF(ISNA(VLOOKUP($Y$3,Master!A$8:N$127,4,FALSE)),"",VLOOKUP($Y$3,Master!A$8:AH$127,4,FALSE))</f>
        <v>3</v>
      </c>
      <c r="X749" s="4" t="str">
        <f>IF(ISNA(VLOOKUP($Y$3,Master!A$8:N$127,6,FALSE)),"",VLOOKUP($Y$3,Master!A$8:AH$127,6,FALSE))</f>
        <v>GPF</v>
      </c>
      <c r="Y749" s="4" t="s">
        <v>58</v>
      </c>
      <c r="Z749" s="4" t="s">
        <v>18</v>
      </c>
      <c r="AA749" s="4" t="str">
        <f>IF(ISNA(VLOOKUP(Y751,Master!A$8:N$127,7,FALSE)),"",VLOOKUP(Y751,Master!A$8:AH$127,7,FALSE))</f>
        <v/>
      </c>
    </row>
    <row r="750" spans="1:27" ht="18">
      <c r="A750" s="114" t="str">
        <f>IF(AND(Master!C751=""),"",CONCATENATE("Office Of  ",Master!C751))</f>
        <v/>
      </c>
      <c r="B750" s="114"/>
      <c r="C750" s="114"/>
      <c r="D750" s="114"/>
      <c r="E750" s="114"/>
      <c r="F750" s="114"/>
      <c r="G750" s="114"/>
      <c r="H750" s="114"/>
      <c r="I750" s="114"/>
      <c r="J750" s="114"/>
      <c r="K750" s="114"/>
      <c r="L750" s="114"/>
      <c r="M750" s="114"/>
      <c r="N750" s="114"/>
      <c r="O750" s="114"/>
      <c r="P750" s="114"/>
      <c r="Q750" s="114"/>
      <c r="R750" s="114"/>
      <c r="S750" s="114"/>
      <c r="X750" s="4">
        <f>IF(ISNA(VLOOKUP($Y$3,Master!A$8:N$127,8,FALSE)),"",VLOOKUP($Y$3,Master!A$8:AH$127,8,FALSE))</f>
        <v>44743</v>
      </c>
      <c r="Y750" s="4" t="s">
        <v>56</v>
      </c>
    </row>
    <row r="751" spans="1:27" ht="18.75">
      <c r="E751" s="116" t="s">
        <v>10</v>
      </c>
      <c r="F751" s="116"/>
      <c r="G751" s="116"/>
      <c r="H751" s="116"/>
      <c r="I751" s="116"/>
      <c r="J751" s="115" t="str">
        <f>IF(ISNA(VLOOKUP(Y751,Master!A$8:N$127,2,FALSE)),"",VLOOKUP(Y751,Master!A$8:AH$127,2,FALSE))</f>
        <v/>
      </c>
      <c r="K751" s="115"/>
      <c r="L751" s="115"/>
      <c r="M751" s="115"/>
      <c r="N751" s="115"/>
      <c r="O751" s="61" t="s">
        <v>31</v>
      </c>
      <c r="P751" s="115" t="str">
        <f>IF(ISNA(VLOOKUP(Y751,Master!A$8:N$127,3,FALSE)),"",VLOOKUP(Y751,Master!A$8:AH$127,3,FALSE))</f>
        <v/>
      </c>
      <c r="Q751" s="115"/>
      <c r="R751" s="115"/>
      <c r="S751" s="115"/>
      <c r="X751" s="62" t="s">
        <v>62</v>
      </c>
      <c r="Y751" s="65">
        <v>67</v>
      </c>
    </row>
    <row r="752" spans="1:27" ht="8.25" customHeight="1">
      <c r="E752" s="19"/>
      <c r="F752" s="53"/>
      <c r="G752" s="22"/>
      <c r="H752" s="22"/>
      <c r="I752" s="22"/>
      <c r="J752" s="5"/>
      <c r="K752" s="5"/>
      <c r="L752" s="5"/>
      <c r="M752" s="5"/>
      <c r="N752" s="5"/>
      <c r="O752" s="6"/>
      <c r="P752" s="6"/>
    </row>
    <row r="753" spans="1:25" ht="24.75" customHeight="1">
      <c r="A753" s="110" t="s">
        <v>0</v>
      </c>
      <c r="B753" s="111" t="s">
        <v>3</v>
      </c>
      <c r="C753" s="112" t="s">
        <v>5</v>
      </c>
      <c r="D753" s="112"/>
      <c r="E753" s="112"/>
      <c r="F753" s="112"/>
      <c r="G753" s="112" t="s">
        <v>6</v>
      </c>
      <c r="H753" s="112"/>
      <c r="I753" s="112"/>
      <c r="J753" s="112"/>
      <c r="K753" s="112" t="s">
        <v>7</v>
      </c>
      <c r="L753" s="112"/>
      <c r="M753" s="112"/>
      <c r="N753" s="112"/>
      <c r="O753" s="97" t="s">
        <v>8</v>
      </c>
      <c r="P753" s="98"/>
      <c r="Q753" s="99"/>
      <c r="R753" s="105" t="s">
        <v>67</v>
      </c>
      <c r="S753" s="105" t="s">
        <v>50</v>
      </c>
    </row>
    <row r="754" spans="1:25" ht="69" customHeight="1">
      <c r="A754" s="110"/>
      <c r="B754" s="111"/>
      <c r="C754" s="55" t="s">
        <v>29</v>
      </c>
      <c r="D754" s="56" t="s">
        <v>1</v>
      </c>
      <c r="E754" s="57" t="s">
        <v>2</v>
      </c>
      <c r="F754" s="55" t="s">
        <v>59</v>
      </c>
      <c r="G754" s="55" t="s">
        <v>29</v>
      </c>
      <c r="H754" s="56" t="s">
        <v>1</v>
      </c>
      <c r="I754" s="57" t="s">
        <v>2</v>
      </c>
      <c r="J754" s="55" t="s">
        <v>60</v>
      </c>
      <c r="K754" s="55" t="s">
        <v>4</v>
      </c>
      <c r="L754" s="56" t="s">
        <v>1</v>
      </c>
      <c r="M754" s="57" t="s">
        <v>2</v>
      </c>
      <c r="N754" s="58" t="s">
        <v>61</v>
      </c>
      <c r="O754" s="54" t="s">
        <v>83</v>
      </c>
      <c r="P754" s="67" t="s">
        <v>51</v>
      </c>
      <c r="Q754" s="58" t="s">
        <v>66</v>
      </c>
      <c r="R754" s="105"/>
      <c r="S754" s="105"/>
    </row>
    <row r="755" spans="1:25" ht="18" customHeight="1">
      <c r="A755" s="7">
        <v>1</v>
      </c>
      <c r="B755" s="7">
        <v>2</v>
      </c>
      <c r="C755" s="7">
        <v>3</v>
      </c>
      <c r="D755" s="7">
        <v>4</v>
      </c>
      <c r="E755" s="7">
        <v>5</v>
      </c>
      <c r="F755" s="7">
        <v>6</v>
      </c>
      <c r="G755" s="7">
        <v>7</v>
      </c>
      <c r="H755" s="7">
        <v>8</v>
      </c>
      <c r="I755" s="7">
        <v>9</v>
      </c>
      <c r="J755" s="7">
        <v>10</v>
      </c>
      <c r="K755" s="7">
        <v>11</v>
      </c>
      <c r="L755" s="7">
        <v>12</v>
      </c>
      <c r="M755" s="7">
        <v>13</v>
      </c>
      <c r="N755" s="7">
        <v>14</v>
      </c>
      <c r="O755" s="7">
        <v>15</v>
      </c>
      <c r="P755" s="7">
        <v>17</v>
      </c>
      <c r="Q755" s="7">
        <v>18</v>
      </c>
      <c r="R755" s="7">
        <v>19</v>
      </c>
      <c r="S755" s="7">
        <v>20</v>
      </c>
    </row>
    <row r="756" spans="1:25" ht="21" customHeight="1">
      <c r="A756" s="8">
        <v>1</v>
      </c>
      <c r="B756" s="23">
        <v>44562</v>
      </c>
      <c r="C756" s="9" t="str">
        <f>IF(ISNA(VLOOKUP(Y751,Master!A$8:N$127,5,FALSE)),"",VLOOKUP(Y751,Master!A$8:AH$127,5,FALSE))</f>
        <v/>
      </c>
      <c r="D756" s="9" t="str">
        <f>IF(AND(C756=""),"",IF(AND(Y751=""),"",ROUND(C756*Master!C$5%,0)))</f>
        <v/>
      </c>
      <c r="E756" s="9" t="str">
        <f>IF(AND(C756=""),"",IF(AND(Y751=""),"",ROUND(C756*Master!H$5%,0)))</f>
        <v/>
      </c>
      <c r="F756" s="9" t="str">
        <f t="shared" ref="F756" si="623">IF(AND(C756=""),"",SUM(C756:E756))</f>
        <v/>
      </c>
      <c r="G756" s="9" t="str">
        <f>IF(ISNA(VLOOKUP(Y751,Master!A$8:N$127,5,FALSE)),"",VLOOKUP(Y751,Master!A$8:AH$127,5,FALSE))</f>
        <v/>
      </c>
      <c r="H756" s="9" t="str">
        <f>IF(AND(G756=""),"",IF(AND(Y751=""),"",ROUND(G756*Master!C$4%,0)))</f>
        <v/>
      </c>
      <c r="I756" s="9" t="str">
        <f>IF(AND(G756=""),"",IF(AND(Y751=""),"",ROUND(G756*Master!H$4%,0)))</f>
        <v/>
      </c>
      <c r="J756" s="9" t="str">
        <f t="shared" ref="J756:J757" si="624">IF(AND(C756=""),"",SUM(G756:I756))</f>
        <v/>
      </c>
      <c r="K756" s="9" t="str">
        <f t="shared" ref="K756:K758" si="625">IF(AND(C756=""),"",IF(AND(G756=""),"",C756-G756))</f>
        <v/>
      </c>
      <c r="L756" s="9" t="str">
        <f t="shared" ref="L756:L758" si="626">IF(AND(D756=""),"",IF(AND(H756=""),"",D756-H756))</f>
        <v/>
      </c>
      <c r="M756" s="9" t="str">
        <f t="shared" ref="M756:M757" si="627">IF(AND(E756=""),"",IF(AND(I756=""),"",E756-I756))</f>
        <v/>
      </c>
      <c r="N756" s="9" t="str">
        <f t="shared" ref="N756:N757" si="628">IF(AND(F756=""),"",IF(AND(J756=""),"",F756-J756))</f>
        <v/>
      </c>
      <c r="O756" s="9" t="str">
        <f>IF(AND(C756=""),"",N756-P756)</f>
        <v/>
      </c>
      <c r="P756" s="9" t="str">
        <f>IF(AND(Y751=""),"",IF(AND(N756=""),"",ROUND(N756*AA$1%,0)))</f>
        <v/>
      </c>
      <c r="Q756" s="9" t="str">
        <f>IF(AND(Y751=""),"",IF(AND(C756=""),"",IF(AND(O756=""),"",SUM(O756,P756))))</f>
        <v/>
      </c>
      <c r="R756" s="9" t="str">
        <f>IF(AND(N756=""),"",IF(AND(Q756=""),"",N756-Q756))</f>
        <v/>
      </c>
      <c r="S756" s="20"/>
    </row>
    <row r="757" spans="1:25" ht="21" customHeight="1">
      <c r="A757" s="8">
        <v>2</v>
      </c>
      <c r="B757" s="23">
        <v>44593</v>
      </c>
      <c r="C757" s="9" t="str">
        <f>IF(AND(Y751=""),"",C756)</f>
        <v/>
      </c>
      <c r="D757" s="9" t="str">
        <f>IF(AND(C757=""),"",IF(AND(Y751=""),"",ROUND(C757*Master!C$5%,0)))</f>
        <v/>
      </c>
      <c r="E757" s="9" t="str">
        <f>IF(AND(C757=""),"",IF(AND(Y751=""),"",ROUND(C757*Master!H$5%,0)))</f>
        <v/>
      </c>
      <c r="F757" s="9" t="str">
        <f>IF(AND(C757=""),"",SUM(C757:E757))</f>
        <v/>
      </c>
      <c r="G757" s="9" t="str">
        <f>IF(AND(Y751=""),"",G756)</f>
        <v/>
      </c>
      <c r="H757" s="9" t="str">
        <f>IF(AND(G757=""),"",IF(AND(Y751=""),"",ROUND(G757*Master!C$4%,0)))</f>
        <v/>
      </c>
      <c r="I757" s="9" t="str">
        <f>IF(AND(G757=""),"",IF(AND(Y751=""),"",ROUND(G757*Master!H$4%,0)))</f>
        <v/>
      </c>
      <c r="J757" s="9" t="str">
        <f t="shared" si="624"/>
        <v/>
      </c>
      <c r="K757" s="9" t="str">
        <f t="shared" si="625"/>
        <v/>
      </c>
      <c r="L757" s="9" t="str">
        <f t="shared" si="626"/>
        <v/>
      </c>
      <c r="M757" s="9" t="str">
        <f t="shared" si="627"/>
        <v/>
      </c>
      <c r="N757" s="9" t="str">
        <f t="shared" si="628"/>
        <v/>
      </c>
      <c r="O757" s="9" t="str">
        <f t="shared" ref="O757:O758" si="629">IF(AND(C757=""),"",N757-P757)</f>
        <v/>
      </c>
      <c r="P757" s="9" t="str">
        <f>IF(AND(Y751=""),"",IF(AND(N757=""),"",ROUND(N757*AA$1%,0)))</f>
        <v/>
      </c>
      <c r="Q757" s="9" t="str">
        <f>IF(AND(Y751=""),"",IF(AND(C757=""),"",IF(AND(O757=""),"",SUM(O757,P757))))</f>
        <v/>
      </c>
      <c r="R757" s="9" t="str">
        <f t="shared" ref="R757:R758" si="630">IF(AND(N757=""),"",IF(AND(Q757=""),"",N757-Q757))</f>
        <v/>
      </c>
      <c r="S757" s="20"/>
    </row>
    <row r="758" spans="1:25" ht="21" customHeight="1">
      <c r="A758" s="8">
        <v>3</v>
      </c>
      <c r="B758" s="23">
        <v>44621</v>
      </c>
      <c r="C758" s="9" t="str">
        <f>IF(AND(Y751=""),"",C757)</f>
        <v/>
      </c>
      <c r="D758" s="9" t="str">
        <f>IF(AND(C758=""),"",IF(AND(Y751=""),"",ROUND(C758*Master!C$5%,0)))</f>
        <v/>
      </c>
      <c r="E758" s="9" t="str">
        <f>IF(AND(C758=""),"",IF(AND(Y751=""),"",ROUND(C758*Master!H$5%,0)))</f>
        <v/>
      </c>
      <c r="F758" s="9" t="str">
        <f t="shared" ref="F758" si="631">IF(AND(C758=""),"",SUM(C758:E758))</f>
        <v/>
      </c>
      <c r="G758" s="9" t="str">
        <f>IF(AND(Y751=""),"",G757)</f>
        <v/>
      </c>
      <c r="H758" s="9" t="str">
        <f>IF(AND(G758=""),"",IF(AND(Y751=""),"",ROUND(G758*Master!C$4%,0)))</f>
        <v/>
      </c>
      <c r="I758" s="9" t="str">
        <f>IF(AND(G758=""),"",IF(AND(Y751=""),"",ROUND(G758*Master!H$4%,0)))</f>
        <v/>
      </c>
      <c r="J758" s="9" t="str">
        <f>IF(AND(C758=""),"",SUM(G758:I758))</f>
        <v/>
      </c>
      <c r="K758" s="9" t="str">
        <f t="shared" si="625"/>
        <v/>
      </c>
      <c r="L758" s="9" t="str">
        <f t="shared" si="626"/>
        <v/>
      </c>
      <c r="M758" s="9" t="str">
        <f>IF(AND(E758=""),"",IF(AND(I758=""),"",E758-I758))</f>
        <v/>
      </c>
      <c r="N758" s="9" t="str">
        <f>IF(AND(F758=""),"",IF(AND(J758=""),"",F758-J758))</f>
        <v/>
      </c>
      <c r="O758" s="9" t="str">
        <f t="shared" si="629"/>
        <v/>
      </c>
      <c r="P758" s="9" t="str">
        <f>IF(AND(Y751=""),"",IF(AND(N758=""),"",ROUND(N758*AA$1%,0)))</f>
        <v/>
      </c>
      <c r="Q758" s="9" t="str">
        <f>IF(AND(Y751=""),"",IF(AND(C758=""),"",IF(AND(O758=""),"",SUM(O758,P758))))</f>
        <v/>
      </c>
      <c r="R758" s="9" t="str">
        <f t="shared" si="630"/>
        <v/>
      </c>
      <c r="S758" s="20"/>
    </row>
    <row r="759" spans="1:25" ht="23.25" customHeight="1">
      <c r="A759" s="108" t="s">
        <v>9</v>
      </c>
      <c r="B759" s="109"/>
      <c r="C759" s="64">
        <f>IF(AND(Y751=""),"",SUM(C756:C758))</f>
        <v>0</v>
      </c>
      <c r="D759" s="64">
        <f>IF(AND(Y751=""),"",SUM(D756:D758))</f>
        <v>0</v>
      </c>
      <c r="E759" s="64">
        <f>IF(AND(Y751=""),"",SUM(E756:E758))</f>
        <v>0</v>
      </c>
      <c r="F759" s="64">
        <f>IF(AND(Y751=""),"",SUM(F756:F758))</f>
        <v>0</v>
      </c>
      <c r="G759" s="64">
        <f>IF(AND(Y751=""),"",SUM(G756:G758))</f>
        <v>0</v>
      </c>
      <c r="H759" s="64">
        <f>IF(AND(Y751=""),"",SUM(H756:H758))</f>
        <v>0</v>
      </c>
      <c r="I759" s="64">
        <f>IF(AND(Y751=""),"",SUM(I756:I758))</f>
        <v>0</v>
      </c>
      <c r="J759" s="64">
        <f>IF(AND(Y751=""),"",SUM(J756:J758))</f>
        <v>0</v>
      </c>
      <c r="K759" s="64">
        <f>IF(AND(Y751=""),"",SUM(K756:K758))</f>
        <v>0</v>
      </c>
      <c r="L759" s="64">
        <f>IF(AND(Y751=""),"",SUM(L756:L758))</f>
        <v>0</v>
      </c>
      <c r="M759" s="64">
        <f>IF(AND(Y751=""),"",SUM(M756:M758))</f>
        <v>0</v>
      </c>
      <c r="N759" s="64">
        <f>IF(AND(Y751=""),"",SUM(N756:N758))</f>
        <v>0</v>
      </c>
      <c r="O759" s="64">
        <f>IF(AND(Y751=""),"",SUM(O756:O758))</f>
        <v>0</v>
      </c>
      <c r="P759" s="64">
        <f>IF(AND(Y751=""),"",SUM(P756:P758))</f>
        <v>0</v>
      </c>
      <c r="Q759" s="64">
        <f>IF(AND(Y751=""),"",SUM(Q756:Q758))</f>
        <v>0</v>
      </c>
      <c r="R759" s="64">
        <f>IF(AND(Y751=""),"",SUM(R756:R758))</f>
        <v>0</v>
      </c>
      <c r="S759" s="50"/>
    </row>
    <row r="760" spans="1:25" ht="10.5" customHeight="1">
      <c r="A760" s="75"/>
      <c r="B760" s="75"/>
      <c r="C760" s="76"/>
      <c r="D760" s="76"/>
      <c r="E760" s="76"/>
      <c r="F760" s="76"/>
      <c r="G760" s="76"/>
      <c r="H760" s="76"/>
      <c r="I760" s="76"/>
      <c r="J760" s="76"/>
      <c r="K760" s="76"/>
      <c r="L760" s="76"/>
      <c r="M760" s="76"/>
      <c r="N760" s="76"/>
      <c r="O760" s="76"/>
      <c r="P760" s="76"/>
      <c r="Q760" s="76"/>
      <c r="R760" s="76"/>
      <c r="S760" s="77"/>
    </row>
    <row r="761" spans="1:25" ht="23.25" customHeight="1">
      <c r="E761" s="116" t="s">
        <v>10</v>
      </c>
      <c r="F761" s="116"/>
      <c r="G761" s="116"/>
      <c r="H761" s="116"/>
      <c r="I761" s="116"/>
      <c r="J761" s="115" t="str">
        <f>IF(ISNA(VLOOKUP(Y763,Master!A$8:N$127,2,FALSE)),"",VLOOKUP(Y763,Master!A$8:AH$127,2,FALSE))</f>
        <v/>
      </c>
      <c r="K761" s="115"/>
      <c r="L761" s="115"/>
      <c r="M761" s="115"/>
      <c r="N761" s="115"/>
      <c r="O761" s="61" t="s">
        <v>31</v>
      </c>
      <c r="P761" s="115" t="str">
        <f>IF(ISNA(VLOOKUP(Y763,Master!A$8:N$127,3,FALSE)),"",VLOOKUP(Y763,Master!A$8:AH$127,3,FALSE))</f>
        <v/>
      </c>
      <c r="Q761" s="115"/>
      <c r="R761" s="115"/>
      <c r="S761" s="115"/>
    </row>
    <row r="762" spans="1:25" ht="9" customHeight="1">
      <c r="E762" s="19"/>
      <c r="F762" s="53"/>
      <c r="G762" s="22"/>
      <c r="H762" s="22"/>
      <c r="I762" s="22"/>
      <c r="J762" s="5"/>
      <c r="K762" s="5"/>
      <c r="L762" s="5"/>
      <c r="M762" s="5"/>
      <c r="N762" s="5"/>
      <c r="O762" s="6"/>
      <c r="P762" s="6"/>
    </row>
    <row r="763" spans="1:25" ht="21" customHeight="1">
      <c r="A763" s="8">
        <v>1</v>
      </c>
      <c r="B763" s="23">
        <v>44562</v>
      </c>
      <c r="C763" s="9" t="str">
        <f>IF(ISNA(VLOOKUP(Y763,Master!A$8:N$127,5,FALSE)),"",VLOOKUP(Y763,Master!A$8:AH$127,5,FALSE))</f>
        <v/>
      </c>
      <c r="D763" s="9" t="str">
        <f>IF(AND(C763=""),"",IF(AND(Y763=""),"",ROUND(C763*Master!C$5%,0)))</f>
        <v/>
      </c>
      <c r="E763" s="9" t="str">
        <f>IF(AND(C763=""),"",IF(AND(Y763=""),"",ROUND(C763*Master!H$5%,0)))</f>
        <v/>
      </c>
      <c r="F763" s="9" t="str">
        <f t="shared" ref="F763:F765" si="632">IF(AND(C763=""),"",SUM(C763:E763))</f>
        <v/>
      </c>
      <c r="G763" s="9" t="str">
        <f>IF(ISNA(VLOOKUP(Y763,Master!A$8:N$127,5,FALSE)),"",VLOOKUP(Y763,Master!A$8:AH$127,5,FALSE))</f>
        <v/>
      </c>
      <c r="H763" s="9" t="str">
        <f>IF(AND(G763=""),"",IF(AND(Y763=""),"",ROUND(G763*Master!C$4%,0)))</f>
        <v/>
      </c>
      <c r="I763" s="9" t="str">
        <f>IF(AND(G763=""),"",IF(AND(Y763=""),"",ROUND(G763*Master!H$4%,0)))</f>
        <v/>
      </c>
      <c r="J763" s="9" t="str">
        <f t="shared" ref="J763:J765" si="633">IF(AND(C763=""),"",SUM(G763:I763))</f>
        <v/>
      </c>
      <c r="K763" s="9" t="str">
        <f t="shared" ref="K763" si="634">IF(AND(C763=""),"",IF(AND(G763=""),"",C763-G763))</f>
        <v/>
      </c>
      <c r="L763" s="9" t="str">
        <f>IF(AND(D763=""),"",IF(AND(H763=""),"",D763-H763))</f>
        <v/>
      </c>
      <c r="M763" s="9" t="str">
        <f t="shared" ref="M763:M765" si="635">IF(AND(E763=""),"",IF(AND(I763=""),"",E763-I763))</f>
        <v/>
      </c>
      <c r="N763" s="9" t="str">
        <f t="shared" ref="N763:N765" si="636">IF(AND(F763=""),"",IF(AND(J763=""),"",F763-J763))</f>
        <v/>
      </c>
      <c r="O763" s="9" t="str">
        <f>IF(AND(C763=""),"",N763-P763)</f>
        <v/>
      </c>
      <c r="P763" s="9" t="str">
        <f>IF(AND(Y763=""),"",IF(AND(N763=""),"",ROUND(N763*X$16%,0)))</f>
        <v/>
      </c>
      <c r="Q763" s="9" t="str">
        <f>IF(AND(Y763=""),"",IF(AND(C763=""),"",IF(AND(O763=""),"",SUM(O763,P763))))</f>
        <v/>
      </c>
      <c r="R763" s="9" t="str">
        <f>IF(AND(N763=""),"",IF(AND(Q763=""),"",N763-Q763))</f>
        <v/>
      </c>
      <c r="S763" s="20"/>
      <c r="X763" s="62" t="s">
        <v>62</v>
      </c>
      <c r="Y763" s="65">
        <v>68</v>
      </c>
    </row>
    <row r="764" spans="1:25" ht="21" customHeight="1">
      <c r="A764" s="8">
        <v>2</v>
      </c>
      <c r="B764" s="23">
        <v>44593</v>
      </c>
      <c r="C764" s="9" t="str">
        <f>IF(AND(Y763=""),"",C763)</f>
        <v/>
      </c>
      <c r="D764" s="9" t="str">
        <f>IF(AND(C764=""),"",IF(AND(Y763=""),"",ROUND(C764*Master!C$5%,0)))</f>
        <v/>
      </c>
      <c r="E764" s="9" t="str">
        <f>IF(AND(C764=""),"",IF(AND(Y763=""),"",ROUND(C764*Master!H$5%,0)))</f>
        <v/>
      </c>
      <c r="F764" s="9" t="str">
        <f t="shared" si="632"/>
        <v/>
      </c>
      <c r="G764" s="9" t="str">
        <f>IF(AND(Y763=""),"",G763)</f>
        <v/>
      </c>
      <c r="H764" s="9" t="str">
        <f>IF(AND(G764=""),"",IF(AND(Y763=""),"",ROUND(G764*Master!C$4%,0)))</f>
        <v/>
      </c>
      <c r="I764" s="9" t="str">
        <f>IF(AND(G764=""),"",IF(AND(Y763=""),"",ROUND(G764*Master!H$4%,0)))</f>
        <v/>
      </c>
      <c r="J764" s="9" t="str">
        <f t="shared" si="633"/>
        <v/>
      </c>
      <c r="K764" s="9" t="str">
        <f>IF(AND(C764=""),"",IF(AND(G764=""),"",C764-G764))</f>
        <v/>
      </c>
      <c r="L764" s="9" t="str">
        <f t="shared" ref="L764:L765" si="637">IF(AND(D764=""),"",IF(AND(H764=""),"",D764-H764))</f>
        <v/>
      </c>
      <c r="M764" s="9" t="str">
        <f t="shared" si="635"/>
        <v/>
      </c>
      <c r="N764" s="9" t="str">
        <f t="shared" si="636"/>
        <v/>
      </c>
      <c r="O764" s="9" t="str">
        <f t="shared" ref="O764:O765" si="638">IF(AND(C764=""),"",N764-P764)</f>
        <v/>
      </c>
      <c r="P764" s="9" t="str">
        <f>IF(AND(Y763=""),"",IF(AND(N764=""),"",ROUND(N764*X$16%,0)))</f>
        <v/>
      </c>
      <c r="Q764" s="9" t="str">
        <f>IF(AND(Y763=""),"",IF(AND(C764=""),"",IF(AND(O764=""),"",SUM(O764,P764))))</f>
        <v/>
      </c>
      <c r="R764" s="9" t="str">
        <f t="shared" ref="R764:R765" si="639">IF(AND(N764=""),"",IF(AND(Q764=""),"",N764-Q764))</f>
        <v/>
      </c>
      <c r="S764" s="20"/>
      <c r="X764" s="4" t="str">
        <f>IF(ISNA(VLOOKUP(Y763,Master!A$8:N$127,7,FALSE)),"",VLOOKUP(Y763,Master!A$8:AH$127,7,FALSE))</f>
        <v/>
      </c>
    </row>
    <row r="765" spans="1:25" ht="21" customHeight="1">
      <c r="A765" s="8">
        <v>3</v>
      </c>
      <c r="B765" s="23">
        <v>44621</v>
      </c>
      <c r="C765" s="9" t="str">
        <f>IF(AND(Y763=""),"",C764)</f>
        <v/>
      </c>
      <c r="D765" s="9" t="str">
        <f>IF(AND(C765=""),"",IF(AND(Y763=""),"",ROUND(C765*Master!C$5%,0)))</f>
        <v/>
      </c>
      <c r="E765" s="9" t="str">
        <f>IF(AND(C765=""),"",IF(AND(Y763=""),"",ROUND(C765*Master!H$5%,0)))</f>
        <v/>
      </c>
      <c r="F765" s="9" t="str">
        <f t="shared" si="632"/>
        <v/>
      </c>
      <c r="G765" s="9" t="str">
        <f>IF(AND(Y763=""),"",G764)</f>
        <v/>
      </c>
      <c r="H765" s="9" t="str">
        <f>IF(AND(G765=""),"",IF(AND(Y763=""),"",ROUND(G765*Master!C$4%,0)))</f>
        <v/>
      </c>
      <c r="I765" s="9" t="str">
        <f>IF(AND(G765=""),"",IF(AND(Y763=""),"",ROUND(G765*Master!H$4%,0)))</f>
        <v/>
      </c>
      <c r="J765" s="9" t="str">
        <f t="shared" si="633"/>
        <v/>
      </c>
      <c r="K765" s="9" t="str">
        <f t="shared" ref="K765" si="640">IF(AND(C765=""),"",IF(AND(G765=""),"",C765-G765))</f>
        <v/>
      </c>
      <c r="L765" s="9" t="str">
        <f t="shared" si="637"/>
        <v/>
      </c>
      <c r="M765" s="9" t="str">
        <f t="shared" si="635"/>
        <v/>
      </c>
      <c r="N765" s="9" t="str">
        <f t="shared" si="636"/>
        <v/>
      </c>
      <c r="O765" s="9" t="str">
        <f t="shared" si="638"/>
        <v/>
      </c>
      <c r="P765" s="9" t="str">
        <f>IF(AND(Y763=""),"",IF(AND(N765=""),"",ROUND(N765*X$16%,0)))</f>
        <v/>
      </c>
      <c r="Q765" s="9" t="str">
        <f>IF(AND(Y763=""),"",IF(AND(C765=""),"",IF(AND(O765=""),"",SUM(O765,P765))))</f>
        <v/>
      </c>
      <c r="R765" s="9" t="str">
        <f t="shared" si="639"/>
        <v/>
      </c>
      <c r="S765" s="20"/>
    </row>
    <row r="766" spans="1:25" ht="30.75" customHeight="1">
      <c r="A766" s="108" t="s">
        <v>9</v>
      </c>
      <c r="B766" s="109"/>
      <c r="C766" s="64">
        <f>IF(AND(Y763=""),"",SUM(C763:C765))</f>
        <v>0</v>
      </c>
      <c r="D766" s="64">
        <f>IF(AND(Y763=""),"",SUM(D763:D765))</f>
        <v>0</v>
      </c>
      <c r="E766" s="64">
        <f>IF(AND(Y763=""),"",SUM(E763:E765))</f>
        <v>0</v>
      </c>
      <c r="F766" s="64">
        <f>IF(AND(Y763=""),"",SUM(F763:F765))</f>
        <v>0</v>
      </c>
      <c r="G766" s="64">
        <f>IF(AND(Y763=""),"",SUM(G763:G765))</f>
        <v>0</v>
      </c>
      <c r="H766" s="64">
        <f>IF(AND(Y763=""),"",SUM(H763:H765))</f>
        <v>0</v>
      </c>
      <c r="I766" s="64">
        <f>IF(AND(Y763=""),"",SUM(I763:I765))</f>
        <v>0</v>
      </c>
      <c r="J766" s="64">
        <f>IF(AND(Y763=""),"",SUM(J763:J765))</f>
        <v>0</v>
      </c>
      <c r="K766" s="64">
        <f>IF(AND(Y763=""),"",SUM(K763:K765))</f>
        <v>0</v>
      </c>
      <c r="L766" s="64">
        <f>IF(AND(Y763=""),"",SUM(L763:L765))</f>
        <v>0</v>
      </c>
      <c r="M766" s="64">
        <f>IF(AND(Y763=""),"",SUM(M763:M765))</f>
        <v>0</v>
      </c>
      <c r="N766" s="64">
        <f>IF(AND(Y763=""),"",SUM(N763:N765))</f>
        <v>0</v>
      </c>
      <c r="O766" s="64">
        <f>IF(AND(Y763=""),"",SUM(O763:O765))</f>
        <v>0</v>
      </c>
      <c r="P766" s="64">
        <f>IF(AND(Y763=""),"",SUM(P763:P765))</f>
        <v>0</v>
      </c>
      <c r="Q766" s="64">
        <f>IF(AND(Y763=""),"",SUM(Q763:Q765))</f>
        <v>0</v>
      </c>
      <c r="R766" s="64">
        <f>IF(AND(Y763=""),"",SUM(R763:R765))</f>
        <v>0</v>
      </c>
      <c r="S766" s="50"/>
    </row>
    <row r="767" spans="1:25" ht="11.25" customHeight="1">
      <c r="A767" s="75"/>
      <c r="B767" s="75"/>
      <c r="C767" s="76"/>
      <c r="D767" s="76"/>
      <c r="E767" s="76"/>
      <c r="F767" s="76"/>
      <c r="G767" s="76"/>
      <c r="H767" s="76"/>
      <c r="I767" s="76"/>
      <c r="J767" s="76"/>
      <c r="K767" s="76"/>
      <c r="L767" s="76"/>
      <c r="M767" s="76"/>
      <c r="N767" s="76"/>
      <c r="O767" s="76"/>
      <c r="P767" s="76"/>
      <c r="Q767" s="76"/>
      <c r="R767" s="76"/>
      <c r="S767" s="77"/>
    </row>
    <row r="768" spans="1:25" ht="23.25" customHeight="1">
      <c r="E768" s="116" t="s">
        <v>10</v>
      </c>
      <c r="F768" s="116"/>
      <c r="G768" s="116"/>
      <c r="H768" s="116"/>
      <c r="I768" s="116"/>
      <c r="J768" s="115" t="str">
        <f>IF(ISNA(VLOOKUP(Y770,Master!A$8:N$127,2,FALSE)),"",VLOOKUP(Y770,Master!A$8:AH$127,2,FALSE))</f>
        <v/>
      </c>
      <c r="K768" s="115"/>
      <c r="L768" s="115"/>
      <c r="M768" s="115"/>
      <c r="N768" s="115"/>
      <c r="O768" s="61" t="s">
        <v>31</v>
      </c>
      <c r="P768" s="115" t="str">
        <f>IF(ISNA(VLOOKUP($Y$396,Master!A$8:N$127,3,FALSE)),"",VLOOKUP($Y$396,Master!A$8:AH$127,3,FALSE))</f>
        <v/>
      </c>
      <c r="Q768" s="115"/>
      <c r="R768" s="115"/>
      <c r="S768" s="115"/>
    </row>
    <row r="769" spans="1:27" ht="9" customHeight="1">
      <c r="E769" s="19"/>
      <c r="F769" s="53"/>
      <c r="G769" s="22"/>
      <c r="H769" s="22"/>
      <c r="I769" s="22"/>
      <c r="J769" s="5"/>
      <c r="K769" s="5"/>
      <c r="L769" s="5"/>
      <c r="M769" s="5"/>
      <c r="N769" s="5"/>
      <c r="O769" s="6"/>
      <c r="P769" s="6"/>
    </row>
    <row r="770" spans="1:27" ht="21" customHeight="1">
      <c r="A770" s="8">
        <v>1</v>
      </c>
      <c r="B770" s="23">
        <v>44562</v>
      </c>
      <c r="C770" s="9" t="str">
        <f>IF(ISNA(VLOOKUP(Y770,Master!A$8:N$127,5,FALSE)),"",VLOOKUP(Y770,Master!A$8:AH$127,5,FALSE))</f>
        <v/>
      </c>
      <c r="D770" s="9" t="str">
        <f>IF(AND(C770=""),"",IF(AND(Y770=""),"",ROUND(C770*Master!C$5%,0)))</f>
        <v/>
      </c>
      <c r="E770" s="9" t="str">
        <f>IF(AND(C770=""),"",IF(AND(Y770=""),"",ROUND(C770*Master!H$5%,0)))</f>
        <v/>
      </c>
      <c r="F770" s="9" t="str">
        <f t="shared" ref="F770:F772" si="641">IF(AND(C770=""),"",SUM(C770:E770))</f>
        <v/>
      </c>
      <c r="G770" s="9" t="str">
        <f>IF(ISNA(VLOOKUP(Y770,Master!A$8:N$127,5,FALSE)),"",VLOOKUP(Y770,Master!A$8:AH$127,5,FALSE))</f>
        <v/>
      </c>
      <c r="H770" s="9" t="str">
        <f>IF(AND(G770=""),"",IF(AND(Y770=""),"",ROUND(G770*Master!C$4%,0)))</f>
        <v/>
      </c>
      <c r="I770" s="9" t="str">
        <f>IF(AND(G770=""),"",IF(AND(Y770=""),"",ROUND(G770*Master!H$4%,0)))</f>
        <v/>
      </c>
      <c r="J770" s="9" t="str">
        <f t="shared" ref="J770:J772" si="642">IF(AND(C770=""),"",SUM(G770:I770))</f>
        <v/>
      </c>
      <c r="K770" s="9" t="str">
        <f t="shared" ref="K770:K772" si="643">IF(AND(C770=""),"",IF(AND(G770=""),"",C770-G770))</f>
        <v/>
      </c>
      <c r="L770" s="9" t="str">
        <f t="shared" ref="L770:L772" si="644">IF(AND(D770=""),"",IF(AND(H770=""),"",D770-H770))</f>
        <v/>
      </c>
      <c r="M770" s="9" t="str">
        <f t="shared" ref="M770:M772" si="645">IF(AND(E770=""),"",IF(AND(I770=""),"",E770-I770))</f>
        <v/>
      </c>
      <c r="N770" s="9" t="str">
        <f t="shared" ref="N770:N772" si="646">IF(AND(F770=""),"",IF(AND(J770=""),"",F770-J770))</f>
        <v/>
      </c>
      <c r="O770" s="9" t="str">
        <f>IF(AND(C770=""),"",N770-P770)</f>
        <v/>
      </c>
      <c r="P770" s="9" t="str">
        <f>IF(AND(Y770=""),"",IF(AND(N770=""),"",ROUND(N770*AA$1%,0)))</f>
        <v/>
      </c>
      <c r="Q770" s="9" t="str">
        <f>IF(AND(Y770=""),"",IF(AND(C770=""),"",IF(AND(O770=""),"",SUM(O770,P770))))</f>
        <v/>
      </c>
      <c r="R770" s="9" t="str">
        <f>IF(AND(N770=""),"",IF(AND(Q770=""),"",N770-Q770))</f>
        <v/>
      </c>
      <c r="S770" s="20"/>
      <c r="X770" s="62" t="s">
        <v>62</v>
      </c>
      <c r="Y770" s="65">
        <v>69</v>
      </c>
    </row>
    <row r="771" spans="1:27" ht="21" customHeight="1">
      <c r="A771" s="8">
        <v>2</v>
      </c>
      <c r="B771" s="23">
        <v>44593</v>
      </c>
      <c r="C771" s="9" t="str">
        <f>IF(AND(Y770=""),"",C770)</f>
        <v/>
      </c>
      <c r="D771" s="9" t="str">
        <f>IF(AND(C771=""),"",IF(AND(Y770=""),"",ROUND(C771*Master!C$5%,0)))</f>
        <v/>
      </c>
      <c r="E771" s="9" t="str">
        <f>IF(AND(C771=""),"",IF(AND(Y770=""),"",ROUND(C771*Master!H$5%,0)))</f>
        <v/>
      </c>
      <c r="F771" s="9" t="str">
        <f t="shared" si="641"/>
        <v/>
      </c>
      <c r="G771" s="9" t="str">
        <f>IF(AND(Y770=""),"",G770)</f>
        <v/>
      </c>
      <c r="H771" s="9" t="str">
        <f>IF(AND(G771=""),"",IF(AND(Y770=""),"",ROUND(G771*Master!C$4%,0)))</f>
        <v/>
      </c>
      <c r="I771" s="9" t="str">
        <f>IF(AND(G771=""),"",IF(AND(Y770=""),"",ROUND(G771*Master!H$4%,0)))</f>
        <v/>
      </c>
      <c r="J771" s="9" t="str">
        <f t="shared" si="642"/>
        <v/>
      </c>
      <c r="K771" s="9" t="str">
        <f t="shared" si="643"/>
        <v/>
      </c>
      <c r="L771" s="9" t="str">
        <f t="shared" si="644"/>
        <v/>
      </c>
      <c r="M771" s="9" t="str">
        <f t="shared" si="645"/>
        <v/>
      </c>
      <c r="N771" s="9" t="str">
        <f t="shared" si="646"/>
        <v/>
      </c>
      <c r="O771" s="9" t="str">
        <f t="shared" ref="O771:O772" si="647">IF(AND(C771=""),"",N771-P771)</f>
        <v/>
      </c>
      <c r="P771" s="9" t="str">
        <f>IF(AND(Y770=""),"",IF(AND(N771=""),"",ROUND(N771*AA$1%,0)))</f>
        <v/>
      </c>
      <c r="Q771" s="9" t="str">
        <f>IF(AND(Y770=""),"",IF(AND(C771=""),"",IF(AND(O771=""),"",SUM(O771,P771))))</f>
        <v/>
      </c>
      <c r="R771" s="9" t="str">
        <f t="shared" ref="R771:R772" si="648">IF(AND(N771=""),"",IF(AND(Q771=""),"",N771-Q771))</f>
        <v/>
      </c>
      <c r="S771" s="20"/>
      <c r="X771" s="4" t="str">
        <f>IF(ISNA(VLOOKUP(Y770,Master!A$8:N$127,7,FALSE)),"",VLOOKUP(Y770,Master!A$8:AH$127,7,FALSE))</f>
        <v/>
      </c>
    </row>
    <row r="772" spans="1:27" ht="21" customHeight="1">
      <c r="A772" s="8">
        <v>3</v>
      </c>
      <c r="B772" s="23">
        <v>44621</v>
      </c>
      <c r="C772" s="9" t="str">
        <f>IF(AND(Y770=""),"",C771)</f>
        <v/>
      </c>
      <c r="D772" s="9" t="str">
        <f>IF(AND(C772=""),"",IF(AND(Y770=""),"",ROUND(C772*Master!C$5%,0)))</f>
        <v/>
      </c>
      <c r="E772" s="9" t="str">
        <f>IF(AND(C772=""),"",IF(AND(Y770=""),"",ROUND(C772*Master!H$5%,0)))</f>
        <v/>
      </c>
      <c r="F772" s="9" t="str">
        <f t="shared" si="641"/>
        <v/>
      </c>
      <c r="G772" s="9" t="str">
        <f>IF(AND(Y770=""),"",G771)</f>
        <v/>
      </c>
      <c r="H772" s="9" t="str">
        <f>IF(AND(G772=""),"",IF(AND(Y770=""),"",ROUND(G772*Master!C$4%,0)))</f>
        <v/>
      </c>
      <c r="I772" s="9" t="str">
        <f>IF(AND(G772=""),"",IF(AND(Y770=""),"",ROUND(G772*Master!H$4%,0)))</f>
        <v/>
      </c>
      <c r="J772" s="9" t="str">
        <f t="shared" si="642"/>
        <v/>
      </c>
      <c r="K772" s="9" t="str">
        <f t="shared" si="643"/>
        <v/>
      </c>
      <c r="L772" s="9" t="str">
        <f t="shared" si="644"/>
        <v/>
      </c>
      <c r="M772" s="9" t="str">
        <f t="shared" si="645"/>
        <v/>
      </c>
      <c r="N772" s="9" t="str">
        <f t="shared" si="646"/>
        <v/>
      </c>
      <c r="O772" s="9" t="str">
        <f t="shared" si="647"/>
        <v/>
      </c>
      <c r="P772" s="9" t="str">
        <f>IF(AND(Y770=""),"",IF(AND(N772=""),"",ROUND(N772*AA$1%,0)))</f>
        <v/>
      </c>
      <c r="Q772" s="9" t="str">
        <f>IF(AND(Y770=""),"",IF(AND(C772=""),"",IF(AND(O772=""),"",SUM(O772,P772))))</f>
        <v/>
      </c>
      <c r="R772" s="9" t="str">
        <f t="shared" si="648"/>
        <v/>
      </c>
      <c r="S772" s="20"/>
    </row>
    <row r="773" spans="1:27" ht="30.75" customHeight="1">
      <c r="A773" s="108" t="s">
        <v>9</v>
      </c>
      <c r="B773" s="109"/>
      <c r="C773" s="64">
        <f>IF(AND(Y770=""),"",SUM(C770:C772))</f>
        <v>0</v>
      </c>
      <c r="D773" s="64">
        <f>IF(AND(Y770=""),"",SUM(D770:D772))</f>
        <v>0</v>
      </c>
      <c r="E773" s="64">
        <f>IF(AND(Y770=""),"",SUM(E770:E772))</f>
        <v>0</v>
      </c>
      <c r="F773" s="64">
        <f>IF(AND(Y770=""),"",SUM(F770:F772))</f>
        <v>0</v>
      </c>
      <c r="G773" s="64">
        <f>IF(AND(Y770=""),"",SUM(G770:G772))</f>
        <v>0</v>
      </c>
      <c r="H773" s="64">
        <f>IF(AND(Y770=""),"",SUM(H770:H772))</f>
        <v>0</v>
      </c>
      <c r="I773" s="64">
        <f>IF(AND(Y770=""),"",SUM(I770:I772))</f>
        <v>0</v>
      </c>
      <c r="J773" s="64">
        <f>IF(AND(Y770=""),"",SUM(J770:J772))</f>
        <v>0</v>
      </c>
      <c r="K773" s="64">
        <f>IF(AND(Y770=""),"",SUM(K770:K772))</f>
        <v>0</v>
      </c>
      <c r="L773" s="64">
        <f>IF(AND(Y770=""),"",SUM(L770:L772))</f>
        <v>0</v>
      </c>
      <c r="M773" s="64">
        <f>IF(AND(Y770=""),"",SUM(M770:M772))</f>
        <v>0</v>
      </c>
      <c r="N773" s="64">
        <f>IF(AND(Y770=""),"",SUM(N770:N772))</f>
        <v>0</v>
      </c>
      <c r="O773" s="64">
        <f>IF(AND(Y770=""),"",SUM(O770:O772))</f>
        <v>0</v>
      </c>
      <c r="P773" s="64">
        <f>IF(AND(Y770=""),"",SUM(P770:P772))</f>
        <v>0</v>
      </c>
      <c r="Q773" s="64">
        <f>IF(AND(Y770=""),"",SUM(Q770:Q772))</f>
        <v>0</v>
      </c>
      <c r="R773" s="64">
        <f>IF(AND(Y770=""),"",SUM(R770:R772))</f>
        <v>0</v>
      </c>
      <c r="S773" s="50"/>
    </row>
    <row r="774" spans="1:27" ht="30.75" customHeight="1">
      <c r="A774" s="75"/>
      <c r="B774" s="75"/>
      <c r="C774" s="76"/>
      <c r="D774" s="76"/>
      <c r="E774" s="76"/>
      <c r="F774" s="76"/>
      <c r="G774" s="76"/>
      <c r="H774" s="76"/>
      <c r="I774" s="76"/>
      <c r="J774" s="76"/>
      <c r="K774" s="76"/>
      <c r="L774" s="76"/>
      <c r="M774" s="76"/>
      <c r="N774" s="76"/>
      <c r="O774" s="76"/>
      <c r="P774" s="76"/>
      <c r="Q774" s="76"/>
      <c r="R774" s="76"/>
      <c r="S774" s="77"/>
    </row>
    <row r="775" spans="1:27" ht="18.75">
      <c r="A775" s="21"/>
      <c r="B775" s="59"/>
      <c r="C775" s="59"/>
      <c r="D775" s="59"/>
      <c r="E775" s="59"/>
      <c r="F775" s="59"/>
      <c r="G775" s="59"/>
      <c r="H775" s="60"/>
      <c r="I775" s="60"/>
      <c r="J775" s="60"/>
      <c r="K775" s="68"/>
      <c r="L775" s="68"/>
      <c r="M775" s="68"/>
      <c r="N775" s="68"/>
      <c r="O775" s="107" t="s">
        <v>55</v>
      </c>
      <c r="P775" s="107"/>
      <c r="Q775" s="107"/>
      <c r="R775" s="107"/>
      <c r="S775" s="107"/>
    </row>
    <row r="776" spans="1:27" ht="18.75">
      <c r="A776" s="1"/>
      <c r="B776" s="24" t="s">
        <v>19</v>
      </c>
      <c r="C776" s="118"/>
      <c r="D776" s="118"/>
      <c r="E776" s="118"/>
      <c r="F776" s="118"/>
      <c r="G776" s="118"/>
      <c r="H776" s="25"/>
      <c r="I776" s="121" t="s">
        <v>20</v>
      </c>
      <c r="J776" s="121"/>
      <c r="K776" s="120"/>
      <c r="L776" s="120"/>
      <c r="M776" s="120"/>
      <c r="O776" s="107"/>
      <c r="P776" s="107"/>
      <c r="Q776" s="107"/>
      <c r="R776" s="107"/>
      <c r="S776" s="107"/>
    </row>
    <row r="777" spans="1:27" ht="18.75">
      <c r="A777" s="1"/>
      <c r="B777" s="119" t="s">
        <v>21</v>
      </c>
      <c r="C777" s="119"/>
      <c r="D777" s="119"/>
      <c r="E777" s="119"/>
      <c r="F777" s="119"/>
      <c r="G777" s="119"/>
      <c r="H777" s="119"/>
      <c r="I777" s="27"/>
      <c r="J777" s="26"/>
      <c r="K777" s="26"/>
      <c r="L777" s="26"/>
      <c r="M777" s="26"/>
    </row>
    <row r="778" spans="1:27" ht="18.75">
      <c r="A778" s="22">
        <v>1</v>
      </c>
      <c r="B778" s="117" t="s">
        <v>22</v>
      </c>
      <c r="C778" s="117"/>
      <c r="D778" s="117"/>
      <c r="E778" s="117"/>
      <c r="F778" s="117"/>
      <c r="G778" s="117"/>
      <c r="H778" s="117"/>
      <c r="I778" s="28"/>
      <c r="J778" s="26"/>
      <c r="K778" s="26"/>
      <c r="L778" s="26"/>
      <c r="M778" s="26"/>
    </row>
    <row r="779" spans="1:27" ht="18.75">
      <c r="A779" s="2">
        <v>2</v>
      </c>
      <c r="B779" s="117" t="s">
        <v>23</v>
      </c>
      <c r="C779" s="117"/>
      <c r="D779" s="117"/>
      <c r="E779" s="117"/>
      <c r="F779" s="117"/>
      <c r="G779" s="115"/>
      <c r="H779" s="115"/>
      <c r="I779" s="115"/>
      <c r="J779" s="115"/>
      <c r="K779" s="115"/>
      <c r="L779" s="115"/>
      <c r="M779" s="115"/>
    </row>
    <row r="780" spans="1:27" ht="18.75">
      <c r="A780" s="3">
        <v>3</v>
      </c>
      <c r="B780" s="117" t="s">
        <v>24</v>
      </c>
      <c r="C780" s="117"/>
      <c r="D780" s="117"/>
      <c r="E780" s="29"/>
      <c r="F780" s="28"/>
      <c r="G780" s="28"/>
      <c r="H780" s="30"/>
      <c r="I780" s="31"/>
      <c r="J780" s="26"/>
      <c r="K780" s="26"/>
      <c r="L780" s="26"/>
      <c r="M780" s="26"/>
    </row>
    <row r="781" spans="1:27" ht="15.75">
      <c r="O781" s="107" t="s">
        <v>55</v>
      </c>
      <c r="P781" s="107"/>
      <c r="Q781" s="107"/>
      <c r="R781" s="107"/>
      <c r="S781" s="107"/>
    </row>
    <row r="783" spans="1:27" ht="18" customHeight="1">
      <c r="A783" s="122" t="str">
        <f>A749</f>
        <v xml:space="preserve">DA (38%) Drawn Statement  </v>
      </c>
      <c r="B783" s="122"/>
      <c r="C783" s="122"/>
      <c r="D783" s="122"/>
      <c r="E783" s="122"/>
      <c r="F783" s="122"/>
      <c r="G783" s="122"/>
      <c r="H783" s="122"/>
      <c r="I783" s="122"/>
      <c r="J783" s="122"/>
      <c r="K783" s="122"/>
      <c r="L783" s="122"/>
      <c r="M783" s="122"/>
      <c r="N783" s="122"/>
      <c r="O783" s="122"/>
      <c r="P783" s="122"/>
      <c r="Q783" s="122"/>
      <c r="R783" s="122"/>
      <c r="S783" s="122"/>
      <c r="W783" s="4">
        <f>IF(ISNA(VLOOKUP($Y$3,Master!A$8:N$127,4,FALSE)),"",VLOOKUP($Y$3,Master!A$8:AH$127,4,FALSE))</f>
        <v>3</v>
      </c>
      <c r="X783" s="4" t="str">
        <f>IF(ISNA(VLOOKUP($Y$3,Master!A$8:N$127,6,FALSE)),"",VLOOKUP($Y$3,Master!A$8:AH$127,6,FALSE))</f>
        <v>GPF</v>
      </c>
      <c r="Y783" s="4" t="s">
        <v>58</v>
      </c>
      <c r="Z783" s="4" t="s">
        <v>18</v>
      </c>
      <c r="AA783" s="4" t="str">
        <f>IF(ISNA(VLOOKUP(Y785,Master!A$8:N$127,7,FALSE)),"",VLOOKUP(Y785,Master!A$8:AH$127,7,FALSE))</f>
        <v/>
      </c>
    </row>
    <row r="784" spans="1:27" ht="18">
      <c r="A784" s="114" t="str">
        <f>IF(AND(Master!C785=""),"",CONCATENATE("Office Of  ",Master!C785))</f>
        <v/>
      </c>
      <c r="B784" s="114"/>
      <c r="C784" s="114"/>
      <c r="D784" s="114"/>
      <c r="E784" s="114"/>
      <c r="F784" s="114"/>
      <c r="G784" s="114"/>
      <c r="H784" s="114"/>
      <c r="I784" s="114"/>
      <c r="J784" s="114"/>
      <c r="K784" s="114"/>
      <c r="L784" s="114"/>
      <c r="M784" s="114"/>
      <c r="N784" s="114"/>
      <c r="O784" s="114"/>
      <c r="P784" s="114"/>
      <c r="Q784" s="114"/>
      <c r="R784" s="114"/>
      <c r="S784" s="114"/>
      <c r="X784" s="4">
        <f>IF(ISNA(VLOOKUP($Y$3,Master!A$8:N$127,8,FALSE)),"",VLOOKUP($Y$3,Master!A$8:AH$127,8,FALSE))</f>
        <v>44743</v>
      </c>
      <c r="Y784" s="4" t="s">
        <v>56</v>
      </c>
    </row>
    <row r="785" spans="1:25" ht="18.75">
      <c r="E785" s="116" t="s">
        <v>10</v>
      </c>
      <c r="F785" s="116"/>
      <c r="G785" s="116"/>
      <c r="H785" s="116"/>
      <c r="I785" s="116"/>
      <c r="J785" s="115" t="str">
        <f>IF(ISNA(VLOOKUP(Y785,Master!A$8:N$127,2,FALSE)),"",VLOOKUP(Y785,Master!A$8:AH$127,2,FALSE))</f>
        <v/>
      </c>
      <c r="K785" s="115"/>
      <c r="L785" s="115"/>
      <c r="M785" s="115"/>
      <c r="N785" s="115"/>
      <c r="O785" s="61" t="s">
        <v>31</v>
      </c>
      <c r="P785" s="115" t="str">
        <f>IF(ISNA(VLOOKUP(Y785,Master!A$8:N$127,3,FALSE)),"",VLOOKUP(Y785,Master!A$8:AH$127,3,FALSE))</f>
        <v/>
      </c>
      <c r="Q785" s="115"/>
      <c r="R785" s="115"/>
      <c r="S785" s="115"/>
      <c r="X785" s="62" t="s">
        <v>62</v>
      </c>
      <c r="Y785" s="65">
        <v>70</v>
      </c>
    </row>
    <row r="786" spans="1:25" ht="8.25" customHeight="1">
      <c r="E786" s="19"/>
      <c r="F786" s="53"/>
      <c r="G786" s="22"/>
      <c r="H786" s="22"/>
      <c r="I786" s="22"/>
      <c r="J786" s="5"/>
      <c r="K786" s="5"/>
      <c r="L786" s="5"/>
      <c r="M786" s="5"/>
      <c r="N786" s="5"/>
      <c r="O786" s="6"/>
      <c r="P786" s="6"/>
    </row>
    <row r="787" spans="1:25" ht="24.75" customHeight="1">
      <c r="A787" s="110" t="s">
        <v>0</v>
      </c>
      <c r="B787" s="111" t="s">
        <v>3</v>
      </c>
      <c r="C787" s="112" t="s">
        <v>5</v>
      </c>
      <c r="D787" s="112"/>
      <c r="E787" s="112"/>
      <c r="F787" s="112"/>
      <c r="G787" s="112" t="s">
        <v>6</v>
      </c>
      <c r="H787" s="112"/>
      <c r="I787" s="112"/>
      <c r="J787" s="112"/>
      <c r="K787" s="112" t="s">
        <v>7</v>
      </c>
      <c r="L787" s="112"/>
      <c r="M787" s="112"/>
      <c r="N787" s="112"/>
      <c r="O787" s="97" t="s">
        <v>8</v>
      </c>
      <c r="P787" s="98"/>
      <c r="Q787" s="99"/>
      <c r="R787" s="105" t="s">
        <v>67</v>
      </c>
      <c r="S787" s="105" t="s">
        <v>50</v>
      </c>
    </row>
    <row r="788" spans="1:25" ht="69" customHeight="1">
      <c r="A788" s="110"/>
      <c r="B788" s="111"/>
      <c r="C788" s="55" t="s">
        <v>29</v>
      </c>
      <c r="D788" s="56" t="s">
        <v>1</v>
      </c>
      <c r="E788" s="57" t="s">
        <v>2</v>
      </c>
      <c r="F788" s="55" t="s">
        <v>59</v>
      </c>
      <c r="G788" s="55" t="s">
        <v>29</v>
      </c>
      <c r="H788" s="56" t="s">
        <v>1</v>
      </c>
      <c r="I788" s="57" t="s">
        <v>2</v>
      </c>
      <c r="J788" s="55" t="s">
        <v>60</v>
      </c>
      <c r="K788" s="55" t="s">
        <v>4</v>
      </c>
      <c r="L788" s="56" t="s">
        <v>1</v>
      </c>
      <c r="M788" s="57" t="s">
        <v>2</v>
      </c>
      <c r="N788" s="58" t="s">
        <v>61</v>
      </c>
      <c r="O788" s="54" t="s">
        <v>83</v>
      </c>
      <c r="P788" s="67" t="s">
        <v>51</v>
      </c>
      <c r="Q788" s="58" t="s">
        <v>66</v>
      </c>
      <c r="R788" s="105"/>
      <c r="S788" s="105"/>
    </row>
    <row r="789" spans="1:25" ht="18" customHeight="1">
      <c r="A789" s="7">
        <v>1</v>
      </c>
      <c r="B789" s="7">
        <v>2</v>
      </c>
      <c r="C789" s="7">
        <v>3</v>
      </c>
      <c r="D789" s="7">
        <v>4</v>
      </c>
      <c r="E789" s="7">
        <v>5</v>
      </c>
      <c r="F789" s="7">
        <v>6</v>
      </c>
      <c r="G789" s="7">
        <v>7</v>
      </c>
      <c r="H789" s="7">
        <v>8</v>
      </c>
      <c r="I789" s="7">
        <v>9</v>
      </c>
      <c r="J789" s="7">
        <v>10</v>
      </c>
      <c r="K789" s="7">
        <v>11</v>
      </c>
      <c r="L789" s="7">
        <v>12</v>
      </c>
      <c r="M789" s="7">
        <v>13</v>
      </c>
      <c r="N789" s="7">
        <v>14</v>
      </c>
      <c r="O789" s="7">
        <v>15</v>
      </c>
      <c r="P789" s="7">
        <v>17</v>
      </c>
      <c r="Q789" s="7">
        <v>18</v>
      </c>
      <c r="R789" s="7">
        <v>19</v>
      </c>
      <c r="S789" s="7">
        <v>20</v>
      </c>
    </row>
    <row r="790" spans="1:25" ht="21" customHeight="1">
      <c r="A790" s="8">
        <v>1</v>
      </c>
      <c r="B790" s="23">
        <v>44562</v>
      </c>
      <c r="C790" s="9" t="str">
        <f>IF(ISNA(VLOOKUP(Y785,Master!A$8:N$127,5,FALSE)),"",VLOOKUP(Y785,Master!A$8:AH$127,5,FALSE))</f>
        <v/>
      </c>
      <c r="D790" s="9" t="str">
        <f>IF(AND(C790=""),"",IF(AND(Y785=""),"",ROUND(C790*Master!C$5%,0)))</f>
        <v/>
      </c>
      <c r="E790" s="9" t="str">
        <f>IF(AND(C790=""),"",IF(AND(Y785=""),"",ROUND(C790*Master!H$5%,0)))</f>
        <v/>
      </c>
      <c r="F790" s="9" t="str">
        <f t="shared" ref="F790" si="649">IF(AND(C790=""),"",SUM(C790:E790))</f>
        <v/>
      </c>
      <c r="G790" s="9" t="str">
        <f>IF(ISNA(VLOOKUP(Y785,Master!A$8:N$127,5,FALSE)),"",VLOOKUP(Y785,Master!A$8:AH$127,5,FALSE))</f>
        <v/>
      </c>
      <c r="H790" s="9" t="str">
        <f>IF(AND(G790=""),"",IF(AND(Y785=""),"",ROUND(G790*Master!C$4%,0)))</f>
        <v/>
      </c>
      <c r="I790" s="9" t="str">
        <f>IF(AND(G790=""),"",IF(AND(Y785=""),"",ROUND(G790*Master!H$4%,0)))</f>
        <v/>
      </c>
      <c r="J790" s="9" t="str">
        <f t="shared" ref="J790:J791" si="650">IF(AND(C790=""),"",SUM(G790:I790))</f>
        <v/>
      </c>
      <c r="K790" s="9" t="str">
        <f t="shared" ref="K790:K792" si="651">IF(AND(C790=""),"",IF(AND(G790=""),"",C790-G790))</f>
        <v/>
      </c>
      <c r="L790" s="9" t="str">
        <f t="shared" ref="L790:L792" si="652">IF(AND(D790=""),"",IF(AND(H790=""),"",D790-H790))</f>
        <v/>
      </c>
      <c r="M790" s="9" t="str">
        <f t="shared" ref="M790:M791" si="653">IF(AND(E790=""),"",IF(AND(I790=""),"",E790-I790))</f>
        <v/>
      </c>
      <c r="N790" s="9" t="str">
        <f t="shared" ref="N790:N791" si="654">IF(AND(F790=""),"",IF(AND(J790=""),"",F790-J790))</f>
        <v/>
      </c>
      <c r="O790" s="9" t="str">
        <f>IF(AND(C790=""),"",N790-P790)</f>
        <v/>
      </c>
      <c r="P790" s="9" t="str">
        <f>IF(AND(Y785=""),"",IF(AND(N790=""),"",ROUND(N790*AA$1%,0)))</f>
        <v/>
      </c>
      <c r="Q790" s="9" t="str">
        <f>IF(AND(Y785=""),"",IF(AND(C790=""),"",IF(AND(O790=""),"",SUM(O790,P790))))</f>
        <v/>
      </c>
      <c r="R790" s="9" t="str">
        <f>IF(AND(N790=""),"",IF(AND(Q790=""),"",N790-Q790))</f>
        <v/>
      </c>
      <c r="S790" s="20"/>
    </row>
    <row r="791" spans="1:25" ht="21" customHeight="1">
      <c r="A791" s="8">
        <v>2</v>
      </c>
      <c r="B791" s="23">
        <v>44593</v>
      </c>
      <c r="C791" s="9" t="str">
        <f>IF(AND(Y785=""),"",C790)</f>
        <v/>
      </c>
      <c r="D791" s="9" t="str">
        <f>IF(AND(C791=""),"",IF(AND(Y785=""),"",ROUND(C791*Master!C$5%,0)))</f>
        <v/>
      </c>
      <c r="E791" s="9" t="str">
        <f>IF(AND(C791=""),"",IF(AND(Y785=""),"",ROUND(C791*Master!H$5%,0)))</f>
        <v/>
      </c>
      <c r="F791" s="9" t="str">
        <f>IF(AND(C791=""),"",SUM(C791:E791))</f>
        <v/>
      </c>
      <c r="G791" s="9" t="str">
        <f>IF(AND(Y785=""),"",G790)</f>
        <v/>
      </c>
      <c r="H791" s="9" t="str">
        <f>IF(AND(G791=""),"",IF(AND(Y785=""),"",ROUND(G791*Master!C$4%,0)))</f>
        <v/>
      </c>
      <c r="I791" s="9" t="str">
        <f>IF(AND(G791=""),"",IF(AND(Y785=""),"",ROUND(G791*Master!H$4%,0)))</f>
        <v/>
      </c>
      <c r="J791" s="9" t="str">
        <f t="shared" si="650"/>
        <v/>
      </c>
      <c r="K791" s="9" t="str">
        <f t="shared" si="651"/>
        <v/>
      </c>
      <c r="L791" s="9" t="str">
        <f t="shared" si="652"/>
        <v/>
      </c>
      <c r="M791" s="9" t="str">
        <f t="shared" si="653"/>
        <v/>
      </c>
      <c r="N791" s="9" t="str">
        <f t="shared" si="654"/>
        <v/>
      </c>
      <c r="O791" s="9" t="str">
        <f t="shared" ref="O791:O792" si="655">IF(AND(C791=""),"",N791-P791)</f>
        <v/>
      </c>
      <c r="P791" s="9" t="str">
        <f>IF(AND(Y785=""),"",IF(AND(N791=""),"",ROUND(N791*AA$1%,0)))</f>
        <v/>
      </c>
      <c r="Q791" s="9" t="str">
        <f>IF(AND(Y785=""),"",IF(AND(C791=""),"",IF(AND(O791=""),"",SUM(O791,P791))))</f>
        <v/>
      </c>
      <c r="R791" s="9" t="str">
        <f t="shared" ref="R791:R792" si="656">IF(AND(N791=""),"",IF(AND(Q791=""),"",N791-Q791))</f>
        <v/>
      </c>
      <c r="S791" s="20"/>
    </row>
    <row r="792" spans="1:25" ht="21" customHeight="1">
      <c r="A792" s="8">
        <v>3</v>
      </c>
      <c r="B792" s="23">
        <v>44621</v>
      </c>
      <c r="C792" s="9" t="str">
        <f>IF(AND(Y785=""),"",C791)</f>
        <v/>
      </c>
      <c r="D792" s="9" t="str">
        <f>IF(AND(C792=""),"",IF(AND(Y785=""),"",ROUND(C792*Master!C$5%,0)))</f>
        <v/>
      </c>
      <c r="E792" s="9" t="str">
        <f>IF(AND(C792=""),"",IF(AND(Y785=""),"",ROUND(C792*Master!H$5%,0)))</f>
        <v/>
      </c>
      <c r="F792" s="9" t="str">
        <f t="shared" ref="F792" si="657">IF(AND(C792=""),"",SUM(C792:E792))</f>
        <v/>
      </c>
      <c r="G792" s="9" t="str">
        <f>IF(AND(Y785=""),"",G791)</f>
        <v/>
      </c>
      <c r="H792" s="9" t="str">
        <f>IF(AND(G792=""),"",IF(AND(Y785=""),"",ROUND(G792*Master!C$4%,0)))</f>
        <v/>
      </c>
      <c r="I792" s="9" t="str">
        <f>IF(AND(G792=""),"",IF(AND(Y785=""),"",ROUND(G792*Master!H$4%,0)))</f>
        <v/>
      </c>
      <c r="J792" s="9" t="str">
        <f>IF(AND(C792=""),"",SUM(G792:I792))</f>
        <v/>
      </c>
      <c r="K792" s="9" t="str">
        <f t="shared" si="651"/>
        <v/>
      </c>
      <c r="L792" s="9" t="str">
        <f t="shared" si="652"/>
        <v/>
      </c>
      <c r="M792" s="9" t="str">
        <f>IF(AND(E792=""),"",IF(AND(I792=""),"",E792-I792))</f>
        <v/>
      </c>
      <c r="N792" s="9" t="str">
        <f>IF(AND(F792=""),"",IF(AND(J792=""),"",F792-J792))</f>
        <v/>
      </c>
      <c r="O792" s="9" t="str">
        <f t="shared" si="655"/>
        <v/>
      </c>
      <c r="P792" s="9" t="str">
        <f>IF(AND(Y785=""),"",IF(AND(N792=""),"",ROUND(N792*AA$1%,0)))</f>
        <v/>
      </c>
      <c r="Q792" s="9" t="str">
        <f>IF(AND(Y785=""),"",IF(AND(C792=""),"",IF(AND(O792=""),"",SUM(O792,P792))))</f>
        <v/>
      </c>
      <c r="R792" s="9" t="str">
        <f t="shared" si="656"/>
        <v/>
      </c>
      <c r="S792" s="20"/>
    </row>
    <row r="793" spans="1:25" ht="23.25" customHeight="1">
      <c r="A793" s="108" t="s">
        <v>9</v>
      </c>
      <c r="B793" s="109"/>
      <c r="C793" s="64">
        <f>IF(AND(Y785=""),"",SUM(C790:C792))</f>
        <v>0</v>
      </c>
      <c r="D793" s="64">
        <f>IF(AND(Y785=""),"",SUM(D790:D792))</f>
        <v>0</v>
      </c>
      <c r="E793" s="64">
        <f>IF(AND(Y785=""),"",SUM(E790:E792))</f>
        <v>0</v>
      </c>
      <c r="F793" s="64">
        <f>IF(AND(Y785=""),"",SUM(F790:F792))</f>
        <v>0</v>
      </c>
      <c r="G793" s="64">
        <f>IF(AND(Y785=""),"",SUM(G790:G792))</f>
        <v>0</v>
      </c>
      <c r="H793" s="64">
        <f>IF(AND(Y785=""),"",SUM(H790:H792))</f>
        <v>0</v>
      </c>
      <c r="I793" s="64">
        <f>IF(AND(Y785=""),"",SUM(I790:I792))</f>
        <v>0</v>
      </c>
      <c r="J793" s="64">
        <f>IF(AND(Y785=""),"",SUM(J790:J792))</f>
        <v>0</v>
      </c>
      <c r="K793" s="64">
        <f>IF(AND(Y785=""),"",SUM(K790:K792))</f>
        <v>0</v>
      </c>
      <c r="L793" s="64">
        <f>IF(AND(Y785=""),"",SUM(L790:L792))</f>
        <v>0</v>
      </c>
      <c r="M793" s="64">
        <f>IF(AND(Y785=""),"",SUM(M790:M792))</f>
        <v>0</v>
      </c>
      <c r="N793" s="64">
        <f>IF(AND(Y785=""),"",SUM(N790:N792))</f>
        <v>0</v>
      </c>
      <c r="O793" s="64">
        <f>IF(AND(Y785=""),"",SUM(O790:O792))</f>
        <v>0</v>
      </c>
      <c r="P793" s="64">
        <f>IF(AND(Y785=""),"",SUM(P790:P792))</f>
        <v>0</v>
      </c>
      <c r="Q793" s="64">
        <f>IF(AND(Y785=""),"",SUM(Q790:Q792))</f>
        <v>0</v>
      </c>
      <c r="R793" s="64">
        <f>IF(AND(Y785=""),"",SUM(R790:R792))</f>
        <v>0</v>
      </c>
      <c r="S793" s="50"/>
    </row>
    <row r="794" spans="1:25" ht="10.5" customHeight="1">
      <c r="A794" s="75"/>
      <c r="B794" s="75"/>
      <c r="C794" s="76"/>
      <c r="D794" s="76"/>
      <c r="E794" s="76"/>
      <c r="F794" s="76"/>
      <c r="G794" s="76"/>
      <c r="H794" s="76"/>
      <c r="I794" s="76"/>
      <c r="J794" s="76"/>
      <c r="K794" s="76"/>
      <c r="L794" s="76"/>
      <c r="M794" s="76"/>
      <c r="N794" s="76"/>
      <c r="O794" s="76"/>
      <c r="P794" s="76"/>
      <c r="Q794" s="76"/>
      <c r="R794" s="76"/>
      <c r="S794" s="77"/>
    </row>
    <row r="795" spans="1:25" ht="23.25" customHeight="1">
      <c r="E795" s="116" t="s">
        <v>10</v>
      </c>
      <c r="F795" s="116"/>
      <c r="G795" s="116"/>
      <c r="H795" s="116"/>
      <c r="I795" s="116"/>
      <c r="J795" s="115" t="str">
        <f>IF(ISNA(VLOOKUP(Y797,Master!A$8:N$127,2,FALSE)),"",VLOOKUP(Y797,Master!A$8:AH$127,2,FALSE))</f>
        <v/>
      </c>
      <c r="K795" s="115"/>
      <c r="L795" s="115"/>
      <c r="M795" s="115"/>
      <c r="N795" s="115"/>
      <c r="O795" s="61" t="s">
        <v>31</v>
      </c>
      <c r="P795" s="115" t="str">
        <f>IF(ISNA(VLOOKUP(Y797,Master!A$8:N$127,3,FALSE)),"",VLOOKUP(Y797,Master!A$8:AH$127,3,FALSE))</f>
        <v/>
      </c>
      <c r="Q795" s="115"/>
      <c r="R795" s="115"/>
      <c r="S795" s="115"/>
    </row>
    <row r="796" spans="1:25" ht="9" customHeight="1">
      <c r="E796" s="19"/>
      <c r="F796" s="53"/>
      <c r="G796" s="22"/>
      <c r="H796" s="22"/>
      <c r="I796" s="22"/>
      <c r="J796" s="5"/>
      <c r="K796" s="5"/>
      <c r="L796" s="5"/>
      <c r="M796" s="5"/>
      <c r="N796" s="5"/>
      <c r="O796" s="6"/>
      <c r="P796" s="6"/>
    </row>
    <row r="797" spans="1:25" ht="21" customHeight="1">
      <c r="A797" s="8">
        <v>1</v>
      </c>
      <c r="B797" s="23">
        <v>44562</v>
      </c>
      <c r="C797" s="9" t="str">
        <f>IF(ISNA(VLOOKUP(Y797,Master!A$8:N$127,5,FALSE)),"",VLOOKUP(Y797,Master!A$8:AH$127,5,FALSE))</f>
        <v/>
      </c>
      <c r="D797" s="9" t="str">
        <f>IF(AND(C797=""),"",IF(AND(Y797=""),"",ROUND(C797*Master!C$5%,0)))</f>
        <v/>
      </c>
      <c r="E797" s="9" t="str">
        <f>IF(AND(C797=""),"",IF(AND(Y797=""),"",ROUND(C797*Master!H$5%,0)))</f>
        <v/>
      </c>
      <c r="F797" s="9" t="str">
        <f t="shared" ref="F797:F799" si="658">IF(AND(C797=""),"",SUM(C797:E797))</f>
        <v/>
      </c>
      <c r="G797" s="9" t="str">
        <f>IF(ISNA(VLOOKUP(Y797,Master!A$8:N$127,5,FALSE)),"",VLOOKUP(Y797,Master!A$8:AH$127,5,FALSE))</f>
        <v/>
      </c>
      <c r="H797" s="9" t="str">
        <f>IF(AND(G797=""),"",IF(AND(Y797=""),"",ROUND(G797*Master!C$4%,0)))</f>
        <v/>
      </c>
      <c r="I797" s="9" t="str">
        <f>IF(AND(G797=""),"",IF(AND(Y797=""),"",ROUND(G797*Master!H$4%,0)))</f>
        <v/>
      </c>
      <c r="J797" s="9" t="str">
        <f t="shared" ref="J797:J799" si="659">IF(AND(C797=""),"",SUM(G797:I797))</f>
        <v/>
      </c>
      <c r="K797" s="9" t="str">
        <f t="shared" ref="K797" si="660">IF(AND(C797=""),"",IF(AND(G797=""),"",C797-G797))</f>
        <v/>
      </c>
      <c r="L797" s="9" t="str">
        <f>IF(AND(D797=""),"",IF(AND(H797=""),"",D797-H797))</f>
        <v/>
      </c>
      <c r="M797" s="9" t="str">
        <f t="shared" ref="M797:M799" si="661">IF(AND(E797=""),"",IF(AND(I797=""),"",E797-I797))</f>
        <v/>
      </c>
      <c r="N797" s="9" t="str">
        <f t="shared" ref="N797:N799" si="662">IF(AND(F797=""),"",IF(AND(J797=""),"",F797-J797))</f>
        <v/>
      </c>
      <c r="O797" s="9" t="str">
        <f>IF(AND(C797=""),"",N797-P797)</f>
        <v/>
      </c>
      <c r="P797" s="9" t="str">
        <f>IF(AND(Y797=""),"",IF(AND(N797=""),"",ROUND(N797*X$16%,0)))</f>
        <v/>
      </c>
      <c r="Q797" s="9" t="str">
        <f>IF(AND(Y797=""),"",IF(AND(C797=""),"",IF(AND(O797=""),"",SUM(O797,P797))))</f>
        <v/>
      </c>
      <c r="R797" s="9" t="str">
        <f>IF(AND(N797=""),"",IF(AND(Q797=""),"",N797-Q797))</f>
        <v/>
      </c>
      <c r="S797" s="20"/>
      <c r="X797" s="62" t="s">
        <v>62</v>
      </c>
      <c r="Y797" s="65">
        <v>71</v>
      </c>
    </row>
    <row r="798" spans="1:25" ht="21" customHeight="1">
      <c r="A798" s="8">
        <v>2</v>
      </c>
      <c r="B798" s="23">
        <v>44593</v>
      </c>
      <c r="C798" s="9" t="str">
        <f>IF(AND(Y797=""),"",C797)</f>
        <v/>
      </c>
      <c r="D798" s="9" t="str">
        <f>IF(AND(C798=""),"",IF(AND(Y797=""),"",ROUND(C798*Master!C$5%,0)))</f>
        <v/>
      </c>
      <c r="E798" s="9" t="str">
        <f>IF(AND(C798=""),"",IF(AND(Y797=""),"",ROUND(C798*Master!H$5%,0)))</f>
        <v/>
      </c>
      <c r="F798" s="9" t="str">
        <f t="shared" si="658"/>
        <v/>
      </c>
      <c r="G798" s="9" t="str">
        <f>IF(AND(Y797=""),"",G797)</f>
        <v/>
      </c>
      <c r="H798" s="9" t="str">
        <f>IF(AND(G798=""),"",IF(AND(Y797=""),"",ROUND(G798*Master!C$4%,0)))</f>
        <v/>
      </c>
      <c r="I798" s="9" t="str">
        <f>IF(AND(G798=""),"",IF(AND(Y797=""),"",ROUND(G798*Master!H$4%,0)))</f>
        <v/>
      </c>
      <c r="J798" s="9" t="str">
        <f t="shared" si="659"/>
        <v/>
      </c>
      <c r="K798" s="9" t="str">
        <f>IF(AND(C798=""),"",IF(AND(G798=""),"",C798-G798))</f>
        <v/>
      </c>
      <c r="L798" s="9" t="str">
        <f t="shared" ref="L798:L799" si="663">IF(AND(D798=""),"",IF(AND(H798=""),"",D798-H798))</f>
        <v/>
      </c>
      <c r="M798" s="9" t="str">
        <f t="shared" si="661"/>
        <v/>
      </c>
      <c r="N798" s="9" t="str">
        <f t="shared" si="662"/>
        <v/>
      </c>
      <c r="O798" s="9" t="str">
        <f t="shared" ref="O798:O799" si="664">IF(AND(C798=""),"",N798-P798)</f>
        <v/>
      </c>
      <c r="P798" s="9" t="str">
        <f>IF(AND(Y797=""),"",IF(AND(N798=""),"",ROUND(N798*X$16%,0)))</f>
        <v/>
      </c>
      <c r="Q798" s="9" t="str">
        <f>IF(AND(Y797=""),"",IF(AND(C798=""),"",IF(AND(O798=""),"",SUM(O798,P798))))</f>
        <v/>
      </c>
      <c r="R798" s="9" t="str">
        <f t="shared" ref="R798:R799" si="665">IF(AND(N798=""),"",IF(AND(Q798=""),"",N798-Q798))</f>
        <v/>
      </c>
      <c r="S798" s="20"/>
      <c r="X798" s="4" t="str">
        <f>IF(ISNA(VLOOKUP(Y797,Master!A$8:N$127,7,FALSE)),"",VLOOKUP(Y797,Master!A$8:AH$127,7,FALSE))</f>
        <v/>
      </c>
    </row>
    <row r="799" spans="1:25" ht="21" customHeight="1">
      <c r="A799" s="8">
        <v>3</v>
      </c>
      <c r="B799" s="23">
        <v>44621</v>
      </c>
      <c r="C799" s="9" t="str">
        <f>IF(AND(Y797=""),"",C798)</f>
        <v/>
      </c>
      <c r="D799" s="9" t="str">
        <f>IF(AND(C799=""),"",IF(AND(Y797=""),"",ROUND(C799*Master!C$5%,0)))</f>
        <v/>
      </c>
      <c r="E799" s="9" t="str">
        <f>IF(AND(C799=""),"",IF(AND(Y797=""),"",ROUND(C799*Master!H$5%,0)))</f>
        <v/>
      </c>
      <c r="F799" s="9" t="str">
        <f t="shared" si="658"/>
        <v/>
      </c>
      <c r="G799" s="9" t="str">
        <f>IF(AND(Y797=""),"",G798)</f>
        <v/>
      </c>
      <c r="H799" s="9" t="str">
        <f>IF(AND(G799=""),"",IF(AND(Y797=""),"",ROUND(G799*Master!C$4%,0)))</f>
        <v/>
      </c>
      <c r="I799" s="9" t="str">
        <f>IF(AND(G799=""),"",IF(AND(Y797=""),"",ROUND(G799*Master!H$4%,0)))</f>
        <v/>
      </c>
      <c r="J799" s="9" t="str">
        <f t="shared" si="659"/>
        <v/>
      </c>
      <c r="K799" s="9" t="str">
        <f t="shared" ref="K799" si="666">IF(AND(C799=""),"",IF(AND(G799=""),"",C799-G799))</f>
        <v/>
      </c>
      <c r="L799" s="9" t="str">
        <f t="shared" si="663"/>
        <v/>
      </c>
      <c r="M799" s="9" t="str">
        <f t="shared" si="661"/>
        <v/>
      </c>
      <c r="N799" s="9" t="str">
        <f t="shared" si="662"/>
        <v/>
      </c>
      <c r="O799" s="9" t="str">
        <f t="shared" si="664"/>
        <v/>
      </c>
      <c r="P799" s="9" t="str">
        <f>IF(AND(Y797=""),"",IF(AND(N799=""),"",ROUND(N799*X$16%,0)))</f>
        <v/>
      </c>
      <c r="Q799" s="9" t="str">
        <f>IF(AND(Y797=""),"",IF(AND(C799=""),"",IF(AND(O799=""),"",SUM(O799,P799))))</f>
        <v/>
      </c>
      <c r="R799" s="9" t="str">
        <f t="shared" si="665"/>
        <v/>
      </c>
      <c r="S799" s="20"/>
    </row>
    <row r="800" spans="1:25" ht="30.75" customHeight="1">
      <c r="A800" s="108" t="s">
        <v>9</v>
      </c>
      <c r="B800" s="109"/>
      <c r="C800" s="64">
        <f>IF(AND(Y797=""),"",SUM(C797:C799))</f>
        <v>0</v>
      </c>
      <c r="D800" s="64">
        <f>IF(AND(Y797=""),"",SUM(D797:D799))</f>
        <v>0</v>
      </c>
      <c r="E800" s="64">
        <f>IF(AND(Y797=""),"",SUM(E797:E799))</f>
        <v>0</v>
      </c>
      <c r="F800" s="64">
        <f>IF(AND(Y797=""),"",SUM(F797:F799))</f>
        <v>0</v>
      </c>
      <c r="G800" s="64">
        <f>IF(AND(Y797=""),"",SUM(G797:G799))</f>
        <v>0</v>
      </c>
      <c r="H800" s="64">
        <f>IF(AND(Y797=""),"",SUM(H797:H799))</f>
        <v>0</v>
      </c>
      <c r="I800" s="64">
        <f>IF(AND(Y797=""),"",SUM(I797:I799))</f>
        <v>0</v>
      </c>
      <c r="J800" s="64">
        <f>IF(AND(Y797=""),"",SUM(J797:J799))</f>
        <v>0</v>
      </c>
      <c r="K800" s="64">
        <f>IF(AND(Y797=""),"",SUM(K797:K799))</f>
        <v>0</v>
      </c>
      <c r="L800" s="64">
        <f>IF(AND(Y797=""),"",SUM(L797:L799))</f>
        <v>0</v>
      </c>
      <c r="M800" s="64">
        <f>IF(AND(Y797=""),"",SUM(M797:M799))</f>
        <v>0</v>
      </c>
      <c r="N800" s="64">
        <f>IF(AND(Y797=""),"",SUM(N797:N799))</f>
        <v>0</v>
      </c>
      <c r="O800" s="64">
        <f>IF(AND(Y797=""),"",SUM(O797:O799))</f>
        <v>0</v>
      </c>
      <c r="P800" s="64">
        <f>IF(AND(Y797=""),"",SUM(P797:P799))</f>
        <v>0</v>
      </c>
      <c r="Q800" s="64">
        <f>IF(AND(Y797=""),"",SUM(Q797:Q799))</f>
        <v>0</v>
      </c>
      <c r="R800" s="64">
        <f>IF(AND(Y797=""),"",SUM(R797:R799))</f>
        <v>0</v>
      </c>
      <c r="S800" s="50"/>
    </row>
    <row r="801" spans="1:25" ht="11.25" customHeight="1">
      <c r="A801" s="75"/>
      <c r="B801" s="75"/>
      <c r="C801" s="76"/>
      <c r="D801" s="76"/>
      <c r="E801" s="76"/>
      <c r="F801" s="76"/>
      <c r="G801" s="76"/>
      <c r="H801" s="76"/>
      <c r="I801" s="76"/>
      <c r="J801" s="76"/>
      <c r="K801" s="76"/>
      <c r="L801" s="76"/>
      <c r="M801" s="76"/>
      <c r="N801" s="76"/>
      <c r="O801" s="76"/>
      <c r="P801" s="76"/>
      <c r="Q801" s="76"/>
      <c r="R801" s="76"/>
      <c r="S801" s="77"/>
    </row>
    <row r="802" spans="1:25" ht="23.25" customHeight="1">
      <c r="E802" s="116" t="s">
        <v>10</v>
      </c>
      <c r="F802" s="116"/>
      <c r="G802" s="116"/>
      <c r="H802" s="116"/>
      <c r="I802" s="116"/>
      <c r="J802" s="115" t="str">
        <f>IF(ISNA(VLOOKUP(Y804,Master!A$8:N$127,2,FALSE)),"",VLOOKUP(Y804,Master!A$8:AH$127,2,FALSE))</f>
        <v/>
      </c>
      <c r="K802" s="115"/>
      <c r="L802" s="115"/>
      <c r="M802" s="115"/>
      <c r="N802" s="115"/>
      <c r="O802" s="61" t="s">
        <v>31</v>
      </c>
      <c r="P802" s="115" t="str">
        <f>IF(ISNA(VLOOKUP($Y$396,Master!A$8:N$127,3,FALSE)),"",VLOOKUP($Y$396,Master!A$8:AH$127,3,FALSE))</f>
        <v/>
      </c>
      <c r="Q802" s="115"/>
      <c r="R802" s="115"/>
      <c r="S802" s="115"/>
    </row>
    <row r="803" spans="1:25" ht="9" customHeight="1">
      <c r="E803" s="19"/>
      <c r="F803" s="53"/>
      <c r="G803" s="22"/>
      <c r="H803" s="22"/>
      <c r="I803" s="22"/>
      <c r="J803" s="5"/>
      <c r="K803" s="5"/>
      <c r="L803" s="5"/>
      <c r="M803" s="5"/>
      <c r="N803" s="5"/>
      <c r="O803" s="6"/>
      <c r="P803" s="6"/>
    </row>
    <row r="804" spans="1:25" ht="21" customHeight="1">
      <c r="A804" s="8">
        <v>1</v>
      </c>
      <c r="B804" s="23">
        <v>44562</v>
      </c>
      <c r="C804" s="9" t="str">
        <f>IF(ISNA(VLOOKUP(Y804,Master!A$8:N$127,5,FALSE)),"",VLOOKUP(Y804,Master!A$8:AH$127,5,FALSE))</f>
        <v/>
      </c>
      <c r="D804" s="9" t="str">
        <f>IF(AND(C804=""),"",IF(AND(Y804=""),"",ROUND(C804*Master!C$5%,0)))</f>
        <v/>
      </c>
      <c r="E804" s="9" t="str">
        <f>IF(AND(C804=""),"",IF(AND(Y804=""),"",ROUND(C804*Master!H$5%,0)))</f>
        <v/>
      </c>
      <c r="F804" s="9" t="str">
        <f t="shared" ref="F804:F806" si="667">IF(AND(C804=""),"",SUM(C804:E804))</f>
        <v/>
      </c>
      <c r="G804" s="9" t="str">
        <f>IF(ISNA(VLOOKUP(Y804,Master!A$8:N$127,5,FALSE)),"",VLOOKUP(Y804,Master!A$8:AH$127,5,FALSE))</f>
        <v/>
      </c>
      <c r="H804" s="9" t="str">
        <f>IF(AND(G804=""),"",IF(AND(Y804=""),"",ROUND(G804*Master!C$4%,0)))</f>
        <v/>
      </c>
      <c r="I804" s="9" t="str">
        <f>IF(AND(G804=""),"",IF(AND(Y804=""),"",ROUND(G804*Master!H$4%,0)))</f>
        <v/>
      </c>
      <c r="J804" s="9" t="str">
        <f t="shared" ref="J804:J806" si="668">IF(AND(C804=""),"",SUM(G804:I804))</f>
        <v/>
      </c>
      <c r="K804" s="9" t="str">
        <f t="shared" ref="K804:K806" si="669">IF(AND(C804=""),"",IF(AND(G804=""),"",C804-G804))</f>
        <v/>
      </c>
      <c r="L804" s="9" t="str">
        <f t="shared" ref="L804:L806" si="670">IF(AND(D804=""),"",IF(AND(H804=""),"",D804-H804))</f>
        <v/>
      </c>
      <c r="M804" s="9" t="str">
        <f t="shared" ref="M804:M806" si="671">IF(AND(E804=""),"",IF(AND(I804=""),"",E804-I804))</f>
        <v/>
      </c>
      <c r="N804" s="9" t="str">
        <f t="shared" ref="N804:N806" si="672">IF(AND(F804=""),"",IF(AND(J804=""),"",F804-J804))</f>
        <v/>
      </c>
      <c r="O804" s="9" t="str">
        <f>IF(AND(C804=""),"",N804-P804)</f>
        <v/>
      </c>
      <c r="P804" s="9" t="str">
        <f>IF(AND(Y804=""),"",IF(AND(N804=""),"",ROUND(N804*AA$1%,0)))</f>
        <v/>
      </c>
      <c r="Q804" s="9" t="str">
        <f>IF(AND(Y804=""),"",IF(AND(C804=""),"",IF(AND(O804=""),"",SUM(O804,P804))))</f>
        <v/>
      </c>
      <c r="R804" s="9" t="str">
        <f>IF(AND(N804=""),"",IF(AND(Q804=""),"",N804-Q804))</f>
        <v/>
      </c>
      <c r="S804" s="20"/>
      <c r="X804" s="62" t="s">
        <v>62</v>
      </c>
      <c r="Y804" s="65">
        <v>72</v>
      </c>
    </row>
    <row r="805" spans="1:25" ht="21" customHeight="1">
      <c r="A805" s="8">
        <v>2</v>
      </c>
      <c r="B805" s="23">
        <v>44593</v>
      </c>
      <c r="C805" s="9" t="str">
        <f>IF(AND(Y804=""),"",C804)</f>
        <v/>
      </c>
      <c r="D805" s="9" t="str">
        <f>IF(AND(C805=""),"",IF(AND(Y804=""),"",ROUND(C805*Master!C$5%,0)))</f>
        <v/>
      </c>
      <c r="E805" s="9" t="str">
        <f>IF(AND(C805=""),"",IF(AND(Y804=""),"",ROUND(C805*Master!H$5%,0)))</f>
        <v/>
      </c>
      <c r="F805" s="9" t="str">
        <f t="shared" si="667"/>
        <v/>
      </c>
      <c r="G805" s="9" t="str">
        <f>IF(AND(Y804=""),"",G804)</f>
        <v/>
      </c>
      <c r="H805" s="9" t="str">
        <f>IF(AND(G805=""),"",IF(AND(Y804=""),"",ROUND(G805*Master!C$4%,0)))</f>
        <v/>
      </c>
      <c r="I805" s="9" t="str">
        <f>IF(AND(G805=""),"",IF(AND(Y804=""),"",ROUND(G805*Master!H$4%,0)))</f>
        <v/>
      </c>
      <c r="J805" s="9" t="str">
        <f t="shared" si="668"/>
        <v/>
      </c>
      <c r="K805" s="9" t="str">
        <f t="shared" si="669"/>
        <v/>
      </c>
      <c r="L805" s="9" t="str">
        <f t="shared" si="670"/>
        <v/>
      </c>
      <c r="M805" s="9" t="str">
        <f t="shared" si="671"/>
        <v/>
      </c>
      <c r="N805" s="9" t="str">
        <f t="shared" si="672"/>
        <v/>
      </c>
      <c r="O805" s="9" t="str">
        <f t="shared" ref="O805:O806" si="673">IF(AND(C805=""),"",N805-P805)</f>
        <v/>
      </c>
      <c r="P805" s="9" t="str">
        <f>IF(AND(Y804=""),"",IF(AND(N805=""),"",ROUND(N805*AA$1%,0)))</f>
        <v/>
      </c>
      <c r="Q805" s="9" t="str">
        <f>IF(AND(Y804=""),"",IF(AND(C805=""),"",IF(AND(O805=""),"",SUM(O805,P805))))</f>
        <v/>
      </c>
      <c r="R805" s="9" t="str">
        <f t="shared" ref="R805:R806" si="674">IF(AND(N805=""),"",IF(AND(Q805=""),"",N805-Q805))</f>
        <v/>
      </c>
      <c r="S805" s="20"/>
      <c r="X805" s="4" t="str">
        <f>IF(ISNA(VLOOKUP(Y804,Master!A$8:N$127,7,FALSE)),"",VLOOKUP(Y804,Master!A$8:AH$127,7,FALSE))</f>
        <v/>
      </c>
    </row>
    <row r="806" spans="1:25" ht="21" customHeight="1">
      <c r="A806" s="8">
        <v>3</v>
      </c>
      <c r="B806" s="23">
        <v>44621</v>
      </c>
      <c r="C806" s="9" t="str">
        <f>IF(AND(Y804=""),"",C805)</f>
        <v/>
      </c>
      <c r="D806" s="9" t="str">
        <f>IF(AND(C806=""),"",IF(AND(Y804=""),"",ROUND(C806*Master!C$5%,0)))</f>
        <v/>
      </c>
      <c r="E806" s="9" t="str">
        <f>IF(AND(C806=""),"",IF(AND(Y804=""),"",ROUND(C806*Master!H$5%,0)))</f>
        <v/>
      </c>
      <c r="F806" s="9" t="str">
        <f t="shared" si="667"/>
        <v/>
      </c>
      <c r="G806" s="9" t="str">
        <f>IF(AND(Y804=""),"",G805)</f>
        <v/>
      </c>
      <c r="H806" s="9" t="str">
        <f>IF(AND(G806=""),"",IF(AND(Y804=""),"",ROUND(G806*Master!C$4%,0)))</f>
        <v/>
      </c>
      <c r="I806" s="9" t="str">
        <f>IF(AND(G806=""),"",IF(AND(Y804=""),"",ROUND(G806*Master!H$4%,0)))</f>
        <v/>
      </c>
      <c r="J806" s="9" t="str">
        <f t="shared" si="668"/>
        <v/>
      </c>
      <c r="K806" s="9" t="str">
        <f t="shared" si="669"/>
        <v/>
      </c>
      <c r="L806" s="9" t="str">
        <f t="shared" si="670"/>
        <v/>
      </c>
      <c r="M806" s="9" t="str">
        <f t="shared" si="671"/>
        <v/>
      </c>
      <c r="N806" s="9" t="str">
        <f t="shared" si="672"/>
        <v/>
      </c>
      <c r="O806" s="9" t="str">
        <f t="shared" si="673"/>
        <v/>
      </c>
      <c r="P806" s="9" t="str">
        <f>IF(AND(Y804=""),"",IF(AND(N806=""),"",ROUND(N806*AA$1%,0)))</f>
        <v/>
      </c>
      <c r="Q806" s="9" t="str">
        <f>IF(AND(Y804=""),"",IF(AND(C806=""),"",IF(AND(O806=""),"",SUM(O806,P806))))</f>
        <v/>
      </c>
      <c r="R806" s="9" t="str">
        <f t="shared" si="674"/>
        <v/>
      </c>
      <c r="S806" s="20"/>
    </row>
    <row r="807" spans="1:25" ht="30.75" customHeight="1">
      <c r="A807" s="108" t="s">
        <v>9</v>
      </c>
      <c r="B807" s="109"/>
      <c r="C807" s="64">
        <f>IF(AND(Y804=""),"",SUM(C804:C806))</f>
        <v>0</v>
      </c>
      <c r="D807" s="64">
        <f>IF(AND(Y804=""),"",SUM(D804:D806))</f>
        <v>0</v>
      </c>
      <c r="E807" s="64">
        <f>IF(AND(Y804=""),"",SUM(E804:E806))</f>
        <v>0</v>
      </c>
      <c r="F807" s="64">
        <f>IF(AND(Y804=""),"",SUM(F804:F806))</f>
        <v>0</v>
      </c>
      <c r="G807" s="64">
        <f>IF(AND(Y804=""),"",SUM(G804:G806))</f>
        <v>0</v>
      </c>
      <c r="H807" s="64">
        <f>IF(AND(Y804=""),"",SUM(H804:H806))</f>
        <v>0</v>
      </c>
      <c r="I807" s="64">
        <f>IF(AND(Y804=""),"",SUM(I804:I806))</f>
        <v>0</v>
      </c>
      <c r="J807" s="64">
        <f>IF(AND(Y804=""),"",SUM(J804:J806))</f>
        <v>0</v>
      </c>
      <c r="K807" s="64">
        <f>IF(AND(Y804=""),"",SUM(K804:K806))</f>
        <v>0</v>
      </c>
      <c r="L807" s="64">
        <f>IF(AND(Y804=""),"",SUM(L804:L806))</f>
        <v>0</v>
      </c>
      <c r="M807" s="64">
        <f>IF(AND(Y804=""),"",SUM(M804:M806))</f>
        <v>0</v>
      </c>
      <c r="N807" s="64">
        <f>IF(AND(Y804=""),"",SUM(N804:N806))</f>
        <v>0</v>
      </c>
      <c r="O807" s="64">
        <f>IF(AND(Y804=""),"",SUM(O804:O806))</f>
        <v>0</v>
      </c>
      <c r="P807" s="64">
        <f>IF(AND(Y804=""),"",SUM(P804:P806))</f>
        <v>0</v>
      </c>
      <c r="Q807" s="64">
        <f>IF(AND(Y804=""),"",SUM(Q804:Q806))</f>
        <v>0</v>
      </c>
      <c r="R807" s="64">
        <f>IF(AND(Y804=""),"",SUM(R804:R806))</f>
        <v>0</v>
      </c>
      <c r="S807" s="50"/>
    </row>
    <row r="808" spans="1:25" ht="30.75" customHeight="1">
      <c r="A808" s="75"/>
      <c r="B808" s="75"/>
      <c r="C808" s="76"/>
      <c r="D808" s="76"/>
      <c r="E808" s="76"/>
      <c r="F808" s="76"/>
      <c r="G808" s="76"/>
      <c r="H808" s="76"/>
      <c r="I808" s="76"/>
      <c r="J808" s="76"/>
      <c r="K808" s="76"/>
      <c r="L808" s="76"/>
      <c r="M808" s="76"/>
      <c r="N808" s="76"/>
      <c r="O808" s="76"/>
      <c r="P808" s="76"/>
      <c r="Q808" s="76"/>
      <c r="R808" s="76"/>
      <c r="S808" s="77"/>
    </row>
    <row r="809" spans="1:25" ht="18.75">
      <c r="A809" s="21"/>
      <c r="B809" s="59"/>
      <c r="C809" s="59"/>
      <c r="D809" s="59"/>
      <c r="E809" s="59"/>
      <c r="F809" s="59"/>
      <c r="G809" s="59"/>
      <c r="H809" s="60"/>
      <c r="I809" s="60"/>
      <c r="J809" s="60"/>
      <c r="K809" s="68"/>
      <c r="L809" s="68"/>
      <c r="M809" s="68"/>
      <c r="N809" s="68"/>
      <c r="O809" s="107" t="s">
        <v>55</v>
      </c>
      <c r="P809" s="107"/>
      <c r="Q809" s="107"/>
      <c r="R809" s="107"/>
      <c r="S809" s="107"/>
    </row>
    <row r="810" spans="1:25" ht="18.75">
      <c r="A810" s="1"/>
      <c r="B810" s="24" t="s">
        <v>19</v>
      </c>
      <c r="C810" s="118"/>
      <c r="D810" s="118"/>
      <c r="E810" s="118"/>
      <c r="F810" s="118"/>
      <c r="G810" s="118"/>
      <c r="H810" s="25"/>
      <c r="I810" s="121" t="s">
        <v>20</v>
      </c>
      <c r="J810" s="121"/>
      <c r="K810" s="120"/>
      <c r="L810" s="120"/>
      <c r="M810" s="120"/>
      <c r="O810" s="107"/>
      <c r="P810" s="107"/>
      <c r="Q810" s="107"/>
      <c r="R810" s="107"/>
      <c r="S810" s="107"/>
    </row>
    <row r="811" spans="1:25" ht="18.75">
      <c r="A811" s="1"/>
      <c r="B811" s="119" t="s">
        <v>21</v>
      </c>
      <c r="C811" s="119"/>
      <c r="D811" s="119"/>
      <c r="E811" s="119"/>
      <c r="F811" s="119"/>
      <c r="G811" s="119"/>
      <c r="H811" s="119"/>
      <c r="I811" s="27"/>
      <c r="J811" s="26"/>
      <c r="K811" s="26"/>
      <c r="L811" s="26"/>
      <c r="M811" s="26"/>
    </row>
    <row r="812" spans="1:25" ht="18.75">
      <c r="A812" s="22">
        <v>1</v>
      </c>
      <c r="B812" s="117" t="s">
        <v>22</v>
      </c>
      <c r="C812" s="117"/>
      <c r="D812" s="117"/>
      <c r="E812" s="117"/>
      <c r="F812" s="117"/>
      <c r="G812" s="117"/>
      <c r="H812" s="117"/>
      <c r="I812" s="28"/>
      <c r="J812" s="26"/>
      <c r="K812" s="26"/>
      <c r="L812" s="26"/>
      <c r="M812" s="26"/>
    </row>
    <row r="813" spans="1:25" ht="18.75">
      <c r="A813" s="2">
        <v>2</v>
      </c>
      <c r="B813" s="117" t="s">
        <v>23</v>
      </c>
      <c r="C813" s="117"/>
      <c r="D813" s="117"/>
      <c r="E813" s="117"/>
      <c r="F813" s="117"/>
      <c r="G813" s="115"/>
      <c r="H813" s="115"/>
      <c r="I813" s="115"/>
      <c r="J813" s="115"/>
      <c r="K813" s="115"/>
      <c r="L813" s="115"/>
      <c r="M813" s="115"/>
    </row>
    <row r="814" spans="1:25" ht="18.75">
      <c r="A814" s="3">
        <v>3</v>
      </c>
      <c r="B814" s="117" t="s">
        <v>24</v>
      </c>
      <c r="C814" s="117"/>
      <c r="D814" s="117"/>
      <c r="E814" s="29"/>
      <c r="F814" s="28"/>
      <c r="G814" s="28"/>
      <c r="H814" s="30"/>
      <c r="I814" s="31"/>
      <c r="J814" s="26"/>
      <c r="K814" s="26"/>
      <c r="L814" s="26"/>
      <c r="M814" s="26"/>
    </row>
    <row r="815" spans="1:25" ht="15.75">
      <c r="O815" s="107" t="s">
        <v>55</v>
      </c>
      <c r="P815" s="107"/>
      <c r="Q815" s="107"/>
      <c r="R815" s="107"/>
      <c r="S815" s="107"/>
    </row>
    <row r="817" spans="1:27" ht="18" customHeight="1">
      <c r="A817" s="122" t="str">
        <f>A783</f>
        <v xml:space="preserve">DA (38%) Drawn Statement  </v>
      </c>
      <c r="B817" s="122"/>
      <c r="C817" s="122"/>
      <c r="D817" s="122"/>
      <c r="E817" s="122"/>
      <c r="F817" s="122"/>
      <c r="G817" s="122"/>
      <c r="H817" s="122"/>
      <c r="I817" s="122"/>
      <c r="J817" s="122"/>
      <c r="K817" s="122"/>
      <c r="L817" s="122"/>
      <c r="M817" s="122"/>
      <c r="N817" s="122"/>
      <c r="O817" s="122"/>
      <c r="P817" s="122"/>
      <c r="Q817" s="122"/>
      <c r="R817" s="122"/>
      <c r="S817" s="122"/>
      <c r="W817" s="4">
        <f>IF(ISNA(VLOOKUP($Y$3,Master!A$8:N$127,4,FALSE)),"",VLOOKUP($Y$3,Master!A$8:AH$127,4,FALSE))</f>
        <v>3</v>
      </c>
      <c r="X817" s="4" t="str">
        <f>IF(ISNA(VLOOKUP($Y$3,Master!A$8:N$127,6,FALSE)),"",VLOOKUP($Y$3,Master!A$8:AH$127,6,FALSE))</f>
        <v>GPF</v>
      </c>
      <c r="Y817" s="4" t="s">
        <v>58</v>
      </c>
      <c r="Z817" s="4" t="s">
        <v>18</v>
      </c>
      <c r="AA817" s="4" t="str">
        <f>IF(ISNA(VLOOKUP(Y819,Master!A$8:N$127,7,FALSE)),"",VLOOKUP(Y819,Master!A$8:AH$127,7,FALSE))</f>
        <v/>
      </c>
    </row>
    <row r="818" spans="1:27" ht="18">
      <c r="A818" s="114" t="str">
        <f>IF(AND(Master!C819=""),"",CONCATENATE("Office Of  ",Master!C819))</f>
        <v/>
      </c>
      <c r="B818" s="114"/>
      <c r="C818" s="114"/>
      <c r="D818" s="114"/>
      <c r="E818" s="114"/>
      <c r="F818" s="114"/>
      <c r="G818" s="114"/>
      <c r="H818" s="114"/>
      <c r="I818" s="114"/>
      <c r="J818" s="114"/>
      <c r="K818" s="114"/>
      <c r="L818" s="114"/>
      <c r="M818" s="114"/>
      <c r="N818" s="114"/>
      <c r="O818" s="114"/>
      <c r="P818" s="114"/>
      <c r="Q818" s="114"/>
      <c r="R818" s="114"/>
      <c r="S818" s="114"/>
      <c r="X818" s="4">
        <f>IF(ISNA(VLOOKUP($Y$3,Master!A$8:N$127,8,FALSE)),"",VLOOKUP($Y$3,Master!A$8:AH$127,8,FALSE))</f>
        <v>44743</v>
      </c>
      <c r="Y818" s="4" t="s">
        <v>56</v>
      </c>
    </row>
    <row r="819" spans="1:27" ht="18.75">
      <c r="E819" s="116" t="s">
        <v>10</v>
      </c>
      <c r="F819" s="116"/>
      <c r="G819" s="116"/>
      <c r="H819" s="116"/>
      <c r="I819" s="116"/>
      <c r="J819" s="115" t="str">
        <f>IF(ISNA(VLOOKUP(Y819,Master!A$8:N$127,2,FALSE)),"",VLOOKUP(Y819,Master!A$8:AH$127,2,FALSE))</f>
        <v/>
      </c>
      <c r="K819" s="115"/>
      <c r="L819" s="115"/>
      <c r="M819" s="115"/>
      <c r="N819" s="115"/>
      <c r="O819" s="61" t="s">
        <v>31</v>
      </c>
      <c r="P819" s="115" t="str">
        <f>IF(ISNA(VLOOKUP(Y819,Master!A$8:N$127,3,FALSE)),"",VLOOKUP(Y819,Master!A$8:AH$127,3,FALSE))</f>
        <v/>
      </c>
      <c r="Q819" s="115"/>
      <c r="R819" s="115"/>
      <c r="S819" s="115"/>
      <c r="X819" s="62" t="s">
        <v>62</v>
      </c>
      <c r="Y819" s="65">
        <v>73</v>
      </c>
    </row>
    <row r="820" spans="1:27" ht="8.25" customHeight="1">
      <c r="E820" s="19"/>
      <c r="F820" s="53"/>
      <c r="G820" s="22"/>
      <c r="H820" s="22"/>
      <c r="I820" s="22"/>
      <c r="J820" s="5"/>
      <c r="K820" s="5"/>
      <c r="L820" s="5"/>
      <c r="M820" s="5"/>
      <c r="N820" s="5"/>
      <c r="O820" s="6"/>
      <c r="P820" s="6"/>
    </row>
    <row r="821" spans="1:27" ht="24.75" customHeight="1">
      <c r="A821" s="110" t="s">
        <v>0</v>
      </c>
      <c r="B821" s="111" t="s">
        <v>3</v>
      </c>
      <c r="C821" s="112" t="s">
        <v>5</v>
      </c>
      <c r="D821" s="112"/>
      <c r="E821" s="112"/>
      <c r="F821" s="112"/>
      <c r="G821" s="112" t="s">
        <v>6</v>
      </c>
      <c r="H821" s="112"/>
      <c r="I821" s="112"/>
      <c r="J821" s="112"/>
      <c r="K821" s="112" t="s">
        <v>7</v>
      </c>
      <c r="L821" s="112"/>
      <c r="M821" s="112"/>
      <c r="N821" s="112"/>
      <c r="O821" s="97" t="s">
        <v>8</v>
      </c>
      <c r="P821" s="98"/>
      <c r="Q821" s="99"/>
      <c r="R821" s="105" t="s">
        <v>67</v>
      </c>
      <c r="S821" s="105" t="s">
        <v>50</v>
      </c>
    </row>
    <row r="822" spans="1:27" ht="69" customHeight="1">
      <c r="A822" s="110"/>
      <c r="B822" s="111"/>
      <c r="C822" s="55" t="s">
        <v>29</v>
      </c>
      <c r="D822" s="56" t="s">
        <v>1</v>
      </c>
      <c r="E822" s="57" t="s">
        <v>2</v>
      </c>
      <c r="F822" s="55" t="s">
        <v>59</v>
      </c>
      <c r="G822" s="55" t="s">
        <v>29</v>
      </c>
      <c r="H822" s="56" t="s">
        <v>1</v>
      </c>
      <c r="I822" s="57" t="s">
        <v>2</v>
      </c>
      <c r="J822" s="55" t="s">
        <v>60</v>
      </c>
      <c r="K822" s="55" t="s">
        <v>4</v>
      </c>
      <c r="L822" s="56" t="s">
        <v>1</v>
      </c>
      <c r="M822" s="57" t="s">
        <v>2</v>
      </c>
      <c r="N822" s="58" t="s">
        <v>61</v>
      </c>
      <c r="O822" s="54" t="s">
        <v>83</v>
      </c>
      <c r="P822" s="67" t="s">
        <v>51</v>
      </c>
      <c r="Q822" s="58" t="s">
        <v>66</v>
      </c>
      <c r="R822" s="105"/>
      <c r="S822" s="105"/>
    </row>
    <row r="823" spans="1:27" ht="18" customHeight="1">
      <c r="A823" s="7">
        <v>1</v>
      </c>
      <c r="B823" s="7">
        <v>2</v>
      </c>
      <c r="C823" s="7">
        <v>3</v>
      </c>
      <c r="D823" s="7">
        <v>4</v>
      </c>
      <c r="E823" s="7">
        <v>5</v>
      </c>
      <c r="F823" s="7">
        <v>6</v>
      </c>
      <c r="G823" s="7">
        <v>7</v>
      </c>
      <c r="H823" s="7">
        <v>8</v>
      </c>
      <c r="I823" s="7">
        <v>9</v>
      </c>
      <c r="J823" s="7">
        <v>10</v>
      </c>
      <c r="K823" s="7">
        <v>11</v>
      </c>
      <c r="L823" s="7">
        <v>12</v>
      </c>
      <c r="M823" s="7">
        <v>13</v>
      </c>
      <c r="N823" s="7">
        <v>14</v>
      </c>
      <c r="O823" s="7">
        <v>15</v>
      </c>
      <c r="P823" s="7">
        <v>17</v>
      </c>
      <c r="Q823" s="7">
        <v>18</v>
      </c>
      <c r="R823" s="7">
        <v>19</v>
      </c>
      <c r="S823" s="7">
        <v>20</v>
      </c>
    </row>
    <row r="824" spans="1:27" ht="21" customHeight="1">
      <c r="A824" s="8">
        <v>1</v>
      </c>
      <c r="B824" s="23">
        <v>44562</v>
      </c>
      <c r="C824" s="9" t="str">
        <f>IF(ISNA(VLOOKUP(Y819,Master!A$8:N$127,5,FALSE)),"",VLOOKUP(Y819,Master!A$8:AH$127,5,FALSE))</f>
        <v/>
      </c>
      <c r="D824" s="9" t="str">
        <f>IF(AND(C824=""),"",IF(AND(Y819=""),"",ROUND(C824*Master!C$5%,0)))</f>
        <v/>
      </c>
      <c r="E824" s="9" t="str">
        <f>IF(AND(C824=""),"",IF(AND(Y819=""),"",ROUND(C824*Master!H$5%,0)))</f>
        <v/>
      </c>
      <c r="F824" s="9" t="str">
        <f t="shared" ref="F824" si="675">IF(AND(C824=""),"",SUM(C824:E824))</f>
        <v/>
      </c>
      <c r="G824" s="9" t="str">
        <f>IF(ISNA(VLOOKUP(Y819,Master!A$8:N$127,5,FALSE)),"",VLOOKUP(Y819,Master!A$8:AH$127,5,FALSE))</f>
        <v/>
      </c>
      <c r="H824" s="9" t="str">
        <f>IF(AND(G824=""),"",IF(AND(Y819=""),"",ROUND(G824*Master!C$4%,0)))</f>
        <v/>
      </c>
      <c r="I824" s="9" t="str">
        <f>IF(AND(G824=""),"",IF(AND(Y819=""),"",ROUND(G824*Master!H$4%,0)))</f>
        <v/>
      </c>
      <c r="J824" s="9" t="str">
        <f t="shared" ref="J824:J825" si="676">IF(AND(C824=""),"",SUM(G824:I824))</f>
        <v/>
      </c>
      <c r="K824" s="9" t="str">
        <f t="shared" ref="K824:K826" si="677">IF(AND(C824=""),"",IF(AND(G824=""),"",C824-G824))</f>
        <v/>
      </c>
      <c r="L824" s="9" t="str">
        <f t="shared" ref="L824:L826" si="678">IF(AND(D824=""),"",IF(AND(H824=""),"",D824-H824))</f>
        <v/>
      </c>
      <c r="M824" s="9" t="str">
        <f t="shared" ref="M824:M825" si="679">IF(AND(E824=""),"",IF(AND(I824=""),"",E824-I824))</f>
        <v/>
      </c>
      <c r="N824" s="9" t="str">
        <f t="shared" ref="N824:N825" si="680">IF(AND(F824=""),"",IF(AND(J824=""),"",F824-J824))</f>
        <v/>
      </c>
      <c r="O824" s="9" t="str">
        <f>IF(AND(C824=""),"",N824-P824)</f>
        <v/>
      </c>
      <c r="P824" s="9" t="str">
        <f>IF(AND(Y819=""),"",IF(AND(N824=""),"",ROUND(N824*AA$1%,0)))</f>
        <v/>
      </c>
      <c r="Q824" s="9" t="str">
        <f>IF(AND(Y819=""),"",IF(AND(C824=""),"",IF(AND(O824=""),"",SUM(O824,P824))))</f>
        <v/>
      </c>
      <c r="R824" s="9" t="str">
        <f>IF(AND(N824=""),"",IF(AND(Q824=""),"",N824-Q824))</f>
        <v/>
      </c>
      <c r="S824" s="20"/>
    </row>
    <row r="825" spans="1:27" ht="21" customHeight="1">
      <c r="A825" s="8">
        <v>2</v>
      </c>
      <c r="B825" s="23">
        <v>44593</v>
      </c>
      <c r="C825" s="9" t="str">
        <f>IF(AND(Y819=""),"",C824)</f>
        <v/>
      </c>
      <c r="D825" s="9" t="str">
        <f>IF(AND(C825=""),"",IF(AND(Y819=""),"",ROUND(C825*Master!C$5%,0)))</f>
        <v/>
      </c>
      <c r="E825" s="9" t="str">
        <f>IF(AND(C825=""),"",IF(AND(Y819=""),"",ROUND(C825*Master!H$5%,0)))</f>
        <v/>
      </c>
      <c r="F825" s="9" t="str">
        <f>IF(AND(C825=""),"",SUM(C825:E825))</f>
        <v/>
      </c>
      <c r="G825" s="9" t="str">
        <f>IF(AND(Y819=""),"",G824)</f>
        <v/>
      </c>
      <c r="H825" s="9" t="str">
        <f>IF(AND(G825=""),"",IF(AND(Y819=""),"",ROUND(G825*Master!C$4%,0)))</f>
        <v/>
      </c>
      <c r="I825" s="9" t="str">
        <f>IF(AND(G825=""),"",IF(AND(Y819=""),"",ROUND(G825*Master!H$4%,0)))</f>
        <v/>
      </c>
      <c r="J825" s="9" t="str">
        <f t="shared" si="676"/>
        <v/>
      </c>
      <c r="K825" s="9" t="str">
        <f t="shared" si="677"/>
        <v/>
      </c>
      <c r="L825" s="9" t="str">
        <f t="shared" si="678"/>
        <v/>
      </c>
      <c r="M825" s="9" t="str">
        <f t="shared" si="679"/>
        <v/>
      </c>
      <c r="N825" s="9" t="str">
        <f t="shared" si="680"/>
        <v/>
      </c>
      <c r="O825" s="9" t="str">
        <f t="shared" ref="O825:O826" si="681">IF(AND(C825=""),"",N825-P825)</f>
        <v/>
      </c>
      <c r="P825" s="9" t="str">
        <f>IF(AND(Y819=""),"",IF(AND(N825=""),"",ROUND(N825*AA$1%,0)))</f>
        <v/>
      </c>
      <c r="Q825" s="9" t="str">
        <f>IF(AND(Y819=""),"",IF(AND(C825=""),"",IF(AND(O825=""),"",SUM(O825,P825))))</f>
        <v/>
      </c>
      <c r="R825" s="9" t="str">
        <f t="shared" ref="R825:R826" si="682">IF(AND(N825=""),"",IF(AND(Q825=""),"",N825-Q825))</f>
        <v/>
      </c>
      <c r="S825" s="20"/>
    </row>
    <row r="826" spans="1:27" ht="21" customHeight="1">
      <c r="A826" s="8">
        <v>3</v>
      </c>
      <c r="B826" s="23">
        <v>44621</v>
      </c>
      <c r="C826" s="9" t="str">
        <f>IF(AND(Y819=""),"",C825)</f>
        <v/>
      </c>
      <c r="D826" s="9" t="str">
        <f>IF(AND(C826=""),"",IF(AND(Y819=""),"",ROUND(C826*Master!C$5%,0)))</f>
        <v/>
      </c>
      <c r="E826" s="9" t="str">
        <f>IF(AND(C826=""),"",IF(AND(Y819=""),"",ROUND(C826*Master!H$5%,0)))</f>
        <v/>
      </c>
      <c r="F826" s="9" t="str">
        <f t="shared" ref="F826" si="683">IF(AND(C826=""),"",SUM(C826:E826))</f>
        <v/>
      </c>
      <c r="G826" s="9" t="str">
        <f>IF(AND(Y819=""),"",G825)</f>
        <v/>
      </c>
      <c r="H826" s="9" t="str">
        <f>IF(AND(G826=""),"",IF(AND(Y819=""),"",ROUND(G826*Master!C$4%,0)))</f>
        <v/>
      </c>
      <c r="I826" s="9" t="str">
        <f>IF(AND(G826=""),"",IF(AND(Y819=""),"",ROUND(G826*Master!H$4%,0)))</f>
        <v/>
      </c>
      <c r="J826" s="9" t="str">
        <f>IF(AND(C826=""),"",SUM(G826:I826))</f>
        <v/>
      </c>
      <c r="K826" s="9" t="str">
        <f t="shared" si="677"/>
        <v/>
      </c>
      <c r="L826" s="9" t="str">
        <f t="shared" si="678"/>
        <v/>
      </c>
      <c r="M826" s="9" t="str">
        <f>IF(AND(E826=""),"",IF(AND(I826=""),"",E826-I826))</f>
        <v/>
      </c>
      <c r="N826" s="9" t="str">
        <f>IF(AND(F826=""),"",IF(AND(J826=""),"",F826-J826))</f>
        <v/>
      </c>
      <c r="O826" s="9" t="str">
        <f t="shared" si="681"/>
        <v/>
      </c>
      <c r="P826" s="9" t="str">
        <f>IF(AND(Y819=""),"",IF(AND(N826=""),"",ROUND(N826*AA$1%,0)))</f>
        <v/>
      </c>
      <c r="Q826" s="9" t="str">
        <f>IF(AND(Y819=""),"",IF(AND(C826=""),"",IF(AND(O826=""),"",SUM(O826,P826))))</f>
        <v/>
      </c>
      <c r="R826" s="9" t="str">
        <f t="shared" si="682"/>
        <v/>
      </c>
      <c r="S826" s="20"/>
    </row>
    <row r="827" spans="1:27" ht="23.25" customHeight="1">
      <c r="A827" s="108" t="s">
        <v>9</v>
      </c>
      <c r="B827" s="109"/>
      <c r="C827" s="64">
        <f>IF(AND(Y819=""),"",SUM(C824:C826))</f>
        <v>0</v>
      </c>
      <c r="D827" s="64">
        <f>IF(AND(Y819=""),"",SUM(D824:D826))</f>
        <v>0</v>
      </c>
      <c r="E827" s="64">
        <f>IF(AND(Y819=""),"",SUM(E824:E826))</f>
        <v>0</v>
      </c>
      <c r="F827" s="64">
        <f>IF(AND(Y819=""),"",SUM(F824:F826))</f>
        <v>0</v>
      </c>
      <c r="G827" s="64">
        <f>IF(AND(Y819=""),"",SUM(G824:G826))</f>
        <v>0</v>
      </c>
      <c r="H827" s="64">
        <f>IF(AND(Y819=""),"",SUM(H824:H826))</f>
        <v>0</v>
      </c>
      <c r="I827" s="64">
        <f>IF(AND(Y819=""),"",SUM(I824:I826))</f>
        <v>0</v>
      </c>
      <c r="J827" s="64">
        <f>IF(AND(Y819=""),"",SUM(J824:J826))</f>
        <v>0</v>
      </c>
      <c r="K827" s="64">
        <f>IF(AND(Y819=""),"",SUM(K824:K826))</f>
        <v>0</v>
      </c>
      <c r="L827" s="64">
        <f>IF(AND(Y819=""),"",SUM(L824:L826))</f>
        <v>0</v>
      </c>
      <c r="M827" s="64">
        <f>IF(AND(Y819=""),"",SUM(M824:M826))</f>
        <v>0</v>
      </c>
      <c r="N827" s="64">
        <f>IF(AND(Y819=""),"",SUM(N824:N826))</f>
        <v>0</v>
      </c>
      <c r="O827" s="64">
        <f>IF(AND(Y819=""),"",SUM(O824:O826))</f>
        <v>0</v>
      </c>
      <c r="P827" s="64">
        <f>IF(AND(Y819=""),"",SUM(P824:P826))</f>
        <v>0</v>
      </c>
      <c r="Q827" s="64">
        <f>IF(AND(Y819=""),"",SUM(Q824:Q826))</f>
        <v>0</v>
      </c>
      <c r="R827" s="64">
        <f>IF(AND(Y819=""),"",SUM(R824:R826))</f>
        <v>0</v>
      </c>
      <c r="S827" s="50"/>
    </row>
    <row r="828" spans="1:27" ht="10.5" customHeight="1">
      <c r="A828" s="75"/>
      <c r="B828" s="75"/>
      <c r="C828" s="76"/>
      <c r="D828" s="76"/>
      <c r="E828" s="76"/>
      <c r="F828" s="76"/>
      <c r="G828" s="76"/>
      <c r="H828" s="76"/>
      <c r="I828" s="76"/>
      <c r="J828" s="76"/>
      <c r="K828" s="76"/>
      <c r="L828" s="76"/>
      <c r="M828" s="76"/>
      <c r="N828" s="76"/>
      <c r="O828" s="76"/>
      <c r="P828" s="76"/>
      <c r="Q828" s="76"/>
      <c r="R828" s="76"/>
      <c r="S828" s="77"/>
    </row>
    <row r="829" spans="1:27" ht="23.25" customHeight="1">
      <c r="E829" s="116" t="s">
        <v>10</v>
      </c>
      <c r="F829" s="116"/>
      <c r="G829" s="116"/>
      <c r="H829" s="116"/>
      <c r="I829" s="116"/>
      <c r="J829" s="115" t="str">
        <f>IF(ISNA(VLOOKUP(Y831,Master!A$8:N$127,2,FALSE)),"",VLOOKUP(Y831,Master!A$8:AH$127,2,FALSE))</f>
        <v/>
      </c>
      <c r="K829" s="115"/>
      <c r="L829" s="115"/>
      <c r="M829" s="115"/>
      <c r="N829" s="115"/>
      <c r="O829" s="61" t="s">
        <v>31</v>
      </c>
      <c r="P829" s="115" t="str">
        <f>IF(ISNA(VLOOKUP(Y831,Master!A$8:N$127,3,FALSE)),"",VLOOKUP(Y831,Master!A$8:AH$127,3,FALSE))</f>
        <v/>
      </c>
      <c r="Q829" s="115"/>
      <c r="R829" s="115"/>
      <c r="S829" s="115"/>
    </row>
    <row r="830" spans="1:27" ht="9" customHeight="1">
      <c r="E830" s="19"/>
      <c r="F830" s="53"/>
      <c r="G830" s="22"/>
      <c r="H830" s="22"/>
      <c r="I830" s="22"/>
      <c r="J830" s="5"/>
      <c r="K830" s="5"/>
      <c r="L830" s="5"/>
      <c r="M830" s="5"/>
      <c r="N830" s="5"/>
      <c r="O830" s="6"/>
      <c r="P830" s="6"/>
    </row>
    <row r="831" spans="1:27" ht="21" customHeight="1">
      <c r="A831" s="8">
        <v>1</v>
      </c>
      <c r="B831" s="23">
        <v>44562</v>
      </c>
      <c r="C831" s="9" t="str">
        <f>IF(ISNA(VLOOKUP(Y831,Master!A$8:N$127,5,FALSE)),"",VLOOKUP(Y831,Master!A$8:AH$127,5,FALSE))</f>
        <v/>
      </c>
      <c r="D831" s="9" t="str">
        <f>IF(AND(C831=""),"",IF(AND(Y831=""),"",ROUND(C831*Master!C$5%,0)))</f>
        <v/>
      </c>
      <c r="E831" s="9" t="str">
        <f>IF(AND(C831=""),"",IF(AND(Y831=""),"",ROUND(C831*Master!H$5%,0)))</f>
        <v/>
      </c>
      <c r="F831" s="9" t="str">
        <f t="shared" ref="F831:F833" si="684">IF(AND(C831=""),"",SUM(C831:E831))</f>
        <v/>
      </c>
      <c r="G831" s="9" t="str">
        <f>IF(ISNA(VLOOKUP(Y831,Master!A$8:N$127,5,FALSE)),"",VLOOKUP(Y831,Master!A$8:AH$127,5,FALSE))</f>
        <v/>
      </c>
      <c r="H831" s="9" t="str">
        <f>IF(AND(G831=""),"",IF(AND(Y831=""),"",ROUND(G831*Master!C$4%,0)))</f>
        <v/>
      </c>
      <c r="I831" s="9" t="str">
        <f>IF(AND(G831=""),"",IF(AND(Y831=""),"",ROUND(G831*Master!H$4%,0)))</f>
        <v/>
      </c>
      <c r="J831" s="9" t="str">
        <f t="shared" ref="J831:J833" si="685">IF(AND(C831=""),"",SUM(G831:I831))</f>
        <v/>
      </c>
      <c r="K831" s="9" t="str">
        <f t="shared" ref="K831" si="686">IF(AND(C831=""),"",IF(AND(G831=""),"",C831-G831))</f>
        <v/>
      </c>
      <c r="L831" s="9" t="str">
        <f>IF(AND(D831=""),"",IF(AND(H831=""),"",D831-H831))</f>
        <v/>
      </c>
      <c r="M831" s="9" t="str">
        <f t="shared" ref="M831:M833" si="687">IF(AND(E831=""),"",IF(AND(I831=""),"",E831-I831))</f>
        <v/>
      </c>
      <c r="N831" s="9" t="str">
        <f t="shared" ref="N831:N833" si="688">IF(AND(F831=""),"",IF(AND(J831=""),"",F831-J831))</f>
        <v/>
      </c>
      <c r="O831" s="9" t="str">
        <f>IF(AND(C831=""),"",N831-P831)</f>
        <v/>
      </c>
      <c r="P831" s="9" t="str">
        <f>IF(AND(Y831=""),"",IF(AND(N831=""),"",ROUND(N831*X$16%,0)))</f>
        <v/>
      </c>
      <c r="Q831" s="9" t="str">
        <f>IF(AND(Y831=""),"",IF(AND(C831=""),"",IF(AND(O831=""),"",SUM(O831,P831))))</f>
        <v/>
      </c>
      <c r="R831" s="9" t="str">
        <f>IF(AND(N831=""),"",IF(AND(Q831=""),"",N831-Q831))</f>
        <v/>
      </c>
      <c r="S831" s="20"/>
      <c r="X831" s="62" t="s">
        <v>62</v>
      </c>
      <c r="Y831" s="65">
        <v>74</v>
      </c>
    </row>
    <row r="832" spans="1:27" ht="21" customHeight="1">
      <c r="A832" s="8">
        <v>2</v>
      </c>
      <c r="B832" s="23">
        <v>44593</v>
      </c>
      <c r="C832" s="9" t="str">
        <f>IF(AND(Y831=""),"",C831)</f>
        <v/>
      </c>
      <c r="D832" s="9" t="str">
        <f>IF(AND(C832=""),"",IF(AND(Y831=""),"",ROUND(C832*Master!C$5%,0)))</f>
        <v/>
      </c>
      <c r="E832" s="9" t="str">
        <f>IF(AND(C832=""),"",IF(AND(Y831=""),"",ROUND(C832*Master!H$5%,0)))</f>
        <v/>
      </c>
      <c r="F832" s="9" t="str">
        <f t="shared" si="684"/>
        <v/>
      </c>
      <c r="G832" s="9" t="str">
        <f>IF(AND(Y831=""),"",G831)</f>
        <v/>
      </c>
      <c r="H832" s="9" t="str">
        <f>IF(AND(G832=""),"",IF(AND(Y831=""),"",ROUND(G832*Master!C$4%,0)))</f>
        <v/>
      </c>
      <c r="I832" s="9" t="str">
        <f>IF(AND(G832=""),"",IF(AND(Y831=""),"",ROUND(G832*Master!H$4%,0)))</f>
        <v/>
      </c>
      <c r="J832" s="9" t="str">
        <f t="shared" si="685"/>
        <v/>
      </c>
      <c r="K832" s="9" t="str">
        <f>IF(AND(C832=""),"",IF(AND(G832=""),"",C832-G832))</f>
        <v/>
      </c>
      <c r="L832" s="9" t="str">
        <f t="shared" ref="L832:L833" si="689">IF(AND(D832=""),"",IF(AND(H832=""),"",D832-H832))</f>
        <v/>
      </c>
      <c r="M832" s="9" t="str">
        <f t="shared" si="687"/>
        <v/>
      </c>
      <c r="N832" s="9" t="str">
        <f t="shared" si="688"/>
        <v/>
      </c>
      <c r="O832" s="9" t="str">
        <f t="shared" ref="O832:O833" si="690">IF(AND(C832=""),"",N832-P832)</f>
        <v/>
      </c>
      <c r="P832" s="9" t="str">
        <f>IF(AND(Y831=""),"",IF(AND(N832=""),"",ROUND(N832*X$16%,0)))</f>
        <v/>
      </c>
      <c r="Q832" s="9" t="str">
        <f>IF(AND(Y831=""),"",IF(AND(C832=""),"",IF(AND(O832=""),"",SUM(O832,P832))))</f>
        <v/>
      </c>
      <c r="R832" s="9" t="str">
        <f t="shared" ref="R832:R833" si="691">IF(AND(N832=""),"",IF(AND(Q832=""),"",N832-Q832))</f>
        <v/>
      </c>
      <c r="S832" s="20"/>
      <c r="X832" s="4" t="str">
        <f>IF(ISNA(VLOOKUP(Y831,Master!A$8:N$127,7,FALSE)),"",VLOOKUP(Y831,Master!A$8:AH$127,7,FALSE))</f>
        <v/>
      </c>
    </row>
    <row r="833" spans="1:25" ht="21" customHeight="1">
      <c r="A833" s="8">
        <v>3</v>
      </c>
      <c r="B833" s="23">
        <v>44621</v>
      </c>
      <c r="C833" s="9" t="str">
        <f>IF(AND(Y831=""),"",C832)</f>
        <v/>
      </c>
      <c r="D833" s="9" t="str">
        <f>IF(AND(C833=""),"",IF(AND(Y831=""),"",ROUND(C833*Master!C$5%,0)))</f>
        <v/>
      </c>
      <c r="E833" s="9" t="str">
        <f>IF(AND(C833=""),"",IF(AND(Y831=""),"",ROUND(C833*Master!H$5%,0)))</f>
        <v/>
      </c>
      <c r="F833" s="9" t="str">
        <f t="shared" si="684"/>
        <v/>
      </c>
      <c r="G833" s="9" t="str">
        <f>IF(AND(Y831=""),"",G832)</f>
        <v/>
      </c>
      <c r="H833" s="9" t="str">
        <f>IF(AND(G833=""),"",IF(AND(Y831=""),"",ROUND(G833*Master!C$4%,0)))</f>
        <v/>
      </c>
      <c r="I833" s="9" t="str">
        <f>IF(AND(G833=""),"",IF(AND(Y831=""),"",ROUND(G833*Master!H$4%,0)))</f>
        <v/>
      </c>
      <c r="J833" s="9" t="str">
        <f t="shared" si="685"/>
        <v/>
      </c>
      <c r="K833" s="9" t="str">
        <f t="shared" ref="K833" si="692">IF(AND(C833=""),"",IF(AND(G833=""),"",C833-G833))</f>
        <v/>
      </c>
      <c r="L833" s="9" t="str">
        <f t="shared" si="689"/>
        <v/>
      </c>
      <c r="M833" s="9" t="str">
        <f t="shared" si="687"/>
        <v/>
      </c>
      <c r="N833" s="9" t="str">
        <f t="shared" si="688"/>
        <v/>
      </c>
      <c r="O833" s="9" t="str">
        <f t="shared" si="690"/>
        <v/>
      </c>
      <c r="P833" s="9" t="str">
        <f>IF(AND(Y831=""),"",IF(AND(N833=""),"",ROUND(N833*X$16%,0)))</f>
        <v/>
      </c>
      <c r="Q833" s="9" t="str">
        <f>IF(AND(Y831=""),"",IF(AND(C833=""),"",IF(AND(O833=""),"",SUM(O833,P833))))</f>
        <v/>
      </c>
      <c r="R833" s="9" t="str">
        <f t="shared" si="691"/>
        <v/>
      </c>
      <c r="S833" s="20"/>
    </row>
    <row r="834" spans="1:25" ht="30.75" customHeight="1">
      <c r="A834" s="108" t="s">
        <v>9</v>
      </c>
      <c r="B834" s="109"/>
      <c r="C834" s="64">
        <f>IF(AND(Y831=""),"",SUM(C831:C833))</f>
        <v>0</v>
      </c>
      <c r="D834" s="64">
        <f>IF(AND(Y831=""),"",SUM(D831:D833))</f>
        <v>0</v>
      </c>
      <c r="E834" s="64">
        <f>IF(AND(Y831=""),"",SUM(E831:E833))</f>
        <v>0</v>
      </c>
      <c r="F834" s="64">
        <f>IF(AND(Y831=""),"",SUM(F831:F833))</f>
        <v>0</v>
      </c>
      <c r="G834" s="64">
        <f>IF(AND(Y831=""),"",SUM(G831:G833))</f>
        <v>0</v>
      </c>
      <c r="H834" s="64">
        <f>IF(AND(Y831=""),"",SUM(H831:H833))</f>
        <v>0</v>
      </c>
      <c r="I834" s="64">
        <f>IF(AND(Y831=""),"",SUM(I831:I833))</f>
        <v>0</v>
      </c>
      <c r="J834" s="64">
        <f>IF(AND(Y831=""),"",SUM(J831:J833))</f>
        <v>0</v>
      </c>
      <c r="K834" s="64">
        <f>IF(AND(Y831=""),"",SUM(K831:K833))</f>
        <v>0</v>
      </c>
      <c r="L834" s="64">
        <f>IF(AND(Y831=""),"",SUM(L831:L833))</f>
        <v>0</v>
      </c>
      <c r="M834" s="64">
        <f>IF(AND(Y831=""),"",SUM(M831:M833))</f>
        <v>0</v>
      </c>
      <c r="N834" s="64">
        <f>IF(AND(Y831=""),"",SUM(N831:N833))</f>
        <v>0</v>
      </c>
      <c r="O834" s="64">
        <f>IF(AND(Y831=""),"",SUM(O831:O833))</f>
        <v>0</v>
      </c>
      <c r="P834" s="64">
        <f>IF(AND(Y831=""),"",SUM(P831:P833))</f>
        <v>0</v>
      </c>
      <c r="Q834" s="64">
        <f>IF(AND(Y831=""),"",SUM(Q831:Q833))</f>
        <v>0</v>
      </c>
      <c r="R834" s="64">
        <f>IF(AND(Y831=""),"",SUM(R831:R833))</f>
        <v>0</v>
      </c>
      <c r="S834" s="50"/>
    </row>
    <row r="835" spans="1:25" ht="11.25" customHeight="1">
      <c r="A835" s="75"/>
      <c r="B835" s="75"/>
      <c r="C835" s="76"/>
      <c r="D835" s="76"/>
      <c r="E835" s="76"/>
      <c r="F835" s="76"/>
      <c r="G835" s="76"/>
      <c r="H835" s="76"/>
      <c r="I835" s="76"/>
      <c r="J835" s="76"/>
      <c r="K835" s="76"/>
      <c r="L835" s="76"/>
      <c r="M835" s="76"/>
      <c r="N835" s="76"/>
      <c r="O835" s="76"/>
      <c r="P835" s="76"/>
      <c r="Q835" s="76"/>
      <c r="R835" s="76"/>
      <c r="S835" s="77"/>
    </row>
    <row r="836" spans="1:25" ht="23.25" customHeight="1">
      <c r="E836" s="116" t="s">
        <v>10</v>
      </c>
      <c r="F836" s="116"/>
      <c r="G836" s="116"/>
      <c r="H836" s="116"/>
      <c r="I836" s="116"/>
      <c r="J836" s="115" t="str">
        <f>IF(ISNA(VLOOKUP(Y838,Master!A$8:N$127,2,FALSE)),"",VLOOKUP(Y838,Master!A$8:AH$127,2,FALSE))</f>
        <v/>
      </c>
      <c r="K836" s="115"/>
      <c r="L836" s="115"/>
      <c r="M836" s="115"/>
      <c r="N836" s="115"/>
      <c r="O836" s="61" t="s">
        <v>31</v>
      </c>
      <c r="P836" s="115" t="str">
        <f>IF(ISNA(VLOOKUP($Y$396,Master!A$8:N$127,3,FALSE)),"",VLOOKUP($Y$396,Master!A$8:AH$127,3,FALSE))</f>
        <v/>
      </c>
      <c r="Q836" s="115"/>
      <c r="R836" s="115"/>
      <c r="S836" s="115"/>
    </row>
    <row r="837" spans="1:25" ht="9" customHeight="1">
      <c r="E837" s="19"/>
      <c r="F837" s="53"/>
      <c r="G837" s="22"/>
      <c r="H837" s="22"/>
      <c r="I837" s="22"/>
      <c r="J837" s="5"/>
      <c r="K837" s="5"/>
      <c r="L837" s="5"/>
      <c r="M837" s="5"/>
      <c r="N837" s="5"/>
      <c r="O837" s="6"/>
      <c r="P837" s="6"/>
    </row>
    <row r="838" spans="1:25" ht="21" customHeight="1">
      <c r="A838" s="8">
        <v>1</v>
      </c>
      <c r="B838" s="23">
        <v>44562</v>
      </c>
      <c r="C838" s="9" t="str">
        <f>IF(ISNA(VLOOKUP(Y838,Master!A$8:N$127,5,FALSE)),"",VLOOKUP(Y838,Master!A$8:AH$127,5,FALSE))</f>
        <v/>
      </c>
      <c r="D838" s="9" t="str">
        <f>IF(AND(C838=""),"",IF(AND(Y838=""),"",ROUND(C838*Master!C$5%,0)))</f>
        <v/>
      </c>
      <c r="E838" s="9" t="str">
        <f>IF(AND(C838=""),"",IF(AND(Y838=""),"",ROUND(C838*Master!H$5%,0)))</f>
        <v/>
      </c>
      <c r="F838" s="9" t="str">
        <f t="shared" ref="F838:F840" si="693">IF(AND(C838=""),"",SUM(C838:E838))</f>
        <v/>
      </c>
      <c r="G838" s="9" t="str">
        <f>IF(ISNA(VLOOKUP(Y838,Master!A$8:N$127,5,FALSE)),"",VLOOKUP(Y838,Master!A$8:AH$127,5,FALSE))</f>
        <v/>
      </c>
      <c r="H838" s="9" t="str">
        <f>IF(AND(G838=""),"",IF(AND(Y838=""),"",ROUND(G838*Master!C$4%,0)))</f>
        <v/>
      </c>
      <c r="I838" s="9" t="str">
        <f>IF(AND(G838=""),"",IF(AND(Y838=""),"",ROUND(G838*Master!H$4%,0)))</f>
        <v/>
      </c>
      <c r="J838" s="9" t="str">
        <f t="shared" ref="J838:J840" si="694">IF(AND(C838=""),"",SUM(G838:I838))</f>
        <v/>
      </c>
      <c r="K838" s="9" t="str">
        <f t="shared" ref="K838:K840" si="695">IF(AND(C838=""),"",IF(AND(G838=""),"",C838-G838))</f>
        <v/>
      </c>
      <c r="L838" s="9" t="str">
        <f t="shared" ref="L838:L840" si="696">IF(AND(D838=""),"",IF(AND(H838=""),"",D838-H838))</f>
        <v/>
      </c>
      <c r="M838" s="9" t="str">
        <f t="shared" ref="M838:M840" si="697">IF(AND(E838=""),"",IF(AND(I838=""),"",E838-I838))</f>
        <v/>
      </c>
      <c r="N838" s="9" t="str">
        <f t="shared" ref="N838:N840" si="698">IF(AND(F838=""),"",IF(AND(J838=""),"",F838-J838))</f>
        <v/>
      </c>
      <c r="O838" s="9" t="str">
        <f>IF(AND(C838=""),"",N838-P838)</f>
        <v/>
      </c>
      <c r="P838" s="9" t="str">
        <f>IF(AND(Y838=""),"",IF(AND(N838=""),"",ROUND(N838*AA$1%,0)))</f>
        <v/>
      </c>
      <c r="Q838" s="9" t="str">
        <f>IF(AND(Y838=""),"",IF(AND(C838=""),"",IF(AND(O838=""),"",SUM(O838,P838))))</f>
        <v/>
      </c>
      <c r="R838" s="9" t="str">
        <f>IF(AND(N838=""),"",IF(AND(Q838=""),"",N838-Q838))</f>
        <v/>
      </c>
      <c r="S838" s="20"/>
      <c r="X838" s="62" t="s">
        <v>62</v>
      </c>
      <c r="Y838" s="65">
        <v>75</v>
      </c>
    </row>
    <row r="839" spans="1:25" ht="21" customHeight="1">
      <c r="A839" s="8">
        <v>2</v>
      </c>
      <c r="B839" s="23">
        <v>44593</v>
      </c>
      <c r="C839" s="9" t="str">
        <f>IF(AND(Y838=""),"",C838)</f>
        <v/>
      </c>
      <c r="D839" s="9" t="str">
        <f>IF(AND(C839=""),"",IF(AND(Y838=""),"",ROUND(C839*Master!C$5%,0)))</f>
        <v/>
      </c>
      <c r="E839" s="9" t="str">
        <f>IF(AND(C839=""),"",IF(AND(Y838=""),"",ROUND(C839*Master!H$5%,0)))</f>
        <v/>
      </c>
      <c r="F839" s="9" t="str">
        <f t="shared" si="693"/>
        <v/>
      </c>
      <c r="G839" s="9" t="str">
        <f>IF(AND(Y838=""),"",G838)</f>
        <v/>
      </c>
      <c r="H839" s="9" t="str">
        <f>IF(AND(G839=""),"",IF(AND(Y838=""),"",ROUND(G839*Master!C$4%,0)))</f>
        <v/>
      </c>
      <c r="I839" s="9" t="str">
        <f>IF(AND(G839=""),"",IF(AND(Y838=""),"",ROUND(G839*Master!H$4%,0)))</f>
        <v/>
      </c>
      <c r="J839" s="9" t="str">
        <f t="shared" si="694"/>
        <v/>
      </c>
      <c r="K839" s="9" t="str">
        <f t="shared" si="695"/>
        <v/>
      </c>
      <c r="L839" s="9" t="str">
        <f t="shared" si="696"/>
        <v/>
      </c>
      <c r="M839" s="9" t="str">
        <f t="shared" si="697"/>
        <v/>
      </c>
      <c r="N839" s="9" t="str">
        <f t="shared" si="698"/>
        <v/>
      </c>
      <c r="O839" s="9" t="str">
        <f t="shared" ref="O839:O840" si="699">IF(AND(C839=""),"",N839-P839)</f>
        <v/>
      </c>
      <c r="P839" s="9" t="str">
        <f>IF(AND(Y838=""),"",IF(AND(N839=""),"",ROUND(N839*AA$1%,0)))</f>
        <v/>
      </c>
      <c r="Q839" s="9" t="str">
        <f>IF(AND(Y838=""),"",IF(AND(C839=""),"",IF(AND(O839=""),"",SUM(O839,P839))))</f>
        <v/>
      </c>
      <c r="R839" s="9" t="str">
        <f t="shared" ref="R839:R840" si="700">IF(AND(N839=""),"",IF(AND(Q839=""),"",N839-Q839))</f>
        <v/>
      </c>
      <c r="S839" s="20"/>
      <c r="X839" s="4" t="str">
        <f>IF(ISNA(VLOOKUP(Y838,Master!A$8:N$127,7,FALSE)),"",VLOOKUP(Y838,Master!A$8:AH$127,7,FALSE))</f>
        <v/>
      </c>
    </row>
    <row r="840" spans="1:25" ht="21" customHeight="1">
      <c r="A840" s="8">
        <v>3</v>
      </c>
      <c r="B840" s="23">
        <v>44621</v>
      </c>
      <c r="C840" s="9" t="str">
        <f>IF(AND(Y838=""),"",C839)</f>
        <v/>
      </c>
      <c r="D840" s="9" t="str">
        <f>IF(AND(C840=""),"",IF(AND(Y838=""),"",ROUND(C840*Master!C$5%,0)))</f>
        <v/>
      </c>
      <c r="E840" s="9" t="str">
        <f>IF(AND(C840=""),"",IF(AND(Y838=""),"",ROUND(C840*Master!H$5%,0)))</f>
        <v/>
      </c>
      <c r="F840" s="9" t="str">
        <f t="shared" si="693"/>
        <v/>
      </c>
      <c r="G840" s="9" t="str">
        <f>IF(AND(Y838=""),"",G839)</f>
        <v/>
      </c>
      <c r="H840" s="9" t="str">
        <f>IF(AND(G840=""),"",IF(AND(Y838=""),"",ROUND(G840*Master!C$4%,0)))</f>
        <v/>
      </c>
      <c r="I840" s="9" t="str">
        <f>IF(AND(G840=""),"",IF(AND(Y838=""),"",ROUND(G840*Master!H$4%,0)))</f>
        <v/>
      </c>
      <c r="J840" s="9" t="str">
        <f t="shared" si="694"/>
        <v/>
      </c>
      <c r="K840" s="9" t="str">
        <f t="shared" si="695"/>
        <v/>
      </c>
      <c r="L840" s="9" t="str">
        <f t="shared" si="696"/>
        <v/>
      </c>
      <c r="M840" s="9" t="str">
        <f t="shared" si="697"/>
        <v/>
      </c>
      <c r="N840" s="9" t="str">
        <f t="shared" si="698"/>
        <v/>
      </c>
      <c r="O840" s="9" t="str">
        <f t="shared" si="699"/>
        <v/>
      </c>
      <c r="P840" s="9" t="str">
        <f>IF(AND(Y838=""),"",IF(AND(N840=""),"",ROUND(N840*AA$1%,0)))</f>
        <v/>
      </c>
      <c r="Q840" s="9" t="str">
        <f>IF(AND(Y838=""),"",IF(AND(C840=""),"",IF(AND(O840=""),"",SUM(O840,P840))))</f>
        <v/>
      </c>
      <c r="R840" s="9" t="str">
        <f t="shared" si="700"/>
        <v/>
      </c>
      <c r="S840" s="20"/>
    </row>
    <row r="841" spans="1:25" ht="30.75" customHeight="1">
      <c r="A841" s="108" t="s">
        <v>9</v>
      </c>
      <c r="B841" s="109"/>
      <c r="C841" s="64">
        <f>IF(AND(Y838=""),"",SUM(C838:C840))</f>
        <v>0</v>
      </c>
      <c r="D841" s="64">
        <f>IF(AND(Y838=""),"",SUM(D838:D840))</f>
        <v>0</v>
      </c>
      <c r="E841" s="64">
        <f>IF(AND(Y838=""),"",SUM(E838:E840))</f>
        <v>0</v>
      </c>
      <c r="F841" s="64">
        <f>IF(AND(Y838=""),"",SUM(F838:F840))</f>
        <v>0</v>
      </c>
      <c r="G841" s="64">
        <f>IF(AND(Y838=""),"",SUM(G838:G840))</f>
        <v>0</v>
      </c>
      <c r="H841" s="64">
        <f>IF(AND(Y838=""),"",SUM(H838:H840))</f>
        <v>0</v>
      </c>
      <c r="I841" s="64">
        <f>IF(AND(Y838=""),"",SUM(I838:I840))</f>
        <v>0</v>
      </c>
      <c r="J841" s="64">
        <f>IF(AND(Y838=""),"",SUM(J838:J840))</f>
        <v>0</v>
      </c>
      <c r="K841" s="64">
        <f>IF(AND(Y838=""),"",SUM(K838:K840))</f>
        <v>0</v>
      </c>
      <c r="L841" s="64">
        <f>IF(AND(Y838=""),"",SUM(L838:L840))</f>
        <v>0</v>
      </c>
      <c r="M841" s="64">
        <f>IF(AND(Y838=""),"",SUM(M838:M840))</f>
        <v>0</v>
      </c>
      <c r="N841" s="64">
        <f>IF(AND(Y838=""),"",SUM(N838:N840))</f>
        <v>0</v>
      </c>
      <c r="O841" s="64">
        <f>IF(AND(Y838=""),"",SUM(O838:O840))</f>
        <v>0</v>
      </c>
      <c r="P841" s="64">
        <f>IF(AND(Y838=""),"",SUM(P838:P840))</f>
        <v>0</v>
      </c>
      <c r="Q841" s="64">
        <f>IF(AND(Y838=""),"",SUM(Q838:Q840))</f>
        <v>0</v>
      </c>
      <c r="R841" s="64">
        <f>IF(AND(Y838=""),"",SUM(R838:R840))</f>
        <v>0</v>
      </c>
      <c r="S841" s="50"/>
    </row>
    <row r="842" spans="1:25" ht="30.75" customHeight="1">
      <c r="A842" s="75"/>
      <c r="B842" s="75"/>
      <c r="C842" s="76"/>
      <c r="D842" s="76"/>
      <c r="E842" s="76"/>
      <c r="F842" s="76"/>
      <c r="G842" s="76"/>
      <c r="H842" s="76"/>
      <c r="I842" s="76"/>
      <c r="J842" s="76"/>
      <c r="K842" s="76"/>
      <c r="L842" s="76"/>
      <c r="M842" s="76"/>
      <c r="N842" s="76"/>
      <c r="O842" s="76"/>
      <c r="P842" s="76"/>
      <c r="Q842" s="76"/>
      <c r="R842" s="76"/>
      <c r="S842" s="77"/>
    </row>
    <row r="843" spans="1:25" ht="18.75">
      <c r="A843" s="21"/>
      <c r="B843" s="59"/>
      <c r="C843" s="59"/>
      <c r="D843" s="59"/>
      <c r="E843" s="59"/>
      <c r="F843" s="59"/>
      <c r="G843" s="59"/>
      <c r="H843" s="60"/>
      <c r="I843" s="60"/>
      <c r="J843" s="60"/>
      <c r="K843" s="68"/>
      <c r="L843" s="68"/>
      <c r="M843" s="68"/>
      <c r="N843" s="68"/>
      <c r="O843" s="107" t="s">
        <v>55</v>
      </c>
      <c r="P843" s="107"/>
      <c r="Q843" s="107"/>
      <c r="R843" s="107"/>
      <c r="S843" s="107"/>
    </row>
    <row r="844" spans="1:25" ht="18.75">
      <c r="A844" s="1"/>
      <c r="B844" s="24" t="s">
        <v>19</v>
      </c>
      <c r="C844" s="118"/>
      <c r="D844" s="118"/>
      <c r="E844" s="118"/>
      <c r="F844" s="118"/>
      <c r="G844" s="118"/>
      <c r="H844" s="25"/>
      <c r="I844" s="121" t="s">
        <v>20</v>
      </c>
      <c r="J844" s="121"/>
      <c r="K844" s="120"/>
      <c r="L844" s="120"/>
      <c r="M844" s="120"/>
      <c r="O844" s="107"/>
      <c r="P844" s="107"/>
      <c r="Q844" s="107"/>
      <c r="R844" s="107"/>
      <c r="S844" s="107"/>
    </row>
    <row r="845" spans="1:25" ht="18.75">
      <c r="A845" s="1"/>
      <c r="B845" s="119" t="s">
        <v>21</v>
      </c>
      <c r="C845" s="119"/>
      <c r="D845" s="119"/>
      <c r="E845" s="119"/>
      <c r="F845" s="119"/>
      <c r="G845" s="119"/>
      <c r="H845" s="119"/>
      <c r="I845" s="27"/>
      <c r="J845" s="26"/>
      <c r="K845" s="26"/>
      <c r="L845" s="26"/>
      <c r="M845" s="26"/>
    </row>
    <row r="846" spans="1:25" ht="18.75">
      <c r="A846" s="22">
        <v>1</v>
      </c>
      <c r="B846" s="117" t="s">
        <v>22</v>
      </c>
      <c r="C846" s="117"/>
      <c r="D846" s="117"/>
      <c r="E846" s="117"/>
      <c r="F846" s="117"/>
      <c r="G846" s="117"/>
      <c r="H846" s="117"/>
      <c r="I846" s="28"/>
      <c r="J846" s="26"/>
      <c r="K846" s="26"/>
      <c r="L846" s="26"/>
      <c r="M846" s="26"/>
    </row>
    <row r="847" spans="1:25" ht="18.75">
      <c r="A847" s="2">
        <v>2</v>
      </c>
      <c r="B847" s="117" t="s">
        <v>23</v>
      </c>
      <c r="C847" s="117"/>
      <c r="D847" s="117"/>
      <c r="E847" s="117"/>
      <c r="F847" s="117"/>
      <c r="G847" s="115"/>
      <c r="H847" s="115"/>
      <c r="I847" s="115"/>
      <c r="J847" s="115"/>
      <c r="K847" s="115"/>
      <c r="L847" s="115"/>
      <c r="M847" s="115"/>
    </row>
    <row r="848" spans="1:25" ht="18.75">
      <c r="A848" s="3">
        <v>3</v>
      </c>
      <c r="B848" s="117" t="s">
        <v>24</v>
      </c>
      <c r="C848" s="117"/>
      <c r="D848" s="117"/>
      <c r="E848" s="29"/>
      <c r="F848" s="28"/>
      <c r="G848" s="28"/>
      <c r="H848" s="30"/>
      <c r="I848" s="31"/>
      <c r="J848" s="26"/>
      <c r="K848" s="26"/>
      <c r="L848" s="26"/>
      <c r="M848" s="26"/>
    </row>
    <row r="849" spans="1:27" ht="15.75">
      <c r="O849" s="107" t="s">
        <v>55</v>
      </c>
      <c r="P849" s="107"/>
      <c r="Q849" s="107"/>
      <c r="R849" s="107"/>
      <c r="S849" s="107"/>
    </row>
    <row r="851" spans="1:27" ht="18" customHeight="1">
      <c r="A851" s="122" t="str">
        <f>A817</f>
        <v xml:space="preserve">DA (38%) Drawn Statement  </v>
      </c>
      <c r="B851" s="122"/>
      <c r="C851" s="122"/>
      <c r="D851" s="122"/>
      <c r="E851" s="122"/>
      <c r="F851" s="122"/>
      <c r="G851" s="122"/>
      <c r="H851" s="122"/>
      <c r="I851" s="122"/>
      <c r="J851" s="122"/>
      <c r="K851" s="122"/>
      <c r="L851" s="122"/>
      <c r="M851" s="122"/>
      <c r="N851" s="122"/>
      <c r="O851" s="122"/>
      <c r="P851" s="122"/>
      <c r="Q851" s="122"/>
      <c r="R851" s="122"/>
      <c r="S851" s="122"/>
      <c r="W851" s="4">
        <f>IF(ISNA(VLOOKUP($Y$3,Master!A$8:N$127,4,FALSE)),"",VLOOKUP($Y$3,Master!A$8:AH$127,4,FALSE))</f>
        <v>3</v>
      </c>
      <c r="X851" s="4" t="str">
        <f>IF(ISNA(VLOOKUP($Y$3,Master!A$8:N$127,6,FALSE)),"",VLOOKUP($Y$3,Master!A$8:AH$127,6,FALSE))</f>
        <v>GPF</v>
      </c>
      <c r="Y851" s="4" t="s">
        <v>58</v>
      </c>
      <c r="Z851" s="4" t="s">
        <v>18</v>
      </c>
      <c r="AA851" s="4" t="str">
        <f>IF(ISNA(VLOOKUP(Y853,Master!A$8:N$127,7,FALSE)),"",VLOOKUP(Y853,Master!A$8:AH$127,7,FALSE))</f>
        <v/>
      </c>
    </row>
    <row r="852" spans="1:27" ht="18">
      <c r="A852" s="114" t="str">
        <f>IF(AND(Master!C853=""),"",CONCATENATE("Office Of  ",Master!C853))</f>
        <v/>
      </c>
      <c r="B852" s="114"/>
      <c r="C852" s="114"/>
      <c r="D852" s="114"/>
      <c r="E852" s="114"/>
      <c r="F852" s="114"/>
      <c r="G852" s="114"/>
      <c r="H852" s="114"/>
      <c r="I852" s="114"/>
      <c r="J852" s="114"/>
      <c r="K852" s="114"/>
      <c r="L852" s="114"/>
      <c r="M852" s="114"/>
      <c r="N852" s="114"/>
      <c r="O852" s="114"/>
      <c r="P852" s="114"/>
      <c r="Q852" s="114"/>
      <c r="R852" s="114"/>
      <c r="S852" s="114"/>
      <c r="X852" s="4">
        <f>IF(ISNA(VLOOKUP($Y$3,Master!A$8:N$127,8,FALSE)),"",VLOOKUP($Y$3,Master!A$8:AH$127,8,FALSE))</f>
        <v>44743</v>
      </c>
      <c r="Y852" s="4" t="s">
        <v>56</v>
      </c>
    </row>
    <row r="853" spans="1:27" ht="18.75">
      <c r="E853" s="116" t="s">
        <v>10</v>
      </c>
      <c r="F853" s="116"/>
      <c r="G853" s="116"/>
      <c r="H853" s="116"/>
      <c r="I853" s="116"/>
      <c r="J853" s="115" t="str">
        <f>IF(ISNA(VLOOKUP(Y853,Master!A$8:N$127,2,FALSE)),"",VLOOKUP(Y853,Master!A$8:AH$127,2,FALSE))</f>
        <v/>
      </c>
      <c r="K853" s="115"/>
      <c r="L853" s="115"/>
      <c r="M853" s="115"/>
      <c r="N853" s="115"/>
      <c r="O853" s="61" t="s">
        <v>31</v>
      </c>
      <c r="P853" s="115" t="str">
        <f>IF(ISNA(VLOOKUP(Y853,Master!A$8:N$127,3,FALSE)),"",VLOOKUP(Y853,Master!A$8:AH$127,3,FALSE))</f>
        <v/>
      </c>
      <c r="Q853" s="115"/>
      <c r="R853" s="115"/>
      <c r="S853" s="115"/>
      <c r="X853" s="62" t="s">
        <v>62</v>
      </c>
      <c r="Y853" s="65">
        <v>76</v>
      </c>
    </row>
    <row r="854" spans="1:27" ht="8.25" customHeight="1">
      <c r="E854" s="19"/>
      <c r="F854" s="53"/>
      <c r="G854" s="22"/>
      <c r="H854" s="22"/>
      <c r="I854" s="22"/>
      <c r="J854" s="5"/>
      <c r="K854" s="5"/>
      <c r="L854" s="5"/>
      <c r="M854" s="5"/>
      <c r="N854" s="5"/>
      <c r="O854" s="6"/>
      <c r="P854" s="6"/>
    </row>
    <row r="855" spans="1:27" ht="24.75" customHeight="1">
      <c r="A855" s="110" t="s">
        <v>0</v>
      </c>
      <c r="B855" s="111" t="s">
        <v>3</v>
      </c>
      <c r="C855" s="112" t="s">
        <v>5</v>
      </c>
      <c r="D855" s="112"/>
      <c r="E855" s="112"/>
      <c r="F855" s="112"/>
      <c r="G855" s="112" t="s">
        <v>6</v>
      </c>
      <c r="H855" s="112"/>
      <c r="I855" s="112"/>
      <c r="J855" s="112"/>
      <c r="K855" s="112" t="s">
        <v>7</v>
      </c>
      <c r="L855" s="112"/>
      <c r="M855" s="112"/>
      <c r="N855" s="112"/>
      <c r="O855" s="97" t="s">
        <v>8</v>
      </c>
      <c r="P855" s="98"/>
      <c r="Q855" s="99"/>
      <c r="R855" s="105" t="s">
        <v>67</v>
      </c>
      <c r="S855" s="105" t="s">
        <v>50</v>
      </c>
    </row>
    <row r="856" spans="1:27" ht="69" customHeight="1">
      <c r="A856" s="110"/>
      <c r="B856" s="111"/>
      <c r="C856" s="55" t="s">
        <v>29</v>
      </c>
      <c r="D856" s="56" t="s">
        <v>1</v>
      </c>
      <c r="E856" s="57" t="s">
        <v>2</v>
      </c>
      <c r="F856" s="55" t="s">
        <v>59</v>
      </c>
      <c r="G856" s="55" t="s">
        <v>29</v>
      </c>
      <c r="H856" s="56" t="s">
        <v>1</v>
      </c>
      <c r="I856" s="57" t="s">
        <v>2</v>
      </c>
      <c r="J856" s="55" t="s">
        <v>60</v>
      </c>
      <c r="K856" s="55" t="s">
        <v>4</v>
      </c>
      <c r="L856" s="56" t="s">
        <v>1</v>
      </c>
      <c r="M856" s="57" t="s">
        <v>2</v>
      </c>
      <c r="N856" s="58" t="s">
        <v>61</v>
      </c>
      <c r="O856" s="54" t="s">
        <v>83</v>
      </c>
      <c r="P856" s="67" t="s">
        <v>51</v>
      </c>
      <c r="Q856" s="58" t="s">
        <v>66</v>
      </c>
      <c r="R856" s="105"/>
      <c r="S856" s="105"/>
    </row>
    <row r="857" spans="1:27" ht="18" customHeight="1">
      <c r="A857" s="7">
        <v>1</v>
      </c>
      <c r="B857" s="7">
        <v>2</v>
      </c>
      <c r="C857" s="7">
        <v>3</v>
      </c>
      <c r="D857" s="7">
        <v>4</v>
      </c>
      <c r="E857" s="7">
        <v>5</v>
      </c>
      <c r="F857" s="7">
        <v>6</v>
      </c>
      <c r="G857" s="7">
        <v>7</v>
      </c>
      <c r="H857" s="7">
        <v>8</v>
      </c>
      <c r="I857" s="7">
        <v>9</v>
      </c>
      <c r="J857" s="7">
        <v>10</v>
      </c>
      <c r="K857" s="7">
        <v>11</v>
      </c>
      <c r="L857" s="7">
        <v>12</v>
      </c>
      <c r="M857" s="7">
        <v>13</v>
      </c>
      <c r="N857" s="7">
        <v>14</v>
      </c>
      <c r="O857" s="7">
        <v>15</v>
      </c>
      <c r="P857" s="7">
        <v>17</v>
      </c>
      <c r="Q857" s="7">
        <v>18</v>
      </c>
      <c r="R857" s="7">
        <v>19</v>
      </c>
      <c r="S857" s="7">
        <v>20</v>
      </c>
    </row>
    <row r="858" spans="1:27" ht="21" customHeight="1">
      <c r="A858" s="8">
        <v>1</v>
      </c>
      <c r="B858" s="23">
        <v>44562</v>
      </c>
      <c r="C858" s="9" t="str">
        <f>IF(ISNA(VLOOKUP(Y853,Master!A$8:N$127,5,FALSE)),"",VLOOKUP(Y853,Master!A$8:AH$127,5,FALSE))</f>
        <v/>
      </c>
      <c r="D858" s="9" t="str">
        <f>IF(AND(C858=""),"",IF(AND(Y853=""),"",ROUND(C858*Master!C$5%,0)))</f>
        <v/>
      </c>
      <c r="E858" s="9" t="str">
        <f>IF(AND(C858=""),"",IF(AND(Y853=""),"",ROUND(C858*Master!H$5%,0)))</f>
        <v/>
      </c>
      <c r="F858" s="9" t="str">
        <f t="shared" ref="F858" si="701">IF(AND(C858=""),"",SUM(C858:E858))</f>
        <v/>
      </c>
      <c r="G858" s="9" t="str">
        <f>IF(ISNA(VLOOKUP(Y853,Master!A$8:N$127,5,FALSE)),"",VLOOKUP(Y853,Master!A$8:AH$127,5,FALSE))</f>
        <v/>
      </c>
      <c r="H858" s="9" t="str">
        <f>IF(AND(G858=""),"",IF(AND(Y853=""),"",ROUND(G858*Master!C$4%,0)))</f>
        <v/>
      </c>
      <c r="I858" s="9" t="str">
        <f>IF(AND(G858=""),"",IF(AND(Y853=""),"",ROUND(G858*Master!H$4%,0)))</f>
        <v/>
      </c>
      <c r="J858" s="9" t="str">
        <f t="shared" ref="J858:J859" si="702">IF(AND(C858=""),"",SUM(G858:I858))</f>
        <v/>
      </c>
      <c r="K858" s="9" t="str">
        <f t="shared" ref="K858:K860" si="703">IF(AND(C858=""),"",IF(AND(G858=""),"",C858-G858))</f>
        <v/>
      </c>
      <c r="L858" s="9" t="str">
        <f t="shared" ref="L858:L860" si="704">IF(AND(D858=""),"",IF(AND(H858=""),"",D858-H858))</f>
        <v/>
      </c>
      <c r="M858" s="9" t="str">
        <f t="shared" ref="M858:M859" si="705">IF(AND(E858=""),"",IF(AND(I858=""),"",E858-I858))</f>
        <v/>
      </c>
      <c r="N858" s="9" t="str">
        <f t="shared" ref="N858:N859" si="706">IF(AND(F858=""),"",IF(AND(J858=""),"",F858-J858))</f>
        <v/>
      </c>
      <c r="O858" s="9" t="str">
        <f>IF(AND(C858=""),"",N858-P858)</f>
        <v/>
      </c>
      <c r="P858" s="9" t="str">
        <f>IF(AND(Y853=""),"",IF(AND(N858=""),"",ROUND(N858*AA$1%,0)))</f>
        <v/>
      </c>
      <c r="Q858" s="9" t="str">
        <f>IF(AND(Y853=""),"",IF(AND(C858=""),"",IF(AND(O858=""),"",SUM(O858,P858))))</f>
        <v/>
      </c>
      <c r="R858" s="9" t="str">
        <f>IF(AND(N858=""),"",IF(AND(Q858=""),"",N858-Q858))</f>
        <v/>
      </c>
      <c r="S858" s="20"/>
    </row>
    <row r="859" spans="1:27" ht="21" customHeight="1">
      <c r="A859" s="8">
        <v>2</v>
      </c>
      <c r="B859" s="23">
        <v>44593</v>
      </c>
      <c r="C859" s="9" t="str">
        <f>IF(AND(Y853=""),"",C858)</f>
        <v/>
      </c>
      <c r="D859" s="9" t="str">
        <f>IF(AND(C859=""),"",IF(AND(Y853=""),"",ROUND(C859*Master!C$5%,0)))</f>
        <v/>
      </c>
      <c r="E859" s="9" t="str">
        <f>IF(AND(C859=""),"",IF(AND(Y853=""),"",ROUND(C859*Master!H$5%,0)))</f>
        <v/>
      </c>
      <c r="F859" s="9" t="str">
        <f>IF(AND(C859=""),"",SUM(C859:E859))</f>
        <v/>
      </c>
      <c r="G859" s="9" t="str">
        <f>IF(AND(Y853=""),"",G858)</f>
        <v/>
      </c>
      <c r="H859" s="9" t="str">
        <f>IF(AND(G859=""),"",IF(AND(Y853=""),"",ROUND(G859*Master!C$4%,0)))</f>
        <v/>
      </c>
      <c r="I859" s="9" t="str">
        <f>IF(AND(G859=""),"",IF(AND(Y853=""),"",ROUND(G859*Master!H$4%,0)))</f>
        <v/>
      </c>
      <c r="J859" s="9" t="str">
        <f t="shared" si="702"/>
        <v/>
      </c>
      <c r="K859" s="9" t="str">
        <f t="shared" si="703"/>
        <v/>
      </c>
      <c r="L859" s="9" t="str">
        <f t="shared" si="704"/>
        <v/>
      </c>
      <c r="M859" s="9" t="str">
        <f t="shared" si="705"/>
        <v/>
      </c>
      <c r="N859" s="9" t="str">
        <f t="shared" si="706"/>
        <v/>
      </c>
      <c r="O859" s="9" t="str">
        <f t="shared" ref="O859:O860" si="707">IF(AND(C859=""),"",N859-P859)</f>
        <v/>
      </c>
      <c r="P859" s="9" t="str">
        <f>IF(AND(Y853=""),"",IF(AND(N859=""),"",ROUND(N859*AA$1%,0)))</f>
        <v/>
      </c>
      <c r="Q859" s="9" t="str">
        <f>IF(AND(Y853=""),"",IF(AND(C859=""),"",IF(AND(O859=""),"",SUM(O859,P859))))</f>
        <v/>
      </c>
      <c r="R859" s="9" t="str">
        <f t="shared" ref="R859:R860" si="708">IF(AND(N859=""),"",IF(AND(Q859=""),"",N859-Q859))</f>
        <v/>
      </c>
      <c r="S859" s="20"/>
    </row>
    <row r="860" spans="1:27" ht="21" customHeight="1">
      <c r="A860" s="8">
        <v>3</v>
      </c>
      <c r="B860" s="23">
        <v>44621</v>
      </c>
      <c r="C860" s="9" t="str">
        <f>IF(AND(Y853=""),"",C859)</f>
        <v/>
      </c>
      <c r="D860" s="9" t="str">
        <f>IF(AND(C860=""),"",IF(AND(Y853=""),"",ROUND(C860*Master!C$5%,0)))</f>
        <v/>
      </c>
      <c r="E860" s="9" t="str">
        <f>IF(AND(C860=""),"",IF(AND(Y853=""),"",ROUND(C860*Master!H$5%,0)))</f>
        <v/>
      </c>
      <c r="F860" s="9" t="str">
        <f t="shared" ref="F860" si="709">IF(AND(C860=""),"",SUM(C860:E860))</f>
        <v/>
      </c>
      <c r="G860" s="9" t="str">
        <f>IF(AND(Y853=""),"",G859)</f>
        <v/>
      </c>
      <c r="H860" s="9" t="str">
        <f>IF(AND(G860=""),"",IF(AND(Y853=""),"",ROUND(G860*Master!C$4%,0)))</f>
        <v/>
      </c>
      <c r="I860" s="9" t="str">
        <f>IF(AND(G860=""),"",IF(AND(Y853=""),"",ROUND(G860*Master!H$4%,0)))</f>
        <v/>
      </c>
      <c r="J860" s="9" t="str">
        <f>IF(AND(C860=""),"",SUM(G860:I860))</f>
        <v/>
      </c>
      <c r="K860" s="9" t="str">
        <f t="shared" si="703"/>
        <v/>
      </c>
      <c r="L860" s="9" t="str">
        <f t="shared" si="704"/>
        <v/>
      </c>
      <c r="M860" s="9" t="str">
        <f>IF(AND(E860=""),"",IF(AND(I860=""),"",E860-I860))</f>
        <v/>
      </c>
      <c r="N860" s="9" t="str">
        <f>IF(AND(F860=""),"",IF(AND(J860=""),"",F860-J860))</f>
        <v/>
      </c>
      <c r="O860" s="9" t="str">
        <f t="shared" si="707"/>
        <v/>
      </c>
      <c r="P860" s="9" t="str">
        <f>IF(AND(Y853=""),"",IF(AND(N860=""),"",ROUND(N860*AA$1%,0)))</f>
        <v/>
      </c>
      <c r="Q860" s="9" t="str">
        <f>IF(AND(Y853=""),"",IF(AND(C860=""),"",IF(AND(O860=""),"",SUM(O860,P860))))</f>
        <v/>
      </c>
      <c r="R860" s="9" t="str">
        <f t="shared" si="708"/>
        <v/>
      </c>
      <c r="S860" s="20"/>
    </row>
    <row r="861" spans="1:27" ht="23.25" customHeight="1">
      <c r="A861" s="108" t="s">
        <v>9</v>
      </c>
      <c r="B861" s="109"/>
      <c r="C861" s="64">
        <f>IF(AND(Y853=""),"",SUM(C858:C860))</f>
        <v>0</v>
      </c>
      <c r="D861" s="64">
        <f>IF(AND(Y853=""),"",SUM(D858:D860))</f>
        <v>0</v>
      </c>
      <c r="E861" s="64">
        <f>IF(AND(Y853=""),"",SUM(E858:E860))</f>
        <v>0</v>
      </c>
      <c r="F861" s="64">
        <f>IF(AND(Y853=""),"",SUM(F858:F860))</f>
        <v>0</v>
      </c>
      <c r="G861" s="64">
        <f>IF(AND(Y853=""),"",SUM(G858:G860))</f>
        <v>0</v>
      </c>
      <c r="H861" s="64">
        <f>IF(AND(Y853=""),"",SUM(H858:H860))</f>
        <v>0</v>
      </c>
      <c r="I861" s="64">
        <f>IF(AND(Y853=""),"",SUM(I858:I860))</f>
        <v>0</v>
      </c>
      <c r="J861" s="64">
        <f>IF(AND(Y853=""),"",SUM(J858:J860))</f>
        <v>0</v>
      </c>
      <c r="K861" s="64">
        <f>IF(AND(Y853=""),"",SUM(K858:K860))</f>
        <v>0</v>
      </c>
      <c r="L861" s="64">
        <f>IF(AND(Y853=""),"",SUM(L858:L860))</f>
        <v>0</v>
      </c>
      <c r="M861" s="64">
        <f>IF(AND(Y853=""),"",SUM(M858:M860))</f>
        <v>0</v>
      </c>
      <c r="N861" s="64">
        <f>IF(AND(Y853=""),"",SUM(N858:N860))</f>
        <v>0</v>
      </c>
      <c r="O861" s="64">
        <f>IF(AND(Y853=""),"",SUM(O858:O860))</f>
        <v>0</v>
      </c>
      <c r="P861" s="64">
        <f>IF(AND(Y853=""),"",SUM(P858:P860))</f>
        <v>0</v>
      </c>
      <c r="Q861" s="64">
        <f>IF(AND(Y853=""),"",SUM(Q858:Q860))</f>
        <v>0</v>
      </c>
      <c r="R861" s="64">
        <f>IF(AND(Y853=""),"",SUM(R858:R860))</f>
        <v>0</v>
      </c>
      <c r="S861" s="50"/>
    </row>
    <row r="862" spans="1:27" ht="10.5" customHeight="1">
      <c r="A862" s="75"/>
      <c r="B862" s="75"/>
      <c r="C862" s="76"/>
      <c r="D862" s="76"/>
      <c r="E862" s="76"/>
      <c r="F862" s="76"/>
      <c r="G862" s="76"/>
      <c r="H862" s="76"/>
      <c r="I862" s="76"/>
      <c r="J862" s="76"/>
      <c r="K862" s="76"/>
      <c r="L862" s="76"/>
      <c r="M862" s="76"/>
      <c r="N862" s="76"/>
      <c r="O862" s="76"/>
      <c r="P862" s="76"/>
      <c r="Q862" s="76"/>
      <c r="R862" s="76"/>
      <c r="S862" s="77"/>
    </row>
    <row r="863" spans="1:27" ht="23.25" customHeight="1">
      <c r="E863" s="116" t="s">
        <v>10</v>
      </c>
      <c r="F863" s="116"/>
      <c r="G863" s="116"/>
      <c r="H863" s="116"/>
      <c r="I863" s="116"/>
      <c r="J863" s="115" t="str">
        <f>IF(ISNA(VLOOKUP(Y865,Master!A$8:N$127,2,FALSE)),"",VLOOKUP(Y865,Master!A$8:AH$127,2,FALSE))</f>
        <v/>
      </c>
      <c r="K863" s="115"/>
      <c r="L863" s="115"/>
      <c r="M863" s="115"/>
      <c r="N863" s="115"/>
      <c r="O863" s="61" t="s">
        <v>31</v>
      </c>
      <c r="P863" s="115" t="str">
        <f>IF(ISNA(VLOOKUP(Y865,Master!A$8:N$127,3,FALSE)),"",VLOOKUP(Y865,Master!A$8:AH$127,3,FALSE))</f>
        <v/>
      </c>
      <c r="Q863" s="115"/>
      <c r="R863" s="115"/>
      <c r="S863" s="115"/>
    </row>
    <row r="864" spans="1:27" ht="9" customHeight="1">
      <c r="E864" s="19"/>
      <c r="F864" s="53"/>
      <c r="G864" s="22"/>
      <c r="H864" s="22"/>
      <c r="I864" s="22"/>
      <c r="J864" s="5"/>
      <c r="K864" s="5"/>
      <c r="L864" s="5"/>
      <c r="M864" s="5"/>
      <c r="N864" s="5"/>
      <c r="O864" s="6"/>
      <c r="P864" s="6"/>
    </row>
    <row r="865" spans="1:25" ht="21" customHeight="1">
      <c r="A865" s="8">
        <v>1</v>
      </c>
      <c r="B865" s="23">
        <v>44562</v>
      </c>
      <c r="C865" s="9" t="str">
        <f>IF(ISNA(VLOOKUP(Y865,Master!A$8:N$127,5,FALSE)),"",VLOOKUP(Y865,Master!A$8:AH$127,5,FALSE))</f>
        <v/>
      </c>
      <c r="D865" s="9" t="str">
        <f>IF(AND(C865=""),"",IF(AND(Y865=""),"",ROUND(C865*Master!C$5%,0)))</f>
        <v/>
      </c>
      <c r="E865" s="9" t="str">
        <f>IF(AND(C865=""),"",IF(AND(Y865=""),"",ROUND(C865*Master!H$5%,0)))</f>
        <v/>
      </c>
      <c r="F865" s="9" t="str">
        <f t="shared" ref="F865:F867" si="710">IF(AND(C865=""),"",SUM(C865:E865))</f>
        <v/>
      </c>
      <c r="G865" s="9" t="str">
        <f>IF(ISNA(VLOOKUP(Y865,Master!A$8:N$127,5,FALSE)),"",VLOOKUP(Y865,Master!A$8:AH$127,5,FALSE))</f>
        <v/>
      </c>
      <c r="H865" s="9" t="str">
        <f>IF(AND(G865=""),"",IF(AND(Y865=""),"",ROUND(G865*Master!C$4%,0)))</f>
        <v/>
      </c>
      <c r="I865" s="9" t="str">
        <f>IF(AND(G865=""),"",IF(AND(Y865=""),"",ROUND(G865*Master!H$4%,0)))</f>
        <v/>
      </c>
      <c r="J865" s="9" t="str">
        <f t="shared" ref="J865:J867" si="711">IF(AND(C865=""),"",SUM(G865:I865))</f>
        <v/>
      </c>
      <c r="K865" s="9" t="str">
        <f t="shared" ref="K865" si="712">IF(AND(C865=""),"",IF(AND(G865=""),"",C865-G865))</f>
        <v/>
      </c>
      <c r="L865" s="9" t="str">
        <f>IF(AND(D865=""),"",IF(AND(H865=""),"",D865-H865))</f>
        <v/>
      </c>
      <c r="M865" s="9" t="str">
        <f t="shared" ref="M865:M867" si="713">IF(AND(E865=""),"",IF(AND(I865=""),"",E865-I865))</f>
        <v/>
      </c>
      <c r="N865" s="9" t="str">
        <f t="shared" ref="N865:N867" si="714">IF(AND(F865=""),"",IF(AND(J865=""),"",F865-J865))</f>
        <v/>
      </c>
      <c r="O865" s="9" t="str">
        <f>IF(AND(C865=""),"",N865-P865)</f>
        <v/>
      </c>
      <c r="P865" s="9" t="str">
        <f>IF(AND(Y865=""),"",IF(AND(N865=""),"",ROUND(N865*X$16%,0)))</f>
        <v/>
      </c>
      <c r="Q865" s="9" t="str">
        <f>IF(AND(Y865=""),"",IF(AND(C865=""),"",IF(AND(O865=""),"",SUM(O865,P865))))</f>
        <v/>
      </c>
      <c r="R865" s="9" t="str">
        <f>IF(AND(N865=""),"",IF(AND(Q865=""),"",N865-Q865))</f>
        <v/>
      </c>
      <c r="S865" s="20"/>
      <c r="X865" s="62" t="s">
        <v>62</v>
      </c>
      <c r="Y865" s="65">
        <v>77</v>
      </c>
    </row>
    <row r="866" spans="1:25" ht="21" customHeight="1">
      <c r="A866" s="8">
        <v>2</v>
      </c>
      <c r="B866" s="23">
        <v>44593</v>
      </c>
      <c r="C866" s="9" t="str">
        <f>IF(AND(Y865=""),"",C865)</f>
        <v/>
      </c>
      <c r="D866" s="9" t="str">
        <f>IF(AND(C866=""),"",IF(AND(Y865=""),"",ROUND(C866*Master!C$5%,0)))</f>
        <v/>
      </c>
      <c r="E866" s="9" t="str">
        <f>IF(AND(C866=""),"",IF(AND(Y865=""),"",ROUND(C866*Master!H$5%,0)))</f>
        <v/>
      </c>
      <c r="F866" s="9" t="str">
        <f t="shared" si="710"/>
        <v/>
      </c>
      <c r="G866" s="9" t="str">
        <f>IF(AND(Y865=""),"",G865)</f>
        <v/>
      </c>
      <c r="H866" s="9" t="str">
        <f>IF(AND(G866=""),"",IF(AND(Y865=""),"",ROUND(G866*Master!C$4%,0)))</f>
        <v/>
      </c>
      <c r="I866" s="9" t="str">
        <f>IF(AND(G866=""),"",IF(AND(Y865=""),"",ROUND(G866*Master!H$4%,0)))</f>
        <v/>
      </c>
      <c r="J866" s="9" t="str">
        <f t="shared" si="711"/>
        <v/>
      </c>
      <c r="K866" s="9" t="str">
        <f>IF(AND(C866=""),"",IF(AND(G866=""),"",C866-G866))</f>
        <v/>
      </c>
      <c r="L866" s="9" t="str">
        <f t="shared" ref="L866:L867" si="715">IF(AND(D866=""),"",IF(AND(H866=""),"",D866-H866))</f>
        <v/>
      </c>
      <c r="M866" s="9" t="str">
        <f t="shared" si="713"/>
        <v/>
      </c>
      <c r="N866" s="9" t="str">
        <f t="shared" si="714"/>
        <v/>
      </c>
      <c r="O866" s="9" t="str">
        <f t="shared" ref="O866:O867" si="716">IF(AND(C866=""),"",N866-P866)</f>
        <v/>
      </c>
      <c r="P866" s="9" t="str">
        <f>IF(AND(Y865=""),"",IF(AND(N866=""),"",ROUND(N866*X$16%,0)))</f>
        <v/>
      </c>
      <c r="Q866" s="9" t="str">
        <f>IF(AND(Y865=""),"",IF(AND(C866=""),"",IF(AND(O866=""),"",SUM(O866,P866))))</f>
        <v/>
      </c>
      <c r="R866" s="9" t="str">
        <f t="shared" ref="R866:R867" si="717">IF(AND(N866=""),"",IF(AND(Q866=""),"",N866-Q866))</f>
        <v/>
      </c>
      <c r="S866" s="20"/>
      <c r="X866" s="4" t="str">
        <f>IF(ISNA(VLOOKUP(Y865,Master!A$8:N$127,7,FALSE)),"",VLOOKUP(Y865,Master!A$8:AH$127,7,FALSE))</f>
        <v/>
      </c>
    </row>
    <row r="867" spans="1:25" ht="21" customHeight="1">
      <c r="A867" s="8">
        <v>3</v>
      </c>
      <c r="B867" s="23">
        <v>44621</v>
      </c>
      <c r="C867" s="9" t="str">
        <f>IF(AND(Y865=""),"",C866)</f>
        <v/>
      </c>
      <c r="D867" s="9" t="str">
        <f>IF(AND(C867=""),"",IF(AND(Y865=""),"",ROUND(C867*Master!C$5%,0)))</f>
        <v/>
      </c>
      <c r="E867" s="9" t="str">
        <f>IF(AND(C867=""),"",IF(AND(Y865=""),"",ROUND(C867*Master!H$5%,0)))</f>
        <v/>
      </c>
      <c r="F867" s="9" t="str">
        <f t="shared" si="710"/>
        <v/>
      </c>
      <c r="G867" s="9" t="str">
        <f>IF(AND(Y865=""),"",G866)</f>
        <v/>
      </c>
      <c r="H867" s="9" t="str">
        <f>IF(AND(G867=""),"",IF(AND(Y865=""),"",ROUND(G867*Master!C$4%,0)))</f>
        <v/>
      </c>
      <c r="I867" s="9" t="str">
        <f>IF(AND(G867=""),"",IF(AND(Y865=""),"",ROUND(G867*Master!H$4%,0)))</f>
        <v/>
      </c>
      <c r="J867" s="9" t="str">
        <f t="shared" si="711"/>
        <v/>
      </c>
      <c r="K867" s="9" t="str">
        <f t="shared" ref="K867" si="718">IF(AND(C867=""),"",IF(AND(G867=""),"",C867-G867))</f>
        <v/>
      </c>
      <c r="L867" s="9" t="str">
        <f t="shared" si="715"/>
        <v/>
      </c>
      <c r="M867" s="9" t="str">
        <f t="shared" si="713"/>
        <v/>
      </c>
      <c r="N867" s="9" t="str">
        <f t="shared" si="714"/>
        <v/>
      </c>
      <c r="O867" s="9" t="str">
        <f t="shared" si="716"/>
        <v/>
      </c>
      <c r="P867" s="9" t="str">
        <f>IF(AND(Y865=""),"",IF(AND(N867=""),"",ROUND(N867*X$16%,0)))</f>
        <v/>
      </c>
      <c r="Q867" s="9" t="str">
        <f>IF(AND(Y865=""),"",IF(AND(C867=""),"",IF(AND(O867=""),"",SUM(O867,P867))))</f>
        <v/>
      </c>
      <c r="R867" s="9" t="str">
        <f t="shared" si="717"/>
        <v/>
      </c>
      <c r="S867" s="20"/>
    </row>
    <row r="868" spans="1:25" ht="30.75" customHeight="1">
      <c r="A868" s="108" t="s">
        <v>9</v>
      </c>
      <c r="B868" s="109"/>
      <c r="C868" s="64">
        <f>IF(AND(Y865=""),"",SUM(C865:C867))</f>
        <v>0</v>
      </c>
      <c r="D868" s="64">
        <f>IF(AND(Y865=""),"",SUM(D865:D867))</f>
        <v>0</v>
      </c>
      <c r="E868" s="64">
        <f>IF(AND(Y865=""),"",SUM(E865:E867))</f>
        <v>0</v>
      </c>
      <c r="F868" s="64">
        <f>IF(AND(Y865=""),"",SUM(F865:F867))</f>
        <v>0</v>
      </c>
      <c r="G868" s="64">
        <f>IF(AND(Y865=""),"",SUM(G865:G867))</f>
        <v>0</v>
      </c>
      <c r="H868" s="64">
        <f>IF(AND(Y865=""),"",SUM(H865:H867))</f>
        <v>0</v>
      </c>
      <c r="I868" s="64">
        <f>IF(AND(Y865=""),"",SUM(I865:I867))</f>
        <v>0</v>
      </c>
      <c r="J868" s="64">
        <f>IF(AND(Y865=""),"",SUM(J865:J867))</f>
        <v>0</v>
      </c>
      <c r="K868" s="64">
        <f>IF(AND(Y865=""),"",SUM(K865:K867))</f>
        <v>0</v>
      </c>
      <c r="L868" s="64">
        <f>IF(AND(Y865=""),"",SUM(L865:L867))</f>
        <v>0</v>
      </c>
      <c r="M868" s="64">
        <f>IF(AND(Y865=""),"",SUM(M865:M867))</f>
        <v>0</v>
      </c>
      <c r="N868" s="64">
        <f>IF(AND(Y865=""),"",SUM(N865:N867))</f>
        <v>0</v>
      </c>
      <c r="O868" s="64">
        <f>IF(AND(Y865=""),"",SUM(O865:O867))</f>
        <v>0</v>
      </c>
      <c r="P868" s="64">
        <f>IF(AND(Y865=""),"",SUM(P865:P867))</f>
        <v>0</v>
      </c>
      <c r="Q868" s="64">
        <f>IF(AND(Y865=""),"",SUM(Q865:Q867))</f>
        <v>0</v>
      </c>
      <c r="R868" s="64">
        <f>IF(AND(Y865=""),"",SUM(R865:R867))</f>
        <v>0</v>
      </c>
      <c r="S868" s="50"/>
    </row>
    <row r="869" spans="1:25" ht="11.25" customHeight="1">
      <c r="A869" s="75"/>
      <c r="B869" s="75"/>
      <c r="C869" s="76"/>
      <c r="D869" s="76"/>
      <c r="E869" s="76"/>
      <c r="F869" s="76"/>
      <c r="G869" s="76"/>
      <c r="H869" s="76"/>
      <c r="I869" s="76"/>
      <c r="J869" s="76"/>
      <c r="K869" s="76"/>
      <c r="L869" s="76"/>
      <c r="M869" s="76"/>
      <c r="N869" s="76"/>
      <c r="O869" s="76"/>
      <c r="P869" s="76"/>
      <c r="Q869" s="76"/>
      <c r="R869" s="76"/>
      <c r="S869" s="77"/>
    </row>
    <row r="870" spans="1:25" ht="23.25" customHeight="1">
      <c r="E870" s="116" t="s">
        <v>10</v>
      </c>
      <c r="F870" s="116"/>
      <c r="G870" s="116"/>
      <c r="H870" s="116"/>
      <c r="I870" s="116"/>
      <c r="J870" s="115" t="str">
        <f>IF(ISNA(VLOOKUP(Y872,Master!A$8:N$127,2,FALSE)),"",VLOOKUP(Y872,Master!A$8:AH$127,2,FALSE))</f>
        <v/>
      </c>
      <c r="K870" s="115"/>
      <c r="L870" s="115"/>
      <c r="M870" s="115"/>
      <c r="N870" s="115"/>
      <c r="O870" s="61" t="s">
        <v>31</v>
      </c>
      <c r="P870" s="115" t="str">
        <f>IF(ISNA(VLOOKUP($Y$396,Master!A$8:N$127,3,FALSE)),"",VLOOKUP($Y$396,Master!A$8:AH$127,3,FALSE))</f>
        <v/>
      </c>
      <c r="Q870" s="115"/>
      <c r="R870" s="115"/>
      <c r="S870" s="115"/>
    </row>
    <row r="871" spans="1:25" ht="9" customHeight="1">
      <c r="E871" s="19"/>
      <c r="F871" s="53"/>
      <c r="G871" s="22"/>
      <c r="H871" s="22"/>
      <c r="I871" s="22"/>
      <c r="J871" s="5"/>
      <c r="K871" s="5"/>
      <c r="L871" s="5"/>
      <c r="M871" s="5"/>
      <c r="N871" s="5"/>
      <c r="O871" s="6"/>
      <c r="P871" s="6"/>
    </row>
    <row r="872" spans="1:25" ht="21" customHeight="1">
      <c r="A872" s="8">
        <v>1</v>
      </c>
      <c r="B872" s="23">
        <v>44562</v>
      </c>
      <c r="C872" s="9" t="str">
        <f>IF(ISNA(VLOOKUP(Y872,Master!A$8:N$127,5,FALSE)),"",VLOOKUP(Y872,Master!A$8:AH$127,5,FALSE))</f>
        <v/>
      </c>
      <c r="D872" s="9" t="str">
        <f>IF(AND(C872=""),"",IF(AND(Y872=""),"",ROUND(C872*Master!C$5%,0)))</f>
        <v/>
      </c>
      <c r="E872" s="9" t="str">
        <f>IF(AND(C872=""),"",IF(AND(Y872=""),"",ROUND(C872*Master!H$5%,0)))</f>
        <v/>
      </c>
      <c r="F872" s="9" t="str">
        <f t="shared" ref="F872:F874" si="719">IF(AND(C872=""),"",SUM(C872:E872))</f>
        <v/>
      </c>
      <c r="G872" s="9" t="str">
        <f>IF(ISNA(VLOOKUP(Y872,Master!A$8:N$127,5,FALSE)),"",VLOOKUP(Y872,Master!A$8:AH$127,5,FALSE))</f>
        <v/>
      </c>
      <c r="H872" s="9" t="str">
        <f>IF(AND(G872=""),"",IF(AND(Y872=""),"",ROUND(G872*Master!C$4%,0)))</f>
        <v/>
      </c>
      <c r="I872" s="9" t="str">
        <f>IF(AND(G872=""),"",IF(AND(Y872=""),"",ROUND(G872*Master!H$4%,0)))</f>
        <v/>
      </c>
      <c r="J872" s="9" t="str">
        <f t="shared" ref="J872:J874" si="720">IF(AND(C872=""),"",SUM(G872:I872))</f>
        <v/>
      </c>
      <c r="K872" s="9" t="str">
        <f t="shared" ref="K872:K874" si="721">IF(AND(C872=""),"",IF(AND(G872=""),"",C872-G872))</f>
        <v/>
      </c>
      <c r="L872" s="9" t="str">
        <f t="shared" ref="L872:L874" si="722">IF(AND(D872=""),"",IF(AND(H872=""),"",D872-H872))</f>
        <v/>
      </c>
      <c r="M872" s="9" t="str">
        <f t="shared" ref="M872:M874" si="723">IF(AND(E872=""),"",IF(AND(I872=""),"",E872-I872))</f>
        <v/>
      </c>
      <c r="N872" s="9" t="str">
        <f t="shared" ref="N872:N874" si="724">IF(AND(F872=""),"",IF(AND(J872=""),"",F872-J872))</f>
        <v/>
      </c>
      <c r="O872" s="9" t="str">
        <f>IF(AND(C872=""),"",N872-P872)</f>
        <v/>
      </c>
      <c r="P872" s="9" t="str">
        <f>IF(AND(Y872=""),"",IF(AND(N872=""),"",ROUND(N872*AA$1%,0)))</f>
        <v/>
      </c>
      <c r="Q872" s="9" t="str">
        <f>IF(AND(Y872=""),"",IF(AND(C872=""),"",IF(AND(O872=""),"",SUM(O872,P872))))</f>
        <v/>
      </c>
      <c r="R872" s="9" t="str">
        <f>IF(AND(N872=""),"",IF(AND(Q872=""),"",N872-Q872))</f>
        <v/>
      </c>
      <c r="S872" s="20"/>
      <c r="X872" s="62" t="s">
        <v>62</v>
      </c>
      <c r="Y872" s="65">
        <v>78</v>
      </c>
    </row>
    <row r="873" spans="1:25" ht="21" customHeight="1">
      <c r="A873" s="8">
        <v>2</v>
      </c>
      <c r="B873" s="23">
        <v>44593</v>
      </c>
      <c r="C873" s="9" t="str">
        <f>IF(AND(Y872=""),"",C872)</f>
        <v/>
      </c>
      <c r="D873" s="9" t="str">
        <f>IF(AND(C873=""),"",IF(AND(Y872=""),"",ROUND(C873*Master!C$5%,0)))</f>
        <v/>
      </c>
      <c r="E873" s="9" t="str">
        <f>IF(AND(C873=""),"",IF(AND(Y872=""),"",ROUND(C873*Master!H$5%,0)))</f>
        <v/>
      </c>
      <c r="F873" s="9" t="str">
        <f t="shared" si="719"/>
        <v/>
      </c>
      <c r="G873" s="9" t="str">
        <f>IF(AND(Y872=""),"",G872)</f>
        <v/>
      </c>
      <c r="H873" s="9" t="str">
        <f>IF(AND(G873=""),"",IF(AND(Y872=""),"",ROUND(G873*Master!C$4%,0)))</f>
        <v/>
      </c>
      <c r="I873" s="9" t="str">
        <f>IF(AND(G873=""),"",IF(AND(Y872=""),"",ROUND(G873*Master!H$4%,0)))</f>
        <v/>
      </c>
      <c r="J873" s="9" t="str">
        <f t="shared" si="720"/>
        <v/>
      </c>
      <c r="K873" s="9" t="str">
        <f t="shared" si="721"/>
        <v/>
      </c>
      <c r="L873" s="9" t="str">
        <f t="shared" si="722"/>
        <v/>
      </c>
      <c r="M873" s="9" t="str">
        <f t="shared" si="723"/>
        <v/>
      </c>
      <c r="N873" s="9" t="str">
        <f t="shared" si="724"/>
        <v/>
      </c>
      <c r="O873" s="9" t="str">
        <f t="shared" ref="O873:O874" si="725">IF(AND(C873=""),"",N873-P873)</f>
        <v/>
      </c>
      <c r="P873" s="9" t="str">
        <f>IF(AND(Y872=""),"",IF(AND(N873=""),"",ROUND(N873*AA$1%,0)))</f>
        <v/>
      </c>
      <c r="Q873" s="9" t="str">
        <f>IF(AND(Y872=""),"",IF(AND(C873=""),"",IF(AND(O873=""),"",SUM(O873,P873))))</f>
        <v/>
      </c>
      <c r="R873" s="9" t="str">
        <f t="shared" ref="R873:R874" si="726">IF(AND(N873=""),"",IF(AND(Q873=""),"",N873-Q873))</f>
        <v/>
      </c>
      <c r="S873" s="20"/>
      <c r="X873" s="4" t="str">
        <f>IF(ISNA(VLOOKUP(Y872,Master!A$8:N$127,7,FALSE)),"",VLOOKUP(Y872,Master!A$8:AH$127,7,FALSE))</f>
        <v/>
      </c>
    </row>
    <row r="874" spans="1:25" ht="21" customHeight="1">
      <c r="A874" s="8">
        <v>3</v>
      </c>
      <c r="B874" s="23">
        <v>44621</v>
      </c>
      <c r="C874" s="9" t="str">
        <f>IF(AND(Y872=""),"",C873)</f>
        <v/>
      </c>
      <c r="D874" s="9" t="str">
        <f>IF(AND(C874=""),"",IF(AND(Y872=""),"",ROUND(C874*Master!C$5%,0)))</f>
        <v/>
      </c>
      <c r="E874" s="9" t="str">
        <f>IF(AND(C874=""),"",IF(AND(Y872=""),"",ROUND(C874*Master!H$5%,0)))</f>
        <v/>
      </c>
      <c r="F874" s="9" t="str">
        <f t="shared" si="719"/>
        <v/>
      </c>
      <c r="G874" s="9" t="str">
        <f>IF(AND(Y872=""),"",G873)</f>
        <v/>
      </c>
      <c r="H874" s="9" t="str">
        <f>IF(AND(G874=""),"",IF(AND(Y872=""),"",ROUND(G874*Master!C$4%,0)))</f>
        <v/>
      </c>
      <c r="I874" s="9" t="str">
        <f>IF(AND(G874=""),"",IF(AND(Y872=""),"",ROUND(G874*Master!H$4%,0)))</f>
        <v/>
      </c>
      <c r="J874" s="9" t="str">
        <f t="shared" si="720"/>
        <v/>
      </c>
      <c r="K874" s="9" t="str">
        <f t="shared" si="721"/>
        <v/>
      </c>
      <c r="L874" s="9" t="str">
        <f t="shared" si="722"/>
        <v/>
      </c>
      <c r="M874" s="9" t="str">
        <f t="shared" si="723"/>
        <v/>
      </c>
      <c r="N874" s="9" t="str">
        <f t="shared" si="724"/>
        <v/>
      </c>
      <c r="O874" s="9" t="str">
        <f t="shared" si="725"/>
        <v/>
      </c>
      <c r="P874" s="9" t="str">
        <f>IF(AND(Y872=""),"",IF(AND(N874=""),"",ROUND(N874*AA$1%,0)))</f>
        <v/>
      </c>
      <c r="Q874" s="9" t="str">
        <f>IF(AND(Y872=""),"",IF(AND(C874=""),"",IF(AND(O874=""),"",SUM(O874,P874))))</f>
        <v/>
      </c>
      <c r="R874" s="9" t="str">
        <f t="shared" si="726"/>
        <v/>
      </c>
      <c r="S874" s="20"/>
    </row>
    <row r="875" spans="1:25" ht="30.75" customHeight="1">
      <c r="A875" s="108" t="s">
        <v>9</v>
      </c>
      <c r="B875" s="109"/>
      <c r="C875" s="64">
        <f>IF(AND(Y872=""),"",SUM(C872:C874))</f>
        <v>0</v>
      </c>
      <c r="D875" s="64">
        <f>IF(AND(Y872=""),"",SUM(D872:D874))</f>
        <v>0</v>
      </c>
      <c r="E875" s="64">
        <f>IF(AND(Y872=""),"",SUM(E872:E874))</f>
        <v>0</v>
      </c>
      <c r="F875" s="64">
        <f>IF(AND(Y872=""),"",SUM(F872:F874))</f>
        <v>0</v>
      </c>
      <c r="G875" s="64">
        <f>IF(AND(Y872=""),"",SUM(G872:G874))</f>
        <v>0</v>
      </c>
      <c r="H875" s="64">
        <f>IF(AND(Y872=""),"",SUM(H872:H874))</f>
        <v>0</v>
      </c>
      <c r="I875" s="64">
        <f>IF(AND(Y872=""),"",SUM(I872:I874))</f>
        <v>0</v>
      </c>
      <c r="J875" s="64">
        <f>IF(AND(Y872=""),"",SUM(J872:J874))</f>
        <v>0</v>
      </c>
      <c r="K875" s="64">
        <f>IF(AND(Y872=""),"",SUM(K872:K874))</f>
        <v>0</v>
      </c>
      <c r="L875" s="64">
        <f>IF(AND(Y872=""),"",SUM(L872:L874))</f>
        <v>0</v>
      </c>
      <c r="M875" s="64">
        <f>IF(AND(Y872=""),"",SUM(M872:M874))</f>
        <v>0</v>
      </c>
      <c r="N875" s="64">
        <f>IF(AND(Y872=""),"",SUM(N872:N874))</f>
        <v>0</v>
      </c>
      <c r="O875" s="64">
        <f>IF(AND(Y872=""),"",SUM(O872:O874))</f>
        <v>0</v>
      </c>
      <c r="P875" s="64">
        <f>IF(AND(Y872=""),"",SUM(P872:P874))</f>
        <v>0</v>
      </c>
      <c r="Q875" s="64">
        <f>IF(AND(Y872=""),"",SUM(Q872:Q874))</f>
        <v>0</v>
      </c>
      <c r="R875" s="64">
        <f>IF(AND(Y872=""),"",SUM(R872:R874))</f>
        <v>0</v>
      </c>
      <c r="S875" s="50"/>
    </row>
    <row r="876" spans="1:25" ht="30.75" customHeight="1">
      <c r="A876" s="75"/>
      <c r="B876" s="75"/>
      <c r="C876" s="76"/>
      <c r="D876" s="76"/>
      <c r="E876" s="76"/>
      <c r="F876" s="76"/>
      <c r="G876" s="76"/>
      <c r="H876" s="76"/>
      <c r="I876" s="76"/>
      <c r="J876" s="76"/>
      <c r="K876" s="76"/>
      <c r="L876" s="76"/>
      <c r="M876" s="76"/>
      <c r="N876" s="76"/>
      <c r="O876" s="76"/>
      <c r="P876" s="76"/>
      <c r="Q876" s="76"/>
      <c r="R876" s="76"/>
      <c r="S876" s="77"/>
    </row>
    <row r="877" spans="1:25" ht="18.75">
      <c r="A877" s="21"/>
      <c r="B877" s="59"/>
      <c r="C877" s="59"/>
      <c r="D877" s="59"/>
      <c r="E877" s="59"/>
      <c r="F877" s="59"/>
      <c r="G877" s="59"/>
      <c r="H877" s="60"/>
      <c r="I877" s="60"/>
      <c r="J877" s="60"/>
      <c r="K877" s="68"/>
      <c r="L877" s="68"/>
      <c r="M877" s="68"/>
      <c r="N877" s="68"/>
      <c r="O877" s="107" t="s">
        <v>55</v>
      </c>
      <c r="P877" s="107"/>
      <c r="Q877" s="107"/>
      <c r="R877" s="107"/>
      <c r="S877" s="107"/>
    </row>
    <row r="878" spans="1:25" ht="18.75">
      <c r="A878" s="1"/>
      <c r="B878" s="24" t="s">
        <v>19</v>
      </c>
      <c r="C878" s="118"/>
      <c r="D878" s="118"/>
      <c r="E878" s="118"/>
      <c r="F878" s="118"/>
      <c r="G878" s="118"/>
      <c r="H878" s="25"/>
      <c r="I878" s="121" t="s">
        <v>20</v>
      </c>
      <c r="J878" s="121"/>
      <c r="K878" s="120"/>
      <c r="L878" s="120"/>
      <c r="M878" s="120"/>
      <c r="O878" s="107"/>
      <c r="P878" s="107"/>
      <c r="Q878" s="107"/>
      <c r="R878" s="107"/>
      <c r="S878" s="107"/>
    </row>
    <row r="879" spans="1:25" ht="18.75">
      <c r="A879" s="1"/>
      <c r="B879" s="119" t="s">
        <v>21</v>
      </c>
      <c r="C879" s="119"/>
      <c r="D879" s="119"/>
      <c r="E879" s="119"/>
      <c r="F879" s="119"/>
      <c r="G879" s="119"/>
      <c r="H879" s="119"/>
      <c r="I879" s="27"/>
      <c r="J879" s="26"/>
      <c r="K879" s="26"/>
      <c r="L879" s="26"/>
      <c r="M879" s="26"/>
    </row>
    <row r="880" spans="1:25" ht="18.75">
      <c r="A880" s="22">
        <v>1</v>
      </c>
      <c r="B880" s="117" t="s">
        <v>22</v>
      </c>
      <c r="C880" s="117"/>
      <c r="D880" s="117"/>
      <c r="E880" s="117"/>
      <c r="F880" s="117"/>
      <c r="G880" s="117"/>
      <c r="H880" s="117"/>
      <c r="I880" s="28"/>
      <c r="J880" s="26"/>
      <c r="K880" s="26"/>
      <c r="L880" s="26"/>
      <c r="M880" s="26"/>
    </row>
    <row r="881" spans="1:27" ht="18.75">
      <c r="A881" s="2">
        <v>2</v>
      </c>
      <c r="B881" s="117" t="s">
        <v>23</v>
      </c>
      <c r="C881" s="117"/>
      <c r="D881" s="117"/>
      <c r="E881" s="117"/>
      <c r="F881" s="117"/>
      <c r="G881" s="115"/>
      <c r="H881" s="115"/>
      <c r="I881" s="115"/>
      <c r="J881" s="115"/>
      <c r="K881" s="115"/>
      <c r="L881" s="115"/>
      <c r="M881" s="115"/>
    </row>
    <row r="882" spans="1:27" ht="18.75">
      <c r="A882" s="3">
        <v>3</v>
      </c>
      <c r="B882" s="117" t="s">
        <v>24</v>
      </c>
      <c r="C882" s="117"/>
      <c r="D882" s="117"/>
      <c r="E882" s="29"/>
      <c r="F882" s="28"/>
      <c r="G882" s="28"/>
      <c r="H882" s="30"/>
      <c r="I882" s="31"/>
      <c r="J882" s="26"/>
      <c r="K882" s="26"/>
      <c r="L882" s="26"/>
      <c r="M882" s="26"/>
    </row>
    <row r="883" spans="1:27" ht="15.75">
      <c r="O883" s="107" t="s">
        <v>55</v>
      </c>
      <c r="P883" s="107"/>
      <c r="Q883" s="107"/>
      <c r="R883" s="107"/>
      <c r="S883" s="107"/>
    </row>
    <row r="885" spans="1:27" ht="18" customHeight="1">
      <c r="A885" s="122" t="str">
        <f>A851</f>
        <v xml:space="preserve">DA (38%) Drawn Statement  </v>
      </c>
      <c r="B885" s="122"/>
      <c r="C885" s="122"/>
      <c r="D885" s="122"/>
      <c r="E885" s="122"/>
      <c r="F885" s="122"/>
      <c r="G885" s="122"/>
      <c r="H885" s="122"/>
      <c r="I885" s="122"/>
      <c r="J885" s="122"/>
      <c r="K885" s="122"/>
      <c r="L885" s="122"/>
      <c r="M885" s="122"/>
      <c r="N885" s="122"/>
      <c r="O885" s="122"/>
      <c r="P885" s="122"/>
      <c r="Q885" s="122"/>
      <c r="R885" s="122"/>
      <c r="S885" s="122"/>
      <c r="W885" s="4">
        <f>IF(ISNA(VLOOKUP($Y$3,Master!A$8:N$127,4,FALSE)),"",VLOOKUP($Y$3,Master!A$8:AH$127,4,FALSE))</f>
        <v>3</v>
      </c>
      <c r="X885" s="4" t="str">
        <f>IF(ISNA(VLOOKUP($Y$3,Master!A$8:N$127,6,FALSE)),"",VLOOKUP($Y$3,Master!A$8:AH$127,6,FALSE))</f>
        <v>GPF</v>
      </c>
      <c r="Y885" s="4" t="s">
        <v>58</v>
      </c>
      <c r="Z885" s="4" t="s">
        <v>18</v>
      </c>
      <c r="AA885" s="4" t="str">
        <f>IF(ISNA(VLOOKUP(Y887,Master!A$8:N$127,7,FALSE)),"",VLOOKUP(Y887,Master!A$8:AH$127,7,FALSE))</f>
        <v/>
      </c>
    </row>
    <row r="886" spans="1:27" ht="18">
      <c r="A886" s="114" t="str">
        <f>IF(AND(Master!C887=""),"",CONCATENATE("Office Of  ",Master!C887))</f>
        <v/>
      </c>
      <c r="B886" s="114"/>
      <c r="C886" s="114"/>
      <c r="D886" s="114"/>
      <c r="E886" s="114"/>
      <c r="F886" s="114"/>
      <c r="G886" s="114"/>
      <c r="H886" s="114"/>
      <c r="I886" s="114"/>
      <c r="J886" s="114"/>
      <c r="K886" s="114"/>
      <c r="L886" s="114"/>
      <c r="M886" s="114"/>
      <c r="N886" s="114"/>
      <c r="O886" s="114"/>
      <c r="P886" s="114"/>
      <c r="Q886" s="114"/>
      <c r="R886" s="114"/>
      <c r="S886" s="114"/>
      <c r="X886" s="4">
        <f>IF(ISNA(VLOOKUP($Y$3,Master!A$8:N$127,8,FALSE)),"",VLOOKUP($Y$3,Master!A$8:AH$127,8,FALSE))</f>
        <v>44743</v>
      </c>
      <c r="Y886" s="4" t="s">
        <v>56</v>
      </c>
    </row>
    <row r="887" spans="1:27" ht="18.75">
      <c r="E887" s="116" t="s">
        <v>10</v>
      </c>
      <c r="F887" s="116"/>
      <c r="G887" s="116"/>
      <c r="H887" s="116"/>
      <c r="I887" s="116"/>
      <c r="J887" s="115" t="str">
        <f>IF(ISNA(VLOOKUP(Y887,Master!A$8:N$127,2,FALSE)),"",VLOOKUP(Y887,Master!A$8:AH$127,2,FALSE))</f>
        <v/>
      </c>
      <c r="K887" s="115"/>
      <c r="L887" s="115"/>
      <c r="M887" s="115"/>
      <c r="N887" s="115"/>
      <c r="O887" s="61" t="s">
        <v>31</v>
      </c>
      <c r="P887" s="115" t="str">
        <f>IF(ISNA(VLOOKUP(Y887,Master!A$8:N$127,3,FALSE)),"",VLOOKUP(Y887,Master!A$8:AH$127,3,FALSE))</f>
        <v/>
      </c>
      <c r="Q887" s="115"/>
      <c r="R887" s="115"/>
      <c r="S887" s="115"/>
      <c r="X887" s="62" t="s">
        <v>62</v>
      </c>
      <c r="Y887" s="65">
        <v>79</v>
      </c>
    </row>
    <row r="888" spans="1:27" ht="8.25" customHeight="1">
      <c r="E888" s="19"/>
      <c r="F888" s="53"/>
      <c r="G888" s="22"/>
      <c r="H888" s="22"/>
      <c r="I888" s="22"/>
      <c r="J888" s="5"/>
      <c r="K888" s="5"/>
      <c r="L888" s="5"/>
      <c r="M888" s="5"/>
      <c r="N888" s="5"/>
      <c r="O888" s="6"/>
      <c r="P888" s="6"/>
    </row>
    <row r="889" spans="1:27" ht="24.75" customHeight="1">
      <c r="A889" s="110" t="s">
        <v>0</v>
      </c>
      <c r="B889" s="111" t="s">
        <v>3</v>
      </c>
      <c r="C889" s="112" t="s">
        <v>5</v>
      </c>
      <c r="D889" s="112"/>
      <c r="E889" s="112"/>
      <c r="F889" s="112"/>
      <c r="G889" s="112" t="s">
        <v>6</v>
      </c>
      <c r="H889" s="112"/>
      <c r="I889" s="112"/>
      <c r="J889" s="112"/>
      <c r="K889" s="112" t="s">
        <v>7</v>
      </c>
      <c r="L889" s="112"/>
      <c r="M889" s="112"/>
      <c r="N889" s="112"/>
      <c r="O889" s="97" t="s">
        <v>8</v>
      </c>
      <c r="P889" s="98"/>
      <c r="Q889" s="99"/>
      <c r="R889" s="105" t="s">
        <v>67</v>
      </c>
      <c r="S889" s="105" t="s">
        <v>50</v>
      </c>
    </row>
    <row r="890" spans="1:27" ht="69" customHeight="1">
      <c r="A890" s="110"/>
      <c r="B890" s="111"/>
      <c r="C890" s="55" t="s">
        <v>29</v>
      </c>
      <c r="D890" s="56" t="s">
        <v>1</v>
      </c>
      <c r="E890" s="57" t="s">
        <v>2</v>
      </c>
      <c r="F890" s="55" t="s">
        <v>59</v>
      </c>
      <c r="G890" s="55" t="s">
        <v>29</v>
      </c>
      <c r="H890" s="56" t="s">
        <v>1</v>
      </c>
      <c r="I890" s="57" t="s">
        <v>2</v>
      </c>
      <c r="J890" s="55" t="s">
        <v>60</v>
      </c>
      <c r="K890" s="55" t="s">
        <v>4</v>
      </c>
      <c r="L890" s="56" t="s">
        <v>1</v>
      </c>
      <c r="M890" s="57" t="s">
        <v>2</v>
      </c>
      <c r="N890" s="58" t="s">
        <v>61</v>
      </c>
      <c r="O890" s="54" t="s">
        <v>83</v>
      </c>
      <c r="P890" s="67" t="s">
        <v>51</v>
      </c>
      <c r="Q890" s="58" t="s">
        <v>66</v>
      </c>
      <c r="R890" s="105"/>
      <c r="S890" s="105"/>
    </row>
    <row r="891" spans="1:27" ht="18" customHeight="1">
      <c r="A891" s="7">
        <v>1</v>
      </c>
      <c r="B891" s="7">
        <v>2</v>
      </c>
      <c r="C891" s="7">
        <v>3</v>
      </c>
      <c r="D891" s="7">
        <v>4</v>
      </c>
      <c r="E891" s="7">
        <v>5</v>
      </c>
      <c r="F891" s="7">
        <v>6</v>
      </c>
      <c r="G891" s="7">
        <v>7</v>
      </c>
      <c r="H891" s="7">
        <v>8</v>
      </c>
      <c r="I891" s="7">
        <v>9</v>
      </c>
      <c r="J891" s="7">
        <v>10</v>
      </c>
      <c r="K891" s="7">
        <v>11</v>
      </c>
      <c r="L891" s="7">
        <v>12</v>
      </c>
      <c r="M891" s="7">
        <v>13</v>
      </c>
      <c r="N891" s="7">
        <v>14</v>
      </c>
      <c r="O891" s="7">
        <v>15</v>
      </c>
      <c r="P891" s="7">
        <v>17</v>
      </c>
      <c r="Q891" s="7">
        <v>18</v>
      </c>
      <c r="R891" s="7">
        <v>19</v>
      </c>
      <c r="S891" s="7">
        <v>20</v>
      </c>
    </row>
    <row r="892" spans="1:27" ht="21" customHeight="1">
      <c r="A892" s="8">
        <v>1</v>
      </c>
      <c r="B892" s="23">
        <v>44562</v>
      </c>
      <c r="C892" s="9" t="str">
        <f>IF(ISNA(VLOOKUP(Y887,Master!A$8:N$127,5,FALSE)),"",VLOOKUP(Y887,Master!A$8:AH$127,5,FALSE))</f>
        <v/>
      </c>
      <c r="D892" s="9" t="str">
        <f>IF(AND(C892=""),"",IF(AND(Y887=""),"",ROUND(C892*Master!C$5%,0)))</f>
        <v/>
      </c>
      <c r="E892" s="9" t="str">
        <f>IF(AND(C892=""),"",IF(AND(Y887=""),"",ROUND(C892*Master!H$5%,0)))</f>
        <v/>
      </c>
      <c r="F892" s="9" t="str">
        <f t="shared" ref="F892" si="727">IF(AND(C892=""),"",SUM(C892:E892))</f>
        <v/>
      </c>
      <c r="G892" s="9" t="str">
        <f>IF(ISNA(VLOOKUP(Y887,Master!A$8:N$127,5,FALSE)),"",VLOOKUP(Y887,Master!A$8:AH$127,5,FALSE))</f>
        <v/>
      </c>
      <c r="H892" s="9" t="str">
        <f>IF(AND(G892=""),"",IF(AND(Y887=""),"",ROUND(G892*Master!C$4%,0)))</f>
        <v/>
      </c>
      <c r="I892" s="9" t="str">
        <f>IF(AND(G892=""),"",IF(AND(Y887=""),"",ROUND(G892*Master!H$4%,0)))</f>
        <v/>
      </c>
      <c r="J892" s="9" t="str">
        <f t="shared" ref="J892:J893" si="728">IF(AND(C892=""),"",SUM(G892:I892))</f>
        <v/>
      </c>
      <c r="K892" s="9" t="str">
        <f t="shared" ref="K892:K894" si="729">IF(AND(C892=""),"",IF(AND(G892=""),"",C892-G892))</f>
        <v/>
      </c>
      <c r="L892" s="9" t="str">
        <f t="shared" ref="L892:L894" si="730">IF(AND(D892=""),"",IF(AND(H892=""),"",D892-H892))</f>
        <v/>
      </c>
      <c r="M892" s="9" t="str">
        <f t="shared" ref="M892:M893" si="731">IF(AND(E892=""),"",IF(AND(I892=""),"",E892-I892))</f>
        <v/>
      </c>
      <c r="N892" s="9" t="str">
        <f t="shared" ref="N892:N893" si="732">IF(AND(F892=""),"",IF(AND(J892=""),"",F892-J892))</f>
        <v/>
      </c>
      <c r="O892" s="9" t="str">
        <f>IF(AND(C892=""),"",N892-P892)</f>
        <v/>
      </c>
      <c r="P892" s="9" t="str">
        <f>IF(AND(Y887=""),"",IF(AND(N892=""),"",ROUND(N892*AA$1%,0)))</f>
        <v/>
      </c>
      <c r="Q892" s="9" t="str">
        <f>IF(AND(Y887=""),"",IF(AND(C892=""),"",IF(AND(O892=""),"",SUM(O892,P892))))</f>
        <v/>
      </c>
      <c r="R892" s="9" t="str">
        <f>IF(AND(N892=""),"",IF(AND(Q892=""),"",N892-Q892))</f>
        <v/>
      </c>
      <c r="S892" s="20"/>
    </row>
    <row r="893" spans="1:27" ht="21" customHeight="1">
      <c r="A893" s="8">
        <v>2</v>
      </c>
      <c r="B893" s="23">
        <v>44593</v>
      </c>
      <c r="C893" s="9" t="str">
        <f>IF(AND(Y887=""),"",C892)</f>
        <v/>
      </c>
      <c r="D893" s="9" t="str">
        <f>IF(AND(C893=""),"",IF(AND(Y887=""),"",ROUND(C893*Master!C$5%,0)))</f>
        <v/>
      </c>
      <c r="E893" s="9" t="str">
        <f>IF(AND(C893=""),"",IF(AND(Y887=""),"",ROUND(C893*Master!H$5%,0)))</f>
        <v/>
      </c>
      <c r="F893" s="9" t="str">
        <f>IF(AND(C893=""),"",SUM(C893:E893))</f>
        <v/>
      </c>
      <c r="G893" s="9" t="str">
        <f>IF(AND(Y887=""),"",G892)</f>
        <v/>
      </c>
      <c r="H893" s="9" t="str">
        <f>IF(AND(G893=""),"",IF(AND(Y887=""),"",ROUND(G893*Master!C$4%,0)))</f>
        <v/>
      </c>
      <c r="I893" s="9" t="str">
        <f>IF(AND(G893=""),"",IF(AND(Y887=""),"",ROUND(G893*Master!H$4%,0)))</f>
        <v/>
      </c>
      <c r="J893" s="9" t="str">
        <f t="shared" si="728"/>
        <v/>
      </c>
      <c r="K893" s="9" t="str">
        <f t="shared" si="729"/>
        <v/>
      </c>
      <c r="L893" s="9" t="str">
        <f t="shared" si="730"/>
        <v/>
      </c>
      <c r="M893" s="9" t="str">
        <f t="shared" si="731"/>
        <v/>
      </c>
      <c r="N893" s="9" t="str">
        <f t="shared" si="732"/>
        <v/>
      </c>
      <c r="O893" s="9" t="str">
        <f t="shared" ref="O893:O894" si="733">IF(AND(C893=""),"",N893-P893)</f>
        <v/>
      </c>
      <c r="P893" s="9" t="str">
        <f>IF(AND(Y887=""),"",IF(AND(N893=""),"",ROUND(N893*AA$1%,0)))</f>
        <v/>
      </c>
      <c r="Q893" s="9" t="str">
        <f>IF(AND(Y887=""),"",IF(AND(C893=""),"",IF(AND(O893=""),"",SUM(O893,P893))))</f>
        <v/>
      </c>
      <c r="R893" s="9" t="str">
        <f t="shared" ref="R893:R894" si="734">IF(AND(N893=""),"",IF(AND(Q893=""),"",N893-Q893))</f>
        <v/>
      </c>
      <c r="S893" s="20"/>
    </row>
    <row r="894" spans="1:27" ht="21" customHeight="1">
      <c r="A894" s="8">
        <v>3</v>
      </c>
      <c r="B894" s="23">
        <v>44621</v>
      </c>
      <c r="C894" s="9" t="str">
        <f>IF(AND(Y887=""),"",C893)</f>
        <v/>
      </c>
      <c r="D894" s="9" t="str">
        <f>IF(AND(C894=""),"",IF(AND(Y887=""),"",ROUND(C894*Master!C$5%,0)))</f>
        <v/>
      </c>
      <c r="E894" s="9" t="str">
        <f>IF(AND(C894=""),"",IF(AND(Y887=""),"",ROUND(C894*Master!H$5%,0)))</f>
        <v/>
      </c>
      <c r="F894" s="9" t="str">
        <f t="shared" ref="F894" si="735">IF(AND(C894=""),"",SUM(C894:E894))</f>
        <v/>
      </c>
      <c r="G894" s="9" t="str">
        <f>IF(AND(Y887=""),"",G893)</f>
        <v/>
      </c>
      <c r="H894" s="9" t="str">
        <f>IF(AND(G894=""),"",IF(AND(Y887=""),"",ROUND(G894*Master!C$4%,0)))</f>
        <v/>
      </c>
      <c r="I894" s="9" t="str">
        <f>IF(AND(G894=""),"",IF(AND(Y887=""),"",ROUND(G894*Master!H$4%,0)))</f>
        <v/>
      </c>
      <c r="J894" s="9" t="str">
        <f>IF(AND(C894=""),"",SUM(G894:I894))</f>
        <v/>
      </c>
      <c r="K894" s="9" t="str">
        <f t="shared" si="729"/>
        <v/>
      </c>
      <c r="L894" s="9" t="str">
        <f t="shared" si="730"/>
        <v/>
      </c>
      <c r="M894" s="9" t="str">
        <f>IF(AND(E894=""),"",IF(AND(I894=""),"",E894-I894))</f>
        <v/>
      </c>
      <c r="N894" s="9" t="str">
        <f>IF(AND(F894=""),"",IF(AND(J894=""),"",F894-J894))</f>
        <v/>
      </c>
      <c r="O894" s="9" t="str">
        <f t="shared" si="733"/>
        <v/>
      </c>
      <c r="P894" s="9" t="str">
        <f>IF(AND(Y887=""),"",IF(AND(N894=""),"",ROUND(N894*AA$1%,0)))</f>
        <v/>
      </c>
      <c r="Q894" s="9" t="str">
        <f>IF(AND(Y887=""),"",IF(AND(C894=""),"",IF(AND(O894=""),"",SUM(O894,P894))))</f>
        <v/>
      </c>
      <c r="R894" s="9" t="str">
        <f t="shared" si="734"/>
        <v/>
      </c>
      <c r="S894" s="20"/>
    </row>
    <row r="895" spans="1:27" ht="23.25" customHeight="1">
      <c r="A895" s="108" t="s">
        <v>9</v>
      </c>
      <c r="B895" s="109"/>
      <c r="C895" s="64">
        <f>IF(AND(Y887=""),"",SUM(C892:C894))</f>
        <v>0</v>
      </c>
      <c r="D895" s="64">
        <f>IF(AND(Y887=""),"",SUM(D892:D894))</f>
        <v>0</v>
      </c>
      <c r="E895" s="64">
        <f>IF(AND(Y887=""),"",SUM(E892:E894))</f>
        <v>0</v>
      </c>
      <c r="F895" s="64">
        <f>IF(AND(Y887=""),"",SUM(F892:F894))</f>
        <v>0</v>
      </c>
      <c r="G895" s="64">
        <f>IF(AND(Y887=""),"",SUM(G892:G894))</f>
        <v>0</v>
      </c>
      <c r="H895" s="64">
        <f>IF(AND(Y887=""),"",SUM(H892:H894))</f>
        <v>0</v>
      </c>
      <c r="I895" s="64">
        <f>IF(AND(Y887=""),"",SUM(I892:I894))</f>
        <v>0</v>
      </c>
      <c r="J895" s="64">
        <f>IF(AND(Y887=""),"",SUM(J892:J894))</f>
        <v>0</v>
      </c>
      <c r="K895" s="64">
        <f>IF(AND(Y887=""),"",SUM(K892:K894))</f>
        <v>0</v>
      </c>
      <c r="L895" s="64">
        <f>IF(AND(Y887=""),"",SUM(L892:L894))</f>
        <v>0</v>
      </c>
      <c r="M895" s="64">
        <f>IF(AND(Y887=""),"",SUM(M892:M894))</f>
        <v>0</v>
      </c>
      <c r="N895" s="64">
        <f>IF(AND(Y887=""),"",SUM(N892:N894))</f>
        <v>0</v>
      </c>
      <c r="O895" s="64">
        <f>IF(AND(Y887=""),"",SUM(O892:O894))</f>
        <v>0</v>
      </c>
      <c r="P895" s="64">
        <f>IF(AND(Y887=""),"",SUM(P892:P894))</f>
        <v>0</v>
      </c>
      <c r="Q895" s="64">
        <f>IF(AND(Y887=""),"",SUM(Q892:Q894))</f>
        <v>0</v>
      </c>
      <c r="R895" s="64">
        <f>IF(AND(Y887=""),"",SUM(R892:R894))</f>
        <v>0</v>
      </c>
      <c r="S895" s="50"/>
    </row>
    <row r="896" spans="1:27" ht="10.5" customHeight="1">
      <c r="A896" s="75"/>
      <c r="B896" s="75"/>
      <c r="C896" s="76"/>
      <c r="D896" s="76"/>
      <c r="E896" s="76"/>
      <c r="F896" s="76"/>
      <c r="G896" s="76"/>
      <c r="H896" s="76"/>
      <c r="I896" s="76"/>
      <c r="J896" s="76"/>
      <c r="K896" s="76"/>
      <c r="L896" s="76"/>
      <c r="M896" s="76"/>
      <c r="N896" s="76"/>
      <c r="O896" s="76"/>
      <c r="P896" s="76"/>
      <c r="Q896" s="76"/>
      <c r="R896" s="76"/>
      <c r="S896" s="77"/>
    </row>
    <row r="897" spans="1:25" ht="23.25" customHeight="1">
      <c r="E897" s="116" t="s">
        <v>10</v>
      </c>
      <c r="F897" s="116"/>
      <c r="G897" s="116"/>
      <c r="H897" s="116"/>
      <c r="I897" s="116"/>
      <c r="J897" s="115" t="str">
        <f>IF(ISNA(VLOOKUP(Y899,Master!A$8:N$127,2,FALSE)),"",VLOOKUP(Y899,Master!A$8:AH$127,2,FALSE))</f>
        <v/>
      </c>
      <c r="K897" s="115"/>
      <c r="L897" s="115"/>
      <c r="M897" s="115"/>
      <c r="N897" s="115"/>
      <c r="O897" s="61" t="s">
        <v>31</v>
      </c>
      <c r="P897" s="115" t="str">
        <f>IF(ISNA(VLOOKUP(Y899,Master!A$8:N$127,3,FALSE)),"",VLOOKUP(Y899,Master!A$8:AH$127,3,FALSE))</f>
        <v/>
      </c>
      <c r="Q897" s="115"/>
      <c r="R897" s="115"/>
      <c r="S897" s="115"/>
    </row>
    <row r="898" spans="1:25" ht="9" customHeight="1">
      <c r="E898" s="19"/>
      <c r="F898" s="53"/>
      <c r="G898" s="22"/>
      <c r="H898" s="22"/>
      <c r="I898" s="22"/>
      <c r="J898" s="5"/>
      <c r="K898" s="5"/>
      <c r="L898" s="5"/>
      <c r="M898" s="5"/>
      <c r="N898" s="5"/>
      <c r="O898" s="6"/>
      <c r="P898" s="6"/>
    </row>
    <row r="899" spans="1:25" ht="21" customHeight="1">
      <c r="A899" s="8">
        <v>1</v>
      </c>
      <c r="B899" s="23">
        <v>44562</v>
      </c>
      <c r="C899" s="9" t="str">
        <f>IF(ISNA(VLOOKUP(Y899,Master!A$8:N$127,5,FALSE)),"",VLOOKUP(Y899,Master!A$8:AH$127,5,FALSE))</f>
        <v/>
      </c>
      <c r="D899" s="9" t="str">
        <f>IF(AND(C899=""),"",IF(AND(Y899=""),"",ROUND(C899*Master!C$5%,0)))</f>
        <v/>
      </c>
      <c r="E899" s="9" t="str">
        <f>IF(AND(C899=""),"",IF(AND(Y899=""),"",ROUND(C899*Master!H$5%,0)))</f>
        <v/>
      </c>
      <c r="F899" s="9" t="str">
        <f t="shared" ref="F899:F901" si="736">IF(AND(C899=""),"",SUM(C899:E899))</f>
        <v/>
      </c>
      <c r="G899" s="9" t="str">
        <f>IF(ISNA(VLOOKUP(Y899,Master!A$8:N$127,5,FALSE)),"",VLOOKUP(Y899,Master!A$8:AH$127,5,FALSE))</f>
        <v/>
      </c>
      <c r="H899" s="9" t="str">
        <f>IF(AND(G899=""),"",IF(AND(Y899=""),"",ROUND(G899*Master!C$4%,0)))</f>
        <v/>
      </c>
      <c r="I899" s="9" t="str">
        <f>IF(AND(G899=""),"",IF(AND(Y899=""),"",ROUND(G899*Master!H$4%,0)))</f>
        <v/>
      </c>
      <c r="J899" s="9" t="str">
        <f t="shared" ref="J899:J901" si="737">IF(AND(C899=""),"",SUM(G899:I899))</f>
        <v/>
      </c>
      <c r="K899" s="9" t="str">
        <f t="shared" ref="K899" si="738">IF(AND(C899=""),"",IF(AND(G899=""),"",C899-G899))</f>
        <v/>
      </c>
      <c r="L899" s="9" t="str">
        <f>IF(AND(D899=""),"",IF(AND(H899=""),"",D899-H899))</f>
        <v/>
      </c>
      <c r="M899" s="9" t="str">
        <f t="shared" ref="M899:M901" si="739">IF(AND(E899=""),"",IF(AND(I899=""),"",E899-I899))</f>
        <v/>
      </c>
      <c r="N899" s="9" t="str">
        <f t="shared" ref="N899:N901" si="740">IF(AND(F899=""),"",IF(AND(J899=""),"",F899-J899))</f>
        <v/>
      </c>
      <c r="O899" s="9" t="str">
        <f>IF(AND(C899=""),"",N899-P899)</f>
        <v/>
      </c>
      <c r="P899" s="9" t="str">
        <f>IF(AND(Y899=""),"",IF(AND(N899=""),"",ROUND(N899*X$16%,0)))</f>
        <v/>
      </c>
      <c r="Q899" s="9" t="str">
        <f>IF(AND(Y899=""),"",IF(AND(C899=""),"",IF(AND(O899=""),"",SUM(O899,P899))))</f>
        <v/>
      </c>
      <c r="R899" s="9" t="str">
        <f>IF(AND(N899=""),"",IF(AND(Q899=""),"",N899-Q899))</f>
        <v/>
      </c>
      <c r="S899" s="20"/>
      <c r="X899" s="62" t="s">
        <v>62</v>
      </c>
      <c r="Y899" s="65">
        <v>80</v>
      </c>
    </row>
    <row r="900" spans="1:25" ht="21" customHeight="1">
      <c r="A900" s="8">
        <v>2</v>
      </c>
      <c r="B900" s="23">
        <v>44593</v>
      </c>
      <c r="C900" s="9" t="str">
        <f>IF(AND(Y899=""),"",C899)</f>
        <v/>
      </c>
      <c r="D900" s="9" t="str">
        <f>IF(AND(C900=""),"",IF(AND(Y899=""),"",ROUND(C900*Master!C$5%,0)))</f>
        <v/>
      </c>
      <c r="E900" s="9" t="str">
        <f>IF(AND(C900=""),"",IF(AND(Y899=""),"",ROUND(C900*Master!H$5%,0)))</f>
        <v/>
      </c>
      <c r="F900" s="9" t="str">
        <f t="shared" si="736"/>
        <v/>
      </c>
      <c r="G900" s="9" t="str">
        <f>IF(AND(Y899=""),"",G899)</f>
        <v/>
      </c>
      <c r="H900" s="9" t="str">
        <f>IF(AND(G900=""),"",IF(AND(Y899=""),"",ROUND(G900*Master!C$4%,0)))</f>
        <v/>
      </c>
      <c r="I900" s="9" t="str">
        <f>IF(AND(G900=""),"",IF(AND(Y899=""),"",ROUND(G900*Master!H$4%,0)))</f>
        <v/>
      </c>
      <c r="J900" s="9" t="str">
        <f t="shared" si="737"/>
        <v/>
      </c>
      <c r="K900" s="9" t="str">
        <f>IF(AND(C900=""),"",IF(AND(G900=""),"",C900-G900))</f>
        <v/>
      </c>
      <c r="L900" s="9" t="str">
        <f t="shared" ref="L900:L901" si="741">IF(AND(D900=""),"",IF(AND(H900=""),"",D900-H900))</f>
        <v/>
      </c>
      <c r="M900" s="9" t="str">
        <f t="shared" si="739"/>
        <v/>
      </c>
      <c r="N900" s="9" t="str">
        <f t="shared" si="740"/>
        <v/>
      </c>
      <c r="O900" s="9" t="str">
        <f t="shared" ref="O900:O901" si="742">IF(AND(C900=""),"",N900-P900)</f>
        <v/>
      </c>
      <c r="P900" s="9" t="str">
        <f>IF(AND(Y899=""),"",IF(AND(N900=""),"",ROUND(N900*X$16%,0)))</f>
        <v/>
      </c>
      <c r="Q900" s="9" t="str">
        <f>IF(AND(Y899=""),"",IF(AND(C900=""),"",IF(AND(O900=""),"",SUM(O900,P900))))</f>
        <v/>
      </c>
      <c r="R900" s="9" t="str">
        <f t="shared" ref="R900:R901" si="743">IF(AND(N900=""),"",IF(AND(Q900=""),"",N900-Q900))</f>
        <v/>
      </c>
      <c r="S900" s="20"/>
      <c r="X900" s="4" t="str">
        <f>IF(ISNA(VLOOKUP(Y899,Master!A$8:N$127,7,FALSE)),"",VLOOKUP(Y899,Master!A$8:AH$127,7,FALSE))</f>
        <v/>
      </c>
    </row>
    <row r="901" spans="1:25" ht="21" customHeight="1">
      <c r="A901" s="8">
        <v>3</v>
      </c>
      <c r="B901" s="23">
        <v>44621</v>
      </c>
      <c r="C901" s="9" t="str">
        <f>IF(AND(Y899=""),"",C900)</f>
        <v/>
      </c>
      <c r="D901" s="9" t="str">
        <f>IF(AND(C901=""),"",IF(AND(Y899=""),"",ROUND(C901*Master!C$5%,0)))</f>
        <v/>
      </c>
      <c r="E901" s="9" t="str">
        <f>IF(AND(C901=""),"",IF(AND(Y899=""),"",ROUND(C901*Master!H$5%,0)))</f>
        <v/>
      </c>
      <c r="F901" s="9" t="str">
        <f t="shared" si="736"/>
        <v/>
      </c>
      <c r="G901" s="9" t="str">
        <f>IF(AND(Y899=""),"",G900)</f>
        <v/>
      </c>
      <c r="H901" s="9" t="str">
        <f>IF(AND(G901=""),"",IF(AND(Y899=""),"",ROUND(G901*Master!C$4%,0)))</f>
        <v/>
      </c>
      <c r="I901" s="9" t="str">
        <f>IF(AND(G901=""),"",IF(AND(Y899=""),"",ROUND(G901*Master!H$4%,0)))</f>
        <v/>
      </c>
      <c r="J901" s="9" t="str">
        <f t="shared" si="737"/>
        <v/>
      </c>
      <c r="K901" s="9" t="str">
        <f t="shared" ref="K901" si="744">IF(AND(C901=""),"",IF(AND(G901=""),"",C901-G901))</f>
        <v/>
      </c>
      <c r="L901" s="9" t="str">
        <f t="shared" si="741"/>
        <v/>
      </c>
      <c r="M901" s="9" t="str">
        <f t="shared" si="739"/>
        <v/>
      </c>
      <c r="N901" s="9" t="str">
        <f t="shared" si="740"/>
        <v/>
      </c>
      <c r="O901" s="9" t="str">
        <f t="shared" si="742"/>
        <v/>
      </c>
      <c r="P901" s="9" t="str">
        <f>IF(AND(Y899=""),"",IF(AND(N901=""),"",ROUND(N901*X$16%,0)))</f>
        <v/>
      </c>
      <c r="Q901" s="9" t="str">
        <f>IF(AND(Y899=""),"",IF(AND(C901=""),"",IF(AND(O901=""),"",SUM(O901,P901))))</f>
        <v/>
      </c>
      <c r="R901" s="9" t="str">
        <f t="shared" si="743"/>
        <v/>
      </c>
      <c r="S901" s="20"/>
    </row>
    <row r="902" spans="1:25" ht="30.75" customHeight="1">
      <c r="A902" s="108" t="s">
        <v>9</v>
      </c>
      <c r="B902" s="109"/>
      <c r="C902" s="64">
        <f>IF(AND(Y899=""),"",SUM(C899:C901))</f>
        <v>0</v>
      </c>
      <c r="D902" s="64">
        <f>IF(AND(Y899=""),"",SUM(D899:D901))</f>
        <v>0</v>
      </c>
      <c r="E902" s="64">
        <f>IF(AND(Y899=""),"",SUM(E899:E901))</f>
        <v>0</v>
      </c>
      <c r="F902" s="64">
        <f>IF(AND(Y899=""),"",SUM(F899:F901))</f>
        <v>0</v>
      </c>
      <c r="G902" s="64">
        <f>IF(AND(Y899=""),"",SUM(G899:G901))</f>
        <v>0</v>
      </c>
      <c r="H902" s="64">
        <f>IF(AND(Y899=""),"",SUM(H899:H901))</f>
        <v>0</v>
      </c>
      <c r="I902" s="64">
        <f>IF(AND(Y899=""),"",SUM(I899:I901))</f>
        <v>0</v>
      </c>
      <c r="J902" s="64">
        <f>IF(AND(Y899=""),"",SUM(J899:J901))</f>
        <v>0</v>
      </c>
      <c r="K902" s="64">
        <f>IF(AND(Y899=""),"",SUM(K899:K901))</f>
        <v>0</v>
      </c>
      <c r="L902" s="64">
        <f>IF(AND(Y899=""),"",SUM(L899:L901))</f>
        <v>0</v>
      </c>
      <c r="M902" s="64">
        <f>IF(AND(Y899=""),"",SUM(M899:M901))</f>
        <v>0</v>
      </c>
      <c r="N902" s="64">
        <f>IF(AND(Y899=""),"",SUM(N899:N901))</f>
        <v>0</v>
      </c>
      <c r="O902" s="64">
        <f>IF(AND(Y899=""),"",SUM(O899:O901))</f>
        <v>0</v>
      </c>
      <c r="P902" s="64">
        <f>IF(AND(Y899=""),"",SUM(P899:P901))</f>
        <v>0</v>
      </c>
      <c r="Q902" s="64">
        <f>IF(AND(Y899=""),"",SUM(Q899:Q901))</f>
        <v>0</v>
      </c>
      <c r="R902" s="64">
        <f>IF(AND(Y899=""),"",SUM(R899:R901))</f>
        <v>0</v>
      </c>
      <c r="S902" s="50"/>
    </row>
    <row r="903" spans="1:25" ht="11.25" customHeight="1">
      <c r="A903" s="75"/>
      <c r="B903" s="75"/>
      <c r="C903" s="76"/>
      <c r="D903" s="76"/>
      <c r="E903" s="76"/>
      <c r="F903" s="76"/>
      <c r="G903" s="76"/>
      <c r="H903" s="76"/>
      <c r="I903" s="76"/>
      <c r="J903" s="76"/>
      <c r="K903" s="76"/>
      <c r="L903" s="76"/>
      <c r="M903" s="76"/>
      <c r="N903" s="76"/>
      <c r="O903" s="76"/>
      <c r="P903" s="76"/>
      <c r="Q903" s="76"/>
      <c r="R903" s="76"/>
      <c r="S903" s="77"/>
    </row>
    <row r="904" spans="1:25" ht="23.25" customHeight="1">
      <c r="E904" s="116" t="s">
        <v>10</v>
      </c>
      <c r="F904" s="116"/>
      <c r="G904" s="116"/>
      <c r="H904" s="116"/>
      <c r="I904" s="116"/>
      <c r="J904" s="115" t="str">
        <f>IF(ISNA(VLOOKUP(Y906,Master!A$8:N$127,2,FALSE)),"",VLOOKUP(Y906,Master!A$8:AH$127,2,FALSE))</f>
        <v/>
      </c>
      <c r="K904" s="115"/>
      <c r="L904" s="115"/>
      <c r="M904" s="115"/>
      <c r="N904" s="115"/>
      <c r="O904" s="61" t="s">
        <v>31</v>
      </c>
      <c r="P904" s="115" t="str">
        <f>IF(ISNA(VLOOKUP($Y$396,Master!A$8:N$127,3,FALSE)),"",VLOOKUP($Y$396,Master!A$8:AH$127,3,FALSE))</f>
        <v/>
      </c>
      <c r="Q904" s="115"/>
      <c r="R904" s="115"/>
      <c r="S904" s="115"/>
    </row>
    <row r="905" spans="1:25" ht="9" customHeight="1">
      <c r="E905" s="19"/>
      <c r="F905" s="53"/>
      <c r="G905" s="22"/>
      <c r="H905" s="22"/>
      <c r="I905" s="22"/>
      <c r="J905" s="5"/>
      <c r="K905" s="5"/>
      <c r="L905" s="5"/>
      <c r="M905" s="5"/>
      <c r="N905" s="5"/>
      <c r="O905" s="6"/>
      <c r="P905" s="6"/>
    </row>
    <row r="906" spans="1:25" ht="21" customHeight="1">
      <c r="A906" s="8">
        <v>1</v>
      </c>
      <c r="B906" s="23">
        <v>44562</v>
      </c>
      <c r="C906" s="9" t="str">
        <f>IF(ISNA(VLOOKUP(Y906,Master!A$8:N$127,5,FALSE)),"",VLOOKUP(Y906,Master!A$8:AH$127,5,FALSE))</f>
        <v/>
      </c>
      <c r="D906" s="9" t="str">
        <f>IF(AND(C906=""),"",IF(AND(Y906=""),"",ROUND(C906*Master!C$5%,0)))</f>
        <v/>
      </c>
      <c r="E906" s="9" t="str">
        <f>IF(AND(C906=""),"",IF(AND(Y906=""),"",ROUND(C906*Master!H$5%,0)))</f>
        <v/>
      </c>
      <c r="F906" s="9" t="str">
        <f t="shared" ref="F906:F908" si="745">IF(AND(C906=""),"",SUM(C906:E906))</f>
        <v/>
      </c>
      <c r="G906" s="9" t="str">
        <f>IF(ISNA(VLOOKUP(Y906,Master!A$8:N$127,5,FALSE)),"",VLOOKUP(Y906,Master!A$8:AH$127,5,FALSE))</f>
        <v/>
      </c>
      <c r="H906" s="9" t="str">
        <f>IF(AND(G906=""),"",IF(AND(Y906=""),"",ROUND(G906*Master!C$4%,0)))</f>
        <v/>
      </c>
      <c r="I906" s="9" t="str">
        <f>IF(AND(G906=""),"",IF(AND(Y906=""),"",ROUND(G906*Master!H$4%,0)))</f>
        <v/>
      </c>
      <c r="J906" s="9" t="str">
        <f t="shared" ref="J906:J908" si="746">IF(AND(C906=""),"",SUM(G906:I906))</f>
        <v/>
      </c>
      <c r="K906" s="9" t="str">
        <f t="shared" ref="K906:K908" si="747">IF(AND(C906=""),"",IF(AND(G906=""),"",C906-G906))</f>
        <v/>
      </c>
      <c r="L906" s="9" t="str">
        <f t="shared" ref="L906:L908" si="748">IF(AND(D906=""),"",IF(AND(H906=""),"",D906-H906))</f>
        <v/>
      </c>
      <c r="M906" s="9" t="str">
        <f t="shared" ref="M906:M908" si="749">IF(AND(E906=""),"",IF(AND(I906=""),"",E906-I906))</f>
        <v/>
      </c>
      <c r="N906" s="9" t="str">
        <f t="shared" ref="N906:N908" si="750">IF(AND(F906=""),"",IF(AND(J906=""),"",F906-J906))</f>
        <v/>
      </c>
      <c r="O906" s="9" t="str">
        <f>IF(AND(C906=""),"",N906-P906)</f>
        <v/>
      </c>
      <c r="P906" s="9" t="str">
        <f>IF(AND(Y906=""),"",IF(AND(N906=""),"",ROUND(N906*AA$1%,0)))</f>
        <v/>
      </c>
      <c r="Q906" s="9" t="str">
        <f>IF(AND(Y906=""),"",IF(AND(C906=""),"",IF(AND(O906=""),"",SUM(O906,P906))))</f>
        <v/>
      </c>
      <c r="R906" s="9" t="str">
        <f>IF(AND(N906=""),"",IF(AND(Q906=""),"",N906-Q906))</f>
        <v/>
      </c>
      <c r="S906" s="20"/>
      <c r="X906" s="62" t="s">
        <v>62</v>
      </c>
      <c r="Y906" s="65">
        <v>81</v>
      </c>
    </row>
    <row r="907" spans="1:25" ht="21" customHeight="1">
      <c r="A907" s="8">
        <v>2</v>
      </c>
      <c r="B907" s="23">
        <v>44593</v>
      </c>
      <c r="C907" s="9" t="str">
        <f>IF(AND(Y906=""),"",C906)</f>
        <v/>
      </c>
      <c r="D907" s="9" t="str">
        <f>IF(AND(C907=""),"",IF(AND(Y906=""),"",ROUND(C907*Master!C$5%,0)))</f>
        <v/>
      </c>
      <c r="E907" s="9" t="str">
        <f>IF(AND(C907=""),"",IF(AND(Y906=""),"",ROUND(C907*Master!H$5%,0)))</f>
        <v/>
      </c>
      <c r="F907" s="9" t="str">
        <f t="shared" si="745"/>
        <v/>
      </c>
      <c r="G907" s="9" t="str">
        <f>IF(AND(Y906=""),"",G906)</f>
        <v/>
      </c>
      <c r="H907" s="9" t="str">
        <f>IF(AND(G907=""),"",IF(AND(Y906=""),"",ROUND(G907*Master!C$4%,0)))</f>
        <v/>
      </c>
      <c r="I907" s="9" t="str">
        <f>IF(AND(G907=""),"",IF(AND(Y906=""),"",ROUND(G907*Master!H$4%,0)))</f>
        <v/>
      </c>
      <c r="J907" s="9" t="str">
        <f t="shared" si="746"/>
        <v/>
      </c>
      <c r="K907" s="9" t="str">
        <f t="shared" si="747"/>
        <v/>
      </c>
      <c r="L907" s="9" t="str">
        <f t="shared" si="748"/>
        <v/>
      </c>
      <c r="M907" s="9" t="str">
        <f t="shared" si="749"/>
        <v/>
      </c>
      <c r="N907" s="9" t="str">
        <f t="shared" si="750"/>
        <v/>
      </c>
      <c r="O907" s="9" t="str">
        <f t="shared" ref="O907:O908" si="751">IF(AND(C907=""),"",N907-P907)</f>
        <v/>
      </c>
      <c r="P907" s="9" t="str">
        <f>IF(AND(Y906=""),"",IF(AND(N907=""),"",ROUND(N907*AA$1%,0)))</f>
        <v/>
      </c>
      <c r="Q907" s="9" t="str">
        <f>IF(AND(Y906=""),"",IF(AND(C907=""),"",IF(AND(O907=""),"",SUM(O907,P907))))</f>
        <v/>
      </c>
      <c r="R907" s="9" t="str">
        <f t="shared" ref="R907:R908" si="752">IF(AND(N907=""),"",IF(AND(Q907=""),"",N907-Q907))</f>
        <v/>
      </c>
      <c r="S907" s="20"/>
      <c r="X907" s="4" t="str">
        <f>IF(ISNA(VLOOKUP(Y906,Master!A$8:N$127,7,FALSE)),"",VLOOKUP(Y906,Master!A$8:AH$127,7,FALSE))</f>
        <v/>
      </c>
    </row>
    <row r="908" spans="1:25" ht="21" customHeight="1">
      <c r="A908" s="8">
        <v>3</v>
      </c>
      <c r="B908" s="23">
        <v>44621</v>
      </c>
      <c r="C908" s="9" t="str">
        <f>IF(AND(Y906=""),"",C907)</f>
        <v/>
      </c>
      <c r="D908" s="9" t="str">
        <f>IF(AND(C908=""),"",IF(AND(Y906=""),"",ROUND(C908*Master!C$5%,0)))</f>
        <v/>
      </c>
      <c r="E908" s="9" t="str">
        <f>IF(AND(C908=""),"",IF(AND(Y906=""),"",ROUND(C908*Master!H$5%,0)))</f>
        <v/>
      </c>
      <c r="F908" s="9" t="str">
        <f t="shared" si="745"/>
        <v/>
      </c>
      <c r="G908" s="9" t="str">
        <f>IF(AND(Y906=""),"",G907)</f>
        <v/>
      </c>
      <c r="H908" s="9" t="str">
        <f>IF(AND(G908=""),"",IF(AND(Y906=""),"",ROUND(G908*Master!C$4%,0)))</f>
        <v/>
      </c>
      <c r="I908" s="9" t="str">
        <f>IF(AND(G908=""),"",IF(AND(Y906=""),"",ROUND(G908*Master!H$4%,0)))</f>
        <v/>
      </c>
      <c r="J908" s="9" t="str">
        <f t="shared" si="746"/>
        <v/>
      </c>
      <c r="K908" s="9" t="str">
        <f t="shared" si="747"/>
        <v/>
      </c>
      <c r="L908" s="9" t="str">
        <f t="shared" si="748"/>
        <v/>
      </c>
      <c r="M908" s="9" t="str">
        <f t="shared" si="749"/>
        <v/>
      </c>
      <c r="N908" s="9" t="str">
        <f t="shared" si="750"/>
        <v/>
      </c>
      <c r="O908" s="9" t="str">
        <f t="shared" si="751"/>
        <v/>
      </c>
      <c r="P908" s="9" t="str">
        <f>IF(AND(Y906=""),"",IF(AND(N908=""),"",ROUND(N908*AA$1%,0)))</f>
        <v/>
      </c>
      <c r="Q908" s="9" t="str">
        <f>IF(AND(Y906=""),"",IF(AND(C908=""),"",IF(AND(O908=""),"",SUM(O908,P908))))</f>
        <v/>
      </c>
      <c r="R908" s="9" t="str">
        <f t="shared" si="752"/>
        <v/>
      </c>
      <c r="S908" s="20"/>
    </row>
    <row r="909" spans="1:25" ht="30.75" customHeight="1">
      <c r="A909" s="108" t="s">
        <v>9</v>
      </c>
      <c r="B909" s="109"/>
      <c r="C909" s="64">
        <f>IF(AND(Y906=""),"",SUM(C906:C908))</f>
        <v>0</v>
      </c>
      <c r="D909" s="64">
        <f>IF(AND(Y906=""),"",SUM(D906:D908))</f>
        <v>0</v>
      </c>
      <c r="E909" s="64">
        <f>IF(AND(Y906=""),"",SUM(E906:E908))</f>
        <v>0</v>
      </c>
      <c r="F909" s="64">
        <f>IF(AND(Y906=""),"",SUM(F906:F908))</f>
        <v>0</v>
      </c>
      <c r="G909" s="64">
        <f>IF(AND(Y906=""),"",SUM(G906:G908))</f>
        <v>0</v>
      </c>
      <c r="H909" s="64">
        <f>IF(AND(Y906=""),"",SUM(H906:H908))</f>
        <v>0</v>
      </c>
      <c r="I909" s="64">
        <f>IF(AND(Y906=""),"",SUM(I906:I908))</f>
        <v>0</v>
      </c>
      <c r="J909" s="64">
        <f>IF(AND(Y906=""),"",SUM(J906:J908))</f>
        <v>0</v>
      </c>
      <c r="K909" s="64">
        <f>IF(AND(Y906=""),"",SUM(K906:K908))</f>
        <v>0</v>
      </c>
      <c r="L909" s="64">
        <f>IF(AND(Y906=""),"",SUM(L906:L908))</f>
        <v>0</v>
      </c>
      <c r="M909" s="64">
        <f>IF(AND(Y906=""),"",SUM(M906:M908))</f>
        <v>0</v>
      </c>
      <c r="N909" s="64">
        <f>IF(AND(Y906=""),"",SUM(N906:N908))</f>
        <v>0</v>
      </c>
      <c r="O909" s="64">
        <f>IF(AND(Y906=""),"",SUM(O906:O908))</f>
        <v>0</v>
      </c>
      <c r="P909" s="64">
        <f>IF(AND(Y906=""),"",SUM(P906:P908))</f>
        <v>0</v>
      </c>
      <c r="Q909" s="64">
        <f>IF(AND(Y906=""),"",SUM(Q906:Q908))</f>
        <v>0</v>
      </c>
      <c r="R909" s="64">
        <f>IF(AND(Y906=""),"",SUM(R906:R908))</f>
        <v>0</v>
      </c>
      <c r="S909" s="50"/>
    </row>
    <row r="910" spans="1:25" ht="30.75" customHeight="1">
      <c r="A910" s="75"/>
      <c r="B910" s="75"/>
      <c r="C910" s="76"/>
      <c r="D910" s="76"/>
      <c r="E910" s="76"/>
      <c r="F910" s="76"/>
      <c r="G910" s="76"/>
      <c r="H910" s="76"/>
      <c r="I910" s="76"/>
      <c r="J910" s="76"/>
      <c r="K910" s="76"/>
      <c r="L910" s="76"/>
      <c r="M910" s="76"/>
      <c r="N910" s="76"/>
      <c r="O910" s="76"/>
      <c r="P910" s="76"/>
      <c r="Q910" s="76"/>
      <c r="R910" s="76"/>
      <c r="S910" s="77"/>
    </row>
    <row r="911" spans="1:25" ht="18.75">
      <c r="A911" s="21"/>
      <c r="B911" s="59"/>
      <c r="C911" s="59"/>
      <c r="D911" s="59"/>
      <c r="E911" s="59"/>
      <c r="F911" s="59"/>
      <c r="G911" s="59"/>
      <c r="H911" s="60"/>
      <c r="I911" s="60"/>
      <c r="J911" s="60"/>
      <c r="K911" s="68"/>
      <c r="L911" s="68"/>
      <c r="M911" s="68"/>
      <c r="N911" s="68"/>
      <c r="O911" s="107" t="s">
        <v>55</v>
      </c>
      <c r="P911" s="107"/>
      <c r="Q911" s="107"/>
      <c r="R911" s="107"/>
      <c r="S911" s="107"/>
    </row>
    <row r="912" spans="1:25" ht="18.75">
      <c r="A912" s="1"/>
      <c r="B912" s="24" t="s">
        <v>19</v>
      </c>
      <c r="C912" s="118"/>
      <c r="D912" s="118"/>
      <c r="E912" s="118"/>
      <c r="F912" s="118"/>
      <c r="G912" s="118"/>
      <c r="H912" s="25"/>
      <c r="I912" s="121" t="s">
        <v>20</v>
      </c>
      <c r="J912" s="121"/>
      <c r="K912" s="120"/>
      <c r="L912" s="120"/>
      <c r="M912" s="120"/>
      <c r="O912" s="107"/>
      <c r="P912" s="107"/>
      <c r="Q912" s="107"/>
      <c r="R912" s="107"/>
      <c r="S912" s="107"/>
    </row>
    <row r="913" spans="1:27" ht="18.75">
      <c r="A913" s="1"/>
      <c r="B913" s="119" t="s">
        <v>21</v>
      </c>
      <c r="C913" s="119"/>
      <c r="D913" s="119"/>
      <c r="E913" s="119"/>
      <c r="F913" s="119"/>
      <c r="G913" s="119"/>
      <c r="H913" s="119"/>
      <c r="I913" s="27"/>
      <c r="J913" s="26"/>
      <c r="K913" s="26"/>
      <c r="L913" s="26"/>
      <c r="M913" s="26"/>
    </row>
    <row r="914" spans="1:27" ht="18.75">
      <c r="A914" s="22">
        <v>1</v>
      </c>
      <c r="B914" s="117" t="s">
        <v>22</v>
      </c>
      <c r="C914" s="117"/>
      <c r="D914" s="117"/>
      <c r="E914" s="117"/>
      <c r="F914" s="117"/>
      <c r="G914" s="117"/>
      <c r="H914" s="117"/>
      <c r="I914" s="28"/>
      <c r="J914" s="26"/>
      <c r="K914" s="26"/>
      <c r="L914" s="26"/>
      <c r="M914" s="26"/>
    </row>
    <row r="915" spans="1:27" ht="18.75">
      <c r="A915" s="2">
        <v>2</v>
      </c>
      <c r="B915" s="117" t="s">
        <v>23</v>
      </c>
      <c r="C915" s="117"/>
      <c r="D915" s="117"/>
      <c r="E915" s="117"/>
      <c r="F915" s="117"/>
      <c r="G915" s="115"/>
      <c r="H915" s="115"/>
      <c r="I915" s="115"/>
      <c r="J915" s="115"/>
      <c r="K915" s="115"/>
      <c r="L915" s="115"/>
      <c r="M915" s="115"/>
    </row>
    <row r="916" spans="1:27" ht="18.75">
      <c r="A916" s="3">
        <v>3</v>
      </c>
      <c r="B916" s="117" t="s">
        <v>24</v>
      </c>
      <c r="C916" s="117"/>
      <c r="D916" s="117"/>
      <c r="E916" s="29"/>
      <c r="F916" s="28"/>
      <c r="G916" s="28"/>
      <c r="H916" s="30"/>
      <c r="I916" s="31"/>
      <c r="J916" s="26"/>
      <c r="K916" s="26"/>
      <c r="L916" s="26"/>
      <c r="M916" s="26"/>
    </row>
    <row r="917" spans="1:27" ht="15.75">
      <c r="O917" s="107" t="s">
        <v>55</v>
      </c>
      <c r="P917" s="107"/>
      <c r="Q917" s="107"/>
      <c r="R917" s="107"/>
      <c r="S917" s="107"/>
    </row>
    <row r="919" spans="1:27" ht="18" customHeight="1">
      <c r="A919" s="122" t="str">
        <f>A885</f>
        <v xml:space="preserve">DA (38%) Drawn Statement  </v>
      </c>
      <c r="B919" s="122"/>
      <c r="C919" s="122"/>
      <c r="D919" s="122"/>
      <c r="E919" s="122"/>
      <c r="F919" s="122"/>
      <c r="G919" s="122"/>
      <c r="H919" s="122"/>
      <c r="I919" s="122"/>
      <c r="J919" s="122"/>
      <c r="K919" s="122"/>
      <c r="L919" s="122"/>
      <c r="M919" s="122"/>
      <c r="N919" s="122"/>
      <c r="O919" s="122"/>
      <c r="P919" s="122"/>
      <c r="Q919" s="122"/>
      <c r="R919" s="122"/>
      <c r="S919" s="122"/>
      <c r="W919" s="4">
        <f>IF(ISNA(VLOOKUP($Y$3,Master!A$8:N$127,4,FALSE)),"",VLOOKUP($Y$3,Master!A$8:AH$127,4,FALSE))</f>
        <v>3</v>
      </c>
      <c r="X919" s="4" t="str">
        <f>IF(ISNA(VLOOKUP($Y$3,Master!A$8:N$127,6,FALSE)),"",VLOOKUP($Y$3,Master!A$8:AH$127,6,FALSE))</f>
        <v>GPF</v>
      </c>
      <c r="Y919" s="4" t="s">
        <v>58</v>
      </c>
      <c r="Z919" s="4" t="s">
        <v>18</v>
      </c>
      <c r="AA919" s="4" t="str">
        <f>IF(ISNA(VLOOKUP(Y921,Master!A$8:N$127,7,FALSE)),"",VLOOKUP(Y921,Master!A$8:AH$127,7,FALSE))</f>
        <v/>
      </c>
    </row>
    <row r="920" spans="1:27" ht="18">
      <c r="A920" s="114" t="str">
        <f>IF(AND(Master!C921=""),"",CONCATENATE("Office Of  ",Master!C921))</f>
        <v/>
      </c>
      <c r="B920" s="114"/>
      <c r="C920" s="114"/>
      <c r="D920" s="114"/>
      <c r="E920" s="114"/>
      <c r="F920" s="114"/>
      <c r="G920" s="114"/>
      <c r="H920" s="114"/>
      <c r="I920" s="114"/>
      <c r="J920" s="114"/>
      <c r="K920" s="114"/>
      <c r="L920" s="114"/>
      <c r="M920" s="114"/>
      <c r="N920" s="114"/>
      <c r="O920" s="114"/>
      <c r="P920" s="114"/>
      <c r="Q920" s="114"/>
      <c r="R920" s="114"/>
      <c r="S920" s="114"/>
      <c r="X920" s="4">
        <f>IF(ISNA(VLOOKUP($Y$3,Master!A$8:N$127,8,FALSE)),"",VLOOKUP($Y$3,Master!A$8:AH$127,8,FALSE))</f>
        <v>44743</v>
      </c>
      <c r="Y920" s="4" t="s">
        <v>56</v>
      </c>
    </row>
    <row r="921" spans="1:27" ht="18.75">
      <c r="E921" s="116" t="s">
        <v>10</v>
      </c>
      <c r="F921" s="116"/>
      <c r="G921" s="116"/>
      <c r="H921" s="116"/>
      <c r="I921" s="116"/>
      <c r="J921" s="115" t="str">
        <f>IF(ISNA(VLOOKUP(Y921,Master!A$8:N$127,2,FALSE)),"",VLOOKUP(Y921,Master!A$8:AH$127,2,FALSE))</f>
        <v/>
      </c>
      <c r="K921" s="115"/>
      <c r="L921" s="115"/>
      <c r="M921" s="115"/>
      <c r="N921" s="115"/>
      <c r="O921" s="61" t="s">
        <v>31</v>
      </c>
      <c r="P921" s="115" t="str">
        <f>IF(ISNA(VLOOKUP(Y921,Master!A$8:N$127,3,FALSE)),"",VLOOKUP(Y921,Master!A$8:AH$127,3,FALSE))</f>
        <v/>
      </c>
      <c r="Q921" s="115"/>
      <c r="R921" s="115"/>
      <c r="S921" s="115"/>
      <c r="X921" s="62" t="s">
        <v>62</v>
      </c>
      <c r="Y921" s="65">
        <v>82</v>
      </c>
    </row>
    <row r="922" spans="1:27" ht="8.25" customHeight="1">
      <c r="E922" s="19"/>
      <c r="F922" s="53"/>
      <c r="G922" s="22"/>
      <c r="H922" s="22"/>
      <c r="I922" s="22"/>
      <c r="J922" s="5"/>
      <c r="K922" s="5"/>
      <c r="L922" s="5"/>
      <c r="M922" s="5"/>
      <c r="N922" s="5"/>
      <c r="O922" s="6"/>
      <c r="P922" s="6"/>
    </row>
    <row r="923" spans="1:27" ht="24.75" customHeight="1">
      <c r="A923" s="110" t="s">
        <v>0</v>
      </c>
      <c r="B923" s="111" t="s">
        <v>3</v>
      </c>
      <c r="C923" s="112" t="s">
        <v>5</v>
      </c>
      <c r="D923" s="112"/>
      <c r="E923" s="112"/>
      <c r="F923" s="112"/>
      <c r="G923" s="112" t="s">
        <v>6</v>
      </c>
      <c r="H923" s="112"/>
      <c r="I923" s="112"/>
      <c r="J923" s="112"/>
      <c r="K923" s="112" t="s">
        <v>7</v>
      </c>
      <c r="L923" s="112"/>
      <c r="M923" s="112"/>
      <c r="N923" s="112"/>
      <c r="O923" s="97" t="s">
        <v>8</v>
      </c>
      <c r="P923" s="98"/>
      <c r="Q923" s="99"/>
      <c r="R923" s="105" t="s">
        <v>67</v>
      </c>
      <c r="S923" s="105" t="s">
        <v>50</v>
      </c>
    </row>
    <row r="924" spans="1:27" ht="69" customHeight="1">
      <c r="A924" s="110"/>
      <c r="B924" s="111"/>
      <c r="C924" s="55" t="s">
        <v>29</v>
      </c>
      <c r="D924" s="56" t="s">
        <v>1</v>
      </c>
      <c r="E924" s="57" t="s">
        <v>2</v>
      </c>
      <c r="F924" s="55" t="s">
        <v>59</v>
      </c>
      <c r="G924" s="55" t="s">
        <v>29</v>
      </c>
      <c r="H924" s="56" t="s">
        <v>1</v>
      </c>
      <c r="I924" s="57" t="s">
        <v>2</v>
      </c>
      <c r="J924" s="55" t="s">
        <v>60</v>
      </c>
      <c r="K924" s="55" t="s">
        <v>4</v>
      </c>
      <c r="L924" s="56" t="s">
        <v>1</v>
      </c>
      <c r="M924" s="57" t="s">
        <v>2</v>
      </c>
      <c r="N924" s="58" t="s">
        <v>61</v>
      </c>
      <c r="O924" s="54" t="s">
        <v>83</v>
      </c>
      <c r="P924" s="67" t="s">
        <v>51</v>
      </c>
      <c r="Q924" s="58" t="s">
        <v>66</v>
      </c>
      <c r="R924" s="105"/>
      <c r="S924" s="105"/>
    </row>
    <row r="925" spans="1:27" ht="18" customHeight="1">
      <c r="A925" s="7">
        <v>1</v>
      </c>
      <c r="B925" s="7">
        <v>2</v>
      </c>
      <c r="C925" s="7">
        <v>3</v>
      </c>
      <c r="D925" s="7">
        <v>4</v>
      </c>
      <c r="E925" s="7">
        <v>5</v>
      </c>
      <c r="F925" s="7">
        <v>6</v>
      </c>
      <c r="G925" s="7">
        <v>7</v>
      </c>
      <c r="H925" s="7">
        <v>8</v>
      </c>
      <c r="I925" s="7">
        <v>9</v>
      </c>
      <c r="J925" s="7">
        <v>10</v>
      </c>
      <c r="K925" s="7">
        <v>11</v>
      </c>
      <c r="L925" s="7">
        <v>12</v>
      </c>
      <c r="M925" s="7">
        <v>13</v>
      </c>
      <c r="N925" s="7">
        <v>14</v>
      </c>
      <c r="O925" s="7">
        <v>15</v>
      </c>
      <c r="P925" s="7">
        <v>17</v>
      </c>
      <c r="Q925" s="7">
        <v>18</v>
      </c>
      <c r="R925" s="7">
        <v>19</v>
      </c>
      <c r="S925" s="7">
        <v>20</v>
      </c>
    </row>
    <row r="926" spans="1:27" ht="21" customHeight="1">
      <c r="A926" s="8">
        <v>1</v>
      </c>
      <c r="B926" s="23">
        <v>44562</v>
      </c>
      <c r="C926" s="9" t="str">
        <f>IF(ISNA(VLOOKUP(Y921,Master!A$8:N$127,5,FALSE)),"",VLOOKUP(Y921,Master!A$8:AH$127,5,FALSE))</f>
        <v/>
      </c>
      <c r="D926" s="9" t="str">
        <f>IF(AND(C926=""),"",IF(AND(Y921=""),"",ROUND(C926*Master!C$5%,0)))</f>
        <v/>
      </c>
      <c r="E926" s="9" t="str">
        <f>IF(AND(C926=""),"",IF(AND(Y921=""),"",ROUND(C926*Master!H$5%,0)))</f>
        <v/>
      </c>
      <c r="F926" s="9" t="str">
        <f t="shared" ref="F926" si="753">IF(AND(C926=""),"",SUM(C926:E926))</f>
        <v/>
      </c>
      <c r="G926" s="9" t="str">
        <f>IF(ISNA(VLOOKUP(Y921,Master!A$8:N$127,5,FALSE)),"",VLOOKUP(Y921,Master!A$8:AH$127,5,FALSE))</f>
        <v/>
      </c>
      <c r="H926" s="9" t="str">
        <f>IF(AND(G926=""),"",IF(AND(Y921=""),"",ROUND(G926*Master!C$4%,0)))</f>
        <v/>
      </c>
      <c r="I926" s="9" t="str">
        <f>IF(AND(G926=""),"",IF(AND(Y921=""),"",ROUND(G926*Master!H$4%,0)))</f>
        <v/>
      </c>
      <c r="J926" s="9" t="str">
        <f t="shared" ref="J926:J927" si="754">IF(AND(C926=""),"",SUM(G926:I926))</f>
        <v/>
      </c>
      <c r="K926" s="9" t="str">
        <f t="shared" ref="K926:K928" si="755">IF(AND(C926=""),"",IF(AND(G926=""),"",C926-G926))</f>
        <v/>
      </c>
      <c r="L926" s="9" t="str">
        <f t="shared" ref="L926:L928" si="756">IF(AND(D926=""),"",IF(AND(H926=""),"",D926-H926))</f>
        <v/>
      </c>
      <c r="M926" s="9" t="str">
        <f t="shared" ref="M926:M927" si="757">IF(AND(E926=""),"",IF(AND(I926=""),"",E926-I926))</f>
        <v/>
      </c>
      <c r="N926" s="9" t="str">
        <f t="shared" ref="N926:N927" si="758">IF(AND(F926=""),"",IF(AND(J926=""),"",F926-J926))</f>
        <v/>
      </c>
      <c r="O926" s="9" t="str">
        <f>IF(AND(C926=""),"",N926-P926)</f>
        <v/>
      </c>
      <c r="P926" s="9" t="str">
        <f>IF(AND(Y921=""),"",IF(AND(N926=""),"",ROUND(N926*AA$1%,0)))</f>
        <v/>
      </c>
      <c r="Q926" s="9" t="str">
        <f>IF(AND(Y921=""),"",IF(AND(C926=""),"",IF(AND(O926=""),"",SUM(O926,P926))))</f>
        <v/>
      </c>
      <c r="R926" s="9" t="str">
        <f>IF(AND(N926=""),"",IF(AND(Q926=""),"",N926-Q926))</f>
        <v/>
      </c>
      <c r="S926" s="20"/>
    </row>
    <row r="927" spans="1:27" ht="21" customHeight="1">
      <c r="A927" s="8">
        <v>2</v>
      </c>
      <c r="B927" s="23">
        <v>44593</v>
      </c>
      <c r="C927" s="9" t="str">
        <f>IF(AND(Y921=""),"",C926)</f>
        <v/>
      </c>
      <c r="D927" s="9" t="str">
        <f>IF(AND(C927=""),"",IF(AND(Y921=""),"",ROUND(C927*Master!C$5%,0)))</f>
        <v/>
      </c>
      <c r="E927" s="9" t="str">
        <f>IF(AND(C927=""),"",IF(AND(Y921=""),"",ROUND(C927*Master!H$5%,0)))</f>
        <v/>
      </c>
      <c r="F927" s="9" t="str">
        <f>IF(AND(C927=""),"",SUM(C927:E927))</f>
        <v/>
      </c>
      <c r="G927" s="9" t="str">
        <f>IF(AND(Y921=""),"",G926)</f>
        <v/>
      </c>
      <c r="H927" s="9" t="str">
        <f>IF(AND(G927=""),"",IF(AND(Y921=""),"",ROUND(G927*Master!C$4%,0)))</f>
        <v/>
      </c>
      <c r="I927" s="9" t="str">
        <f>IF(AND(G927=""),"",IF(AND(Y921=""),"",ROUND(G927*Master!H$4%,0)))</f>
        <v/>
      </c>
      <c r="J927" s="9" t="str">
        <f t="shared" si="754"/>
        <v/>
      </c>
      <c r="K927" s="9" t="str">
        <f t="shared" si="755"/>
        <v/>
      </c>
      <c r="L927" s="9" t="str">
        <f t="shared" si="756"/>
        <v/>
      </c>
      <c r="M927" s="9" t="str">
        <f t="shared" si="757"/>
        <v/>
      </c>
      <c r="N927" s="9" t="str">
        <f t="shared" si="758"/>
        <v/>
      </c>
      <c r="O927" s="9" t="str">
        <f t="shared" ref="O927:O928" si="759">IF(AND(C927=""),"",N927-P927)</f>
        <v/>
      </c>
      <c r="P927" s="9" t="str">
        <f>IF(AND(Y921=""),"",IF(AND(N927=""),"",ROUND(N927*AA$1%,0)))</f>
        <v/>
      </c>
      <c r="Q927" s="9" t="str">
        <f>IF(AND(Y921=""),"",IF(AND(C927=""),"",IF(AND(O927=""),"",SUM(O927,P927))))</f>
        <v/>
      </c>
      <c r="R927" s="9" t="str">
        <f t="shared" ref="R927:R928" si="760">IF(AND(N927=""),"",IF(AND(Q927=""),"",N927-Q927))</f>
        <v/>
      </c>
      <c r="S927" s="20"/>
    </row>
    <row r="928" spans="1:27" ht="21" customHeight="1">
      <c r="A928" s="8">
        <v>3</v>
      </c>
      <c r="B928" s="23">
        <v>44621</v>
      </c>
      <c r="C928" s="9" t="str">
        <f>IF(AND(Y921=""),"",C927)</f>
        <v/>
      </c>
      <c r="D928" s="9" t="str">
        <f>IF(AND(C928=""),"",IF(AND(Y921=""),"",ROUND(C928*Master!C$5%,0)))</f>
        <v/>
      </c>
      <c r="E928" s="9" t="str">
        <f>IF(AND(C928=""),"",IF(AND(Y921=""),"",ROUND(C928*Master!H$5%,0)))</f>
        <v/>
      </c>
      <c r="F928" s="9" t="str">
        <f t="shared" ref="F928" si="761">IF(AND(C928=""),"",SUM(C928:E928))</f>
        <v/>
      </c>
      <c r="G928" s="9" t="str">
        <f>IF(AND(Y921=""),"",G927)</f>
        <v/>
      </c>
      <c r="H928" s="9" t="str">
        <f>IF(AND(G928=""),"",IF(AND(Y921=""),"",ROUND(G928*Master!C$4%,0)))</f>
        <v/>
      </c>
      <c r="I928" s="9" t="str">
        <f>IF(AND(G928=""),"",IF(AND(Y921=""),"",ROUND(G928*Master!H$4%,0)))</f>
        <v/>
      </c>
      <c r="J928" s="9" t="str">
        <f>IF(AND(C928=""),"",SUM(G928:I928))</f>
        <v/>
      </c>
      <c r="K928" s="9" t="str">
        <f t="shared" si="755"/>
        <v/>
      </c>
      <c r="L928" s="9" t="str">
        <f t="shared" si="756"/>
        <v/>
      </c>
      <c r="M928" s="9" t="str">
        <f>IF(AND(E928=""),"",IF(AND(I928=""),"",E928-I928))</f>
        <v/>
      </c>
      <c r="N928" s="9" t="str">
        <f>IF(AND(F928=""),"",IF(AND(J928=""),"",F928-J928))</f>
        <v/>
      </c>
      <c r="O928" s="9" t="str">
        <f t="shared" si="759"/>
        <v/>
      </c>
      <c r="P928" s="9" t="str">
        <f>IF(AND(Y921=""),"",IF(AND(N928=""),"",ROUND(N928*AA$1%,0)))</f>
        <v/>
      </c>
      <c r="Q928" s="9" t="str">
        <f>IF(AND(Y921=""),"",IF(AND(C928=""),"",IF(AND(O928=""),"",SUM(O928,P928))))</f>
        <v/>
      </c>
      <c r="R928" s="9" t="str">
        <f t="shared" si="760"/>
        <v/>
      </c>
      <c r="S928" s="20"/>
    </row>
    <row r="929" spans="1:25" ht="23.25" customHeight="1">
      <c r="A929" s="108" t="s">
        <v>9</v>
      </c>
      <c r="B929" s="109"/>
      <c r="C929" s="64">
        <f>IF(AND(Y921=""),"",SUM(C926:C928))</f>
        <v>0</v>
      </c>
      <c r="D929" s="64">
        <f>IF(AND(Y921=""),"",SUM(D926:D928))</f>
        <v>0</v>
      </c>
      <c r="E929" s="64">
        <f>IF(AND(Y921=""),"",SUM(E926:E928))</f>
        <v>0</v>
      </c>
      <c r="F929" s="64">
        <f>IF(AND(Y921=""),"",SUM(F926:F928))</f>
        <v>0</v>
      </c>
      <c r="G929" s="64">
        <f>IF(AND(Y921=""),"",SUM(G926:G928))</f>
        <v>0</v>
      </c>
      <c r="H929" s="64">
        <f>IF(AND(Y921=""),"",SUM(H926:H928))</f>
        <v>0</v>
      </c>
      <c r="I929" s="64">
        <f>IF(AND(Y921=""),"",SUM(I926:I928))</f>
        <v>0</v>
      </c>
      <c r="J929" s="64">
        <f>IF(AND(Y921=""),"",SUM(J926:J928))</f>
        <v>0</v>
      </c>
      <c r="K929" s="64">
        <f>IF(AND(Y921=""),"",SUM(K926:K928))</f>
        <v>0</v>
      </c>
      <c r="L929" s="64">
        <f>IF(AND(Y921=""),"",SUM(L926:L928))</f>
        <v>0</v>
      </c>
      <c r="M929" s="64">
        <f>IF(AND(Y921=""),"",SUM(M926:M928))</f>
        <v>0</v>
      </c>
      <c r="N929" s="64">
        <f>IF(AND(Y921=""),"",SUM(N926:N928))</f>
        <v>0</v>
      </c>
      <c r="O929" s="64">
        <f>IF(AND(Y921=""),"",SUM(O926:O928))</f>
        <v>0</v>
      </c>
      <c r="P929" s="64">
        <f>IF(AND(Y921=""),"",SUM(P926:P928))</f>
        <v>0</v>
      </c>
      <c r="Q929" s="64">
        <f>IF(AND(Y921=""),"",SUM(Q926:Q928))</f>
        <v>0</v>
      </c>
      <c r="R929" s="64">
        <f>IF(AND(Y921=""),"",SUM(R926:R928))</f>
        <v>0</v>
      </c>
      <c r="S929" s="50"/>
    </row>
    <row r="930" spans="1:25" ht="10.5" customHeight="1">
      <c r="A930" s="75"/>
      <c r="B930" s="75"/>
      <c r="C930" s="76"/>
      <c r="D930" s="76"/>
      <c r="E930" s="76"/>
      <c r="F930" s="76"/>
      <c r="G930" s="76"/>
      <c r="H930" s="76"/>
      <c r="I930" s="76"/>
      <c r="J930" s="76"/>
      <c r="K930" s="76"/>
      <c r="L930" s="76"/>
      <c r="M930" s="76"/>
      <c r="N930" s="76"/>
      <c r="O930" s="76"/>
      <c r="P930" s="76"/>
      <c r="Q930" s="76"/>
      <c r="R930" s="76"/>
      <c r="S930" s="77"/>
    </row>
    <row r="931" spans="1:25" ht="23.25" customHeight="1">
      <c r="E931" s="116" t="s">
        <v>10</v>
      </c>
      <c r="F931" s="116"/>
      <c r="G931" s="116"/>
      <c r="H931" s="116"/>
      <c r="I931" s="116"/>
      <c r="J931" s="115" t="str">
        <f>IF(ISNA(VLOOKUP(Y933,Master!A$8:N$127,2,FALSE)),"",VLOOKUP(Y933,Master!A$8:AH$127,2,FALSE))</f>
        <v/>
      </c>
      <c r="K931" s="115"/>
      <c r="L931" s="115"/>
      <c r="M931" s="115"/>
      <c r="N931" s="115"/>
      <c r="O931" s="61" t="s">
        <v>31</v>
      </c>
      <c r="P931" s="115" t="str">
        <f>IF(ISNA(VLOOKUP(Y933,Master!A$8:N$127,3,FALSE)),"",VLOOKUP(Y933,Master!A$8:AH$127,3,FALSE))</f>
        <v/>
      </c>
      <c r="Q931" s="115"/>
      <c r="R931" s="115"/>
      <c r="S931" s="115"/>
    </row>
    <row r="932" spans="1:25" ht="9" customHeight="1">
      <c r="E932" s="19"/>
      <c r="F932" s="53"/>
      <c r="G932" s="22"/>
      <c r="H932" s="22"/>
      <c r="I932" s="22"/>
      <c r="J932" s="5"/>
      <c r="K932" s="5"/>
      <c r="L932" s="5"/>
      <c r="M932" s="5"/>
      <c r="N932" s="5"/>
      <c r="O932" s="6"/>
      <c r="P932" s="6"/>
    </row>
    <row r="933" spans="1:25" ht="21" customHeight="1">
      <c r="A933" s="8">
        <v>1</v>
      </c>
      <c r="B933" s="23">
        <v>44562</v>
      </c>
      <c r="C933" s="9" t="str">
        <f>IF(ISNA(VLOOKUP(Y933,Master!A$8:N$127,5,FALSE)),"",VLOOKUP(Y933,Master!A$8:AH$127,5,FALSE))</f>
        <v/>
      </c>
      <c r="D933" s="9" t="str">
        <f>IF(AND(C933=""),"",IF(AND(Y933=""),"",ROUND(C933*Master!C$5%,0)))</f>
        <v/>
      </c>
      <c r="E933" s="9" t="str">
        <f>IF(AND(C933=""),"",IF(AND(Y933=""),"",ROUND(C933*Master!H$5%,0)))</f>
        <v/>
      </c>
      <c r="F933" s="9" t="str">
        <f t="shared" ref="F933:F934" si="762">IF(AND(C933=""),"",SUM(C933:E933))</f>
        <v/>
      </c>
      <c r="G933" s="9" t="str">
        <f>IF(ISNA(VLOOKUP(Y933,Master!A$8:N$127,5,FALSE)),"",VLOOKUP(Y933,Master!A$8:AH$127,5,FALSE))</f>
        <v/>
      </c>
      <c r="H933" s="9" t="str">
        <f>IF(AND(G933=""),"",IF(AND(Y933=""),"",ROUND(G933*Master!C$4%,0)))</f>
        <v/>
      </c>
      <c r="I933" s="9" t="str">
        <f>IF(AND(G933=""),"",IF(AND(Y933=""),"",ROUND(G933*Master!H$4%,0)))</f>
        <v/>
      </c>
      <c r="J933" s="9" t="str">
        <f t="shared" ref="J933:J935" si="763">IF(AND(C933=""),"",SUM(G933:I933))</f>
        <v/>
      </c>
      <c r="K933" s="9" t="str">
        <f t="shared" ref="K933" si="764">IF(AND(C933=""),"",IF(AND(G933=""),"",C933-G933))</f>
        <v/>
      </c>
      <c r="L933" s="9" t="str">
        <f>IF(AND(D933=""),"",IF(AND(H933=""),"",D933-H933))</f>
        <v/>
      </c>
      <c r="M933" s="9" t="str">
        <f t="shared" ref="M933:M935" si="765">IF(AND(E933=""),"",IF(AND(I933=""),"",E933-I933))</f>
        <v/>
      </c>
      <c r="N933" s="9" t="str">
        <f t="shared" ref="N933:N935" si="766">IF(AND(F933=""),"",IF(AND(J933=""),"",F933-J933))</f>
        <v/>
      </c>
      <c r="O933" s="9" t="str">
        <f>IF(AND(C933=""),"",N933-P933)</f>
        <v/>
      </c>
      <c r="P933" s="9" t="str">
        <f>IF(AND(Y933=""),"",IF(AND(N933=""),"",ROUND(N933*X$16%,0)))</f>
        <v/>
      </c>
      <c r="Q933" s="9" t="str">
        <f>IF(AND(Y933=""),"",IF(AND(C933=""),"",IF(AND(O933=""),"",SUM(O933,P933))))</f>
        <v/>
      </c>
      <c r="R933" s="9" t="str">
        <f>IF(AND(N933=""),"",IF(AND(Q933=""),"",N933-Q933))</f>
        <v/>
      </c>
      <c r="S933" s="20"/>
      <c r="X933" s="62" t="s">
        <v>62</v>
      </c>
      <c r="Y933" s="65">
        <v>83</v>
      </c>
    </row>
    <row r="934" spans="1:25" ht="21" customHeight="1">
      <c r="A934" s="8">
        <v>2</v>
      </c>
      <c r="B934" s="23">
        <v>44593</v>
      </c>
      <c r="C934" s="9" t="str">
        <f>IF(AND(Y933=""),"",C933)</f>
        <v/>
      </c>
      <c r="D934" s="9" t="str">
        <f>IF(AND(C934=""),"",IF(AND(Y933=""),"",ROUND(C934*Master!C$5%,0)))</f>
        <v/>
      </c>
      <c r="E934" s="9" t="str">
        <f>IF(AND(C934=""),"",IF(AND(Y933=""),"",ROUND(C934*Master!H$5%,0)))</f>
        <v/>
      </c>
      <c r="F934" s="9" t="str">
        <f t="shared" si="762"/>
        <v/>
      </c>
      <c r="G934" s="9" t="str">
        <f>IF(AND(Y933=""),"",G933)</f>
        <v/>
      </c>
      <c r="H934" s="9" t="str">
        <f>IF(AND(G934=""),"",IF(AND(Y933=""),"",ROUND(G934*Master!C$4%,0)))</f>
        <v/>
      </c>
      <c r="I934" s="9" t="str">
        <f>IF(AND(G934=""),"",IF(AND(Y933=""),"",ROUND(G934*Master!H$4%,0)))</f>
        <v/>
      </c>
      <c r="J934" s="9" t="str">
        <f t="shared" si="763"/>
        <v/>
      </c>
      <c r="K934" s="9" t="str">
        <f>IF(AND(C934=""),"",IF(AND(G934=""),"",C934-G934))</f>
        <v/>
      </c>
      <c r="L934" s="9" t="str">
        <f t="shared" ref="L934:L935" si="767">IF(AND(D934=""),"",IF(AND(H934=""),"",D934-H934))</f>
        <v/>
      </c>
      <c r="M934" s="9" t="str">
        <f t="shared" si="765"/>
        <v/>
      </c>
      <c r="N934" s="9" t="str">
        <f>IF(AND(F934=""),"",IF(AND(J934=""),"",F934-J934))</f>
        <v/>
      </c>
      <c r="O934" s="9" t="str">
        <f t="shared" ref="O934:O935" si="768">IF(AND(C934=""),"",N934-P934)</f>
        <v/>
      </c>
      <c r="P934" s="9" t="str">
        <f>IF(AND(Y933=""),"",IF(AND(N934=""),"",ROUND(N934*X$16%,0)))</f>
        <v/>
      </c>
      <c r="Q934" s="9" t="str">
        <f>IF(AND(Y933=""),"",IF(AND(C934=""),"",IF(AND(O934=""),"",SUM(O934,P934))))</f>
        <v/>
      </c>
      <c r="R934" s="9" t="str">
        <f t="shared" ref="R934:R935" si="769">IF(AND(N934=""),"",IF(AND(Q934=""),"",N934-Q934))</f>
        <v/>
      </c>
      <c r="S934" s="20"/>
      <c r="X934" s="4" t="str">
        <f>IF(ISNA(VLOOKUP(Y933,Master!A$8:N$127,7,FALSE)),"",VLOOKUP(Y933,Master!A$8:AH$127,7,FALSE))</f>
        <v/>
      </c>
    </row>
    <row r="935" spans="1:25" ht="21" customHeight="1">
      <c r="A935" s="8">
        <v>3</v>
      </c>
      <c r="B935" s="23">
        <v>44621</v>
      </c>
      <c r="C935" s="9" t="str">
        <f>IF(AND(Y933=""),"",C934)</f>
        <v/>
      </c>
      <c r="D935" s="9" t="str">
        <f>IF(AND(C935=""),"",IF(AND(Y933=""),"",ROUND(C935*Master!C$5%,0)))</f>
        <v/>
      </c>
      <c r="E935" s="9" t="str">
        <f>IF(AND(C935=""),"",IF(AND(Y933=""),"",ROUND(C935*Master!H$5%,0)))</f>
        <v/>
      </c>
      <c r="F935" s="9" t="str">
        <f>IF(AND(C935=""),"",SUM(C935:E935))</f>
        <v/>
      </c>
      <c r="G935" s="9" t="str">
        <f>IF(AND(Y933=""),"",G934)</f>
        <v/>
      </c>
      <c r="H935" s="9" t="str">
        <f>IF(AND(G935=""),"",IF(AND(Y933=""),"",ROUND(G935*Master!C$4%,0)))</f>
        <v/>
      </c>
      <c r="I935" s="9" t="str">
        <f>IF(AND(G935=""),"",IF(AND(Y933=""),"",ROUND(G935*Master!H$4%,0)))</f>
        <v/>
      </c>
      <c r="J935" s="9" t="str">
        <f t="shared" si="763"/>
        <v/>
      </c>
      <c r="K935" s="9" t="str">
        <f t="shared" ref="K935" si="770">IF(AND(C935=""),"",IF(AND(G935=""),"",C935-G935))</f>
        <v/>
      </c>
      <c r="L935" s="9" t="str">
        <f t="shared" si="767"/>
        <v/>
      </c>
      <c r="M935" s="9" t="str">
        <f t="shared" si="765"/>
        <v/>
      </c>
      <c r="N935" s="9" t="str">
        <f t="shared" si="766"/>
        <v/>
      </c>
      <c r="O935" s="9" t="str">
        <f t="shared" si="768"/>
        <v/>
      </c>
      <c r="P935" s="9" t="str">
        <f>IF(AND(Y933=""),"",IF(AND(N935=""),"",ROUND(N935*X$16%,0)))</f>
        <v/>
      </c>
      <c r="Q935" s="9" t="str">
        <f>IF(AND(Y933=""),"",IF(AND(C935=""),"",IF(AND(O935=""),"",SUM(O935,P935))))</f>
        <v/>
      </c>
      <c r="R935" s="9" t="str">
        <f t="shared" si="769"/>
        <v/>
      </c>
      <c r="S935" s="20"/>
    </row>
    <row r="936" spans="1:25" ht="30.75" customHeight="1">
      <c r="A936" s="108" t="s">
        <v>9</v>
      </c>
      <c r="B936" s="109"/>
      <c r="C936" s="64">
        <f>IF(AND(Y933=""),"",SUM(C933:C935))</f>
        <v>0</v>
      </c>
      <c r="D936" s="64">
        <f>IF(AND(Y933=""),"",SUM(D933:D935))</f>
        <v>0</v>
      </c>
      <c r="E936" s="64">
        <f>IF(AND(Y933=""),"",SUM(E933:E935))</f>
        <v>0</v>
      </c>
      <c r="F936" s="64">
        <f>IF(AND(Y933=""),"",SUM(F933:F935))</f>
        <v>0</v>
      </c>
      <c r="G936" s="64">
        <f>IF(AND(Y933=""),"",SUM(G933:G935))</f>
        <v>0</v>
      </c>
      <c r="H936" s="64">
        <f>IF(AND(Y933=""),"",SUM(H933:H935))</f>
        <v>0</v>
      </c>
      <c r="I936" s="64">
        <f>IF(AND(Y933=""),"",SUM(I933:I935))</f>
        <v>0</v>
      </c>
      <c r="J936" s="64">
        <f>IF(AND(Y933=""),"",SUM(J933:J935))</f>
        <v>0</v>
      </c>
      <c r="K936" s="64">
        <f>IF(AND(Y933=""),"",SUM(K933:K935))</f>
        <v>0</v>
      </c>
      <c r="L936" s="64">
        <f>IF(AND(Y933=""),"",SUM(L933:L935))</f>
        <v>0</v>
      </c>
      <c r="M936" s="64">
        <f>IF(AND(Y933=""),"",SUM(M933:M935))</f>
        <v>0</v>
      </c>
      <c r="N936" s="64">
        <f>IF(AND(Y933=""),"",SUM(N933:N935))</f>
        <v>0</v>
      </c>
      <c r="O936" s="64">
        <f>IF(AND(Y933=""),"",SUM(O933:O935))</f>
        <v>0</v>
      </c>
      <c r="P936" s="64">
        <f>IF(AND(Y933=""),"",SUM(P933:P935))</f>
        <v>0</v>
      </c>
      <c r="Q936" s="64">
        <f>IF(AND(Y933=""),"",SUM(Q933:Q935))</f>
        <v>0</v>
      </c>
      <c r="R936" s="64">
        <f>IF(AND(Y933=""),"",SUM(R933:R935))</f>
        <v>0</v>
      </c>
      <c r="S936" s="50"/>
    </row>
    <row r="937" spans="1:25" ht="11.25" customHeight="1">
      <c r="A937" s="75"/>
      <c r="B937" s="75"/>
      <c r="C937" s="76"/>
      <c r="D937" s="76"/>
      <c r="E937" s="76"/>
      <c r="F937" s="76"/>
      <c r="G937" s="76"/>
      <c r="H937" s="76"/>
      <c r="I937" s="76"/>
      <c r="J937" s="76"/>
      <c r="K937" s="76"/>
      <c r="L937" s="76"/>
      <c r="M937" s="76"/>
      <c r="N937" s="76"/>
      <c r="O937" s="76"/>
      <c r="P937" s="76"/>
      <c r="Q937" s="76"/>
      <c r="R937" s="76"/>
      <c r="S937" s="77"/>
    </row>
    <row r="938" spans="1:25" ht="23.25" customHeight="1">
      <c r="E938" s="116" t="s">
        <v>10</v>
      </c>
      <c r="F938" s="116"/>
      <c r="G938" s="116"/>
      <c r="H938" s="116"/>
      <c r="I938" s="116"/>
      <c r="J938" s="115" t="str">
        <f>IF(ISNA(VLOOKUP(Y940,Master!A$8:N$127,2,FALSE)),"",VLOOKUP(Y940,Master!A$8:AH$127,2,FALSE))</f>
        <v/>
      </c>
      <c r="K938" s="115"/>
      <c r="L938" s="115"/>
      <c r="M938" s="115"/>
      <c r="N938" s="115"/>
      <c r="O938" s="61" t="s">
        <v>31</v>
      </c>
      <c r="P938" s="115" t="str">
        <f>IF(ISNA(VLOOKUP($Y$396,Master!A$8:N$127,3,FALSE)),"",VLOOKUP($Y$396,Master!A$8:AH$127,3,FALSE))</f>
        <v/>
      </c>
      <c r="Q938" s="115"/>
      <c r="R938" s="115"/>
      <c r="S938" s="115"/>
    </row>
    <row r="939" spans="1:25" ht="9" customHeight="1">
      <c r="E939" s="19"/>
      <c r="F939" s="53"/>
      <c r="G939" s="22"/>
      <c r="H939" s="22"/>
      <c r="I939" s="22"/>
      <c r="J939" s="5"/>
      <c r="K939" s="5"/>
      <c r="L939" s="5"/>
      <c r="M939" s="5"/>
      <c r="N939" s="5"/>
      <c r="O939" s="6"/>
      <c r="P939" s="6"/>
    </row>
    <row r="940" spans="1:25" ht="21" customHeight="1">
      <c r="A940" s="8">
        <v>1</v>
      </c>
      <c r="B940" s="23">
        <v>44562</v>
      </c>
      <c r="C940" s="9" t="str">
        <f>IF(ISNA(VLOOKUP(Y940,Master!A$8:N$127,5,FALSE)),"",VLOOKUP(Y940,Master!A$8:AH$127,5,FALSE))</f>
        <v/>
      </c>
      <c r="D940" s="9" t="str">
        <f>IF(AND(C940=""),"",IF(AND(Y940=""),"",ROUND(C940*Master!C$5%,0)))</f>
        <v/>
      </c>
      <c r="E940" s="9" t="str">
        <f>IF(AND(C940=""),"",IF(AND(Y940=""),"",ROUND(C940*Master!H$5%,0)))</f>
        <v/>
      </c>
      <c r="F940" s="9" t="str">
        <f t="shared" ref="F940:F942" si="771">IF(AND(C940=""),"",SUM(C940:E940))</f>
        <v/>
      </c>
      <c r="G940" s="9" t="str">
        <f>IF(ISNA(VLOOKUP(Y940,Master!A$8:N$127,5,FALSE)),"",VLOOKUP(Y940,Master!A$8:AH$127,5,FALSE))</f>
        <v/>
      </c>
      <c r="H940" s="9" t="str">
        <f>IF(AND(G940=""),"",IF(AND(Y940=""),"",ROUND(G940*Master!C$4%,0)))</f>
        <v/>
      </c>
      <c r="I940" s="9" t="str">
        <f>IF(AND(G940=""),"",IF(AND(Y940=""),"",ROUND(G940*Master!H$4%,0)))</f>
        <v/>
      </c>
      <c r="J940" s="9" t="str">
        <f t="shared" ref="J940:J942" si="772">IF(AND(C940=""),"",SUM(G940:I940))</f>
        <v/>
      </c>
      <c r="K940" s="9" t="str">
        <f t="shared" ref="K940:K942" si="773">IF(AND(C940=""),"",IF(AND(G940=""),"",C940-G940))</f>
        <v/>
      </c>
      <c r="L940" s="9" t="str">
        <f t="shared" ref="L940:L942" si="774">IF(AND(D940=""),"",IF(AND(H940=""),"",D940-H940))</f>
        <v/>
      </c>
      <c r="M940" s="9" t="str">
        <f t="shared" ref="M940:M942" si="775">IF(AND(E940=""),"",IF(AND(I940=""),"",E940-I940))</f>
        <v/>
      </c>
      <c r="N940" s="9" t="str">
        <f t="shared" ref="N940:N942" si="776">IF(AND(F940=""),"",IF(AND(J940=""),"",F940-J940))</f>
        <v/>
      </c>
      <c r="O940" s="9" t="str">
        <f>IF(AND(C940=""),"",N940-P940)</f>
        <v/>
      </c>
      <c r="P940" s="9" t="str">
        <f>IF(AND(Y940=""),"",IF(AND(N940=""),"",ROUND(N940*AA$1%,0)))</f>
        <v/>
      </c>
      <c r="Q940" s="9" t="str">
        <f>IF(AND(Y940=""),"",IF(AND(C940=""),"",IF(AND(O940=""),"",SUM(O940,P940))))</f>
        <v/>
      </c>
      <c r="R940" s="9" t="str">
        <f>IF(AND(N940=""),"",IF(AND(Q940=""),"",N940-Q940))</f>
        <v/>
      </c>
      <c r="S940" s="20"/>
      <c r="X940" s="62" t="s">
        <v>62</v>
      </c>
      <c r="Y940" s="65">
        <v>84</v>
      </c>
    </row>
    <row r="941" spans="1:25" ht="21" customHeight="1">
      <c r="A941" s="8">
        <v>2</v>
      </c>
      <c r="B941" s="23">
        <v>44593</v>
      </c>
      <c r="C941" s="9" t="str">
        <f>IF(AND(Y940=""),"",C940)</f>
        <v/>
      </c>
      <c r="D941" s="9" t="str">
        <f>IF(AND(C941=""),"",IF(AND(Y940=""),"",ROUND(C941*Master!C$5%,0)))</f>
        <v/>
      </c>
      <c r="E941" s="9" t="str">
        <f>IF(AND(C941=""),"",IF(AND(Y940=""),"",ROUND(C941*Master!H$5%,0)))</f>
        <v/>
      </c>
      <c r="F941" s="9" t="str">
        <f t="shared" si="771"/>
        <v/>
      </c>
      <c r="G941" s="9" t="str">
        <f>IF(AND(Y940=""),"",G940)</f>
        <v/>
      </c>
      <c r="H941" s="9" t="str">
        <f>IF(AND(G941=""),"",IF(AND(Y940=""),"",ROUND(G941*Master!C$4%,0)))</f>
        <v/>
      </c>
      <c r="I941" s="9" t="str">
        <f>IF(AND(G941=""),"",IF(AND(Y940=""),"",ROUND(G941*Master!H$4%,0)))</f>
        <v/>
      </c>
      <c r="J941" s="9" t="str">
        <f t="shared" si="772"/>
        <v/>
      </c>
      <c r="K941" s="9" t="str">
        <f t="shared" si="773"/>
        <v/>
      </c>
      <c r="L941" s="9" t="str">
        <f t="shared" si="774"/>
        <v/>
      </c>
      <c r="M941" s="9" t="str">
        <f t="shared" si="775"/>
        <v/>
      </c>
      <c r="N941" s="9" t="str">
        <f t="shared" si="776"/>
        <v/>
      </c>
      <c r="O941" s="9" t="str">
        <f t="shared" ref="O941:O942" si="777">IF(AND(C941=""),"",N941-P941)</f>
        <v/>
      </c>
      <c r="P941" s="9" t="str">
        <f>IF(AND(Y940=""),"",IF(AND(N941=""),"",ROUND(N941*AA$1%,0)))</f>
        <v/>
      </c>
      <c r="Q941" s="9" t="str">
        <f>IF(AND(Y940=""),"",IF(AND(C941=""),"",IF(AND(O941=""),"",SUM(O941,P941))))</f>
        <v/>
      </c>
      <c r="R941" s="9" t="str">
        <f t="shared" ref="R941:R942" si="778">IF(AND(N941=""),"",IF(AND(Q941=""),"",N941-Q941))</f>
        <v/>
      </c>
      <c r="S941" s="20"/>
      <c r="X941" s="4" t="str">
        <f>IF(ISNA(VLOOKUP(Y940,Master!A$8:N$127,7,FALSE)),"",VLOOKUP(Y940,Master!A$8:AH$127,7,FALSE))</f>
        <v/>
      </c>
    </row>
    <row r="942" spans="1:25" ht="21" customHeight="1">
      <c r="A942" s="8">
        <v>3</v>
      </c>
      <c r="B942" s="23">
        <v>44621</v>
      </c>
      <c r="C942" s="9" t="str">
        <f>IF(AND(Y940=""),"",C941)</f>
        <v/>
      </c>
      <c r="D942" s="9" t="str">
        <f>IF(AND(C942=""),"",IF(AND(Y940=""),"",ROUND(C942*Master!C$5%,0)))</f>
        <v/>
      </c>
      <c r="E942" s="9" t="str">
        <f>IF(AND(C942=""),"",IF(AND(Y940=""),"",ROUND(C942*Master!H$5%,0)))</f>
        <v/>
      </c>
      <c r="F942" s="9" t="str">
        <f t="shared" si="771"/>
        <v/>
      </c>
      <c r="G942" s="9" t="str">
        <f>IF(AND(Y940=""),"",G941)</f>
        <v/>
      </c>
      <c r="H942" s="9" t="str">
        <f>IF(AND(G942=""),"",IF(AND(Y940=""),"",ROUND(G942*Master!C$4%,0)))</f>
        <v/>
      </c>
      <c r="I942" s="9" t="str">
        <f>IF(AND(G942=""),"",IF(AND(Y940=""),"",ROUND(G942*Master!H$4%,0)))</f>
        <v/>
      </c>
      <c r="J942" s="9" t="str">
        <f t="shared" si="772"/>
        <v/>
      </c>
      <c r="K942" s="9" t="str">
        <f t="shared" si="773"/>
        <v/>
      </c>
      <c r="L942" s="9" t="str">
        <f t="shared" si="774"/>
        <v/>
      </c>
      <c r="M942" s="9" t="str">
        <f t="shared" si="775"/>
        <v/>
      </c>
      <c r="N942" s="9" t="str">
        <f t="shared" si="776"/>
        <v/>
      </c>
      <c r="O942" s="9" t="str">
        <f t="shared" si="777"/>
        <v/>
      </c>
      <c r="P942" s="9" t="str">
        <f>IF(AND(Y940=""),"",IF(AND(N942=""),"",ROUND(N942*AA$1%,0)))</f>
        <v/>
      </c>
      <c r="Q942" s="9" t="str">
        <f>IF(AND(Y940=""),"",IF(AND(C942=""),"",IF(AND(O942=""),"",SUM(O942,P942))))</f>
        <v/>
      </c>
      <c r="R942" s="9" t="str">
        <f t="shared" si="778"/>
        <v/>
      </c>
      <c r="S942" s="20"/>
    </row>
    <row r="943" spans="1:25" ht="30.75" customHeight="1">
      <c r="A943" s="108" t="s">
        <v>9</v>
      </c>
      <c r="B943" s="109"/>
      <c r="C943" s="64">
        <f>IF(AND(Y940=""),"",SUM(C940:C942))</f>
        <v>0</v>
      </c>
      <c r="D943" s="64">
        <f>IF(AND(Y940=""),"",SUM(D940:D942))</f>
        <v>0</v>
      </c>
      <c r="E943" s="64">
        <f>IF(AND(Y940=""),"",SUM(E940:E942))</f>
        <v>0</v>
      </c>
      <c r="F943" s="64">
        <f>IF(AND(Y940=""),"",SUM(F940:F942))</f>
        <v>0</v>
      </c>
      <c r="G943" s="64">
        <f>IF(AND(Y940=""),"",SUM(G940:G942))</f>
        <v>0</v>
      </c>
      <c r="H943" s="64">
        <f>IF(AND(Y940=""),"",SUM(H940:H942))</f>
        <v>0</v>
      </c>
      <c r="I943" s="64">
        <f>IF(AND(Y940=""),"",SUM(I940:I942))</f>
        <v>0</v>
      </c>
      <c r="J943" s="64">
        <f>IF(AND(Y940=""),"",SUM(J940:J942))</f>
        <v>0</v>
      </c>
      <c r="K943" s="64">
        <f>IF(AND(Y940=""),"",SUM(K940:K942))</f>
        <v>0</v>
      </c>
      <c r="L943" s="64">
        <f>IF(AND(Y940=""),"",SUM(L940:L942))</f>
        <v>0</v>
      </c>
      <c r="M943" s="64">
        <f>IF(AND(Y940=""),"",SUM(M940:M942))</f>
        <v>0</v>
      </c>
      <c r="N943" s="64">
        <f>IF(AND(Y940=""),"",SUM(N940:N942))</f>
        <v>0</v>
      </c>
      <c r="O943" s="64">
        <f>IF(AND(Y940=""),"",SUM(O940:O942))</f>
        <v>0</v>
      </c>
      <c r="P943" s="64">
        <f>IF(AND(Y940=""),"",SUM(P940:P942))</f>
        <v>0</v>
      </c>
      <c r="Q943" s="64">
        <f>IF(AND(Y940=""),"",SUM(Q940:Q942))</f>
        <v>0</v>
      </c>
      <c r="R943" s="64">
        <f>IF(AND(Y940=""),"",SUM(R940:R942))</f>
        <v>0</v>
      </c>
      <c r="S943" s="50"/>
    </row>
    <row r="944" spans="1:25" ht="30.75" customHeight="1">
      <c r="A944" s="75"/>
      <c r="B944" s="75"/>
      <c r="C944" s="76"/>
      <c r="D944" s="76"/>
      <c r="E944" s="76"/>
      <c r="F944" s="76"/>
      <c r="G944" s="76"/>
      <c r="H944" s="76"/>
      <c r="I944" s="76"/>
      <c r="J944" s="76"/>
      <c r="K944" s="76"/>
      <c r="L944" s="76"/>
      <c r="M944" s="76"/>
      <c r="N944" s="76"/>
      <c r="O944" s="76"/>
      <c r="P944" s="76"/>
      <c r="Q944" s="76"/>
      <c r="R944" s="76"/>
      <c r="S944" s="77"/>
    </row>
    <row r="945" spans="1:27" ht="18.75">
      <c r="A945" s="21"/>
      <c r="B945" s="59"/>
      <c r="C945" s="59"/>
      <c r="D945" s="59"/>
      <c r="E945" s="59"/>
      <c r="F945" s="59"/>
      <c r="G945" s="59"/>
      <c r="H945" s="60"/>
      <c r="I945" s="60"/>
      <c r="J945" s="60"/>
      <c r="K945" s="68"/>
      <c r="L945" s="68"/>
      <c r="M945" s="68"/>
      <c r="N945" s="68"/>
      <c r="O945" s="107" t="s">
        <v>55</v>
      </c>
      <c r="P945" s="107"/>
      <c r="Q945" s="107"/>
      <c r="R945" s="107"/>
      <c r="S945" s="107"/>
    </row>
    <row r="946" spans="1:27" ht="18.75">
      <c r="A946" s="1"/>
      <c r="B946" s="24" t="s">
        <v>19</v>
      </c>
      <c r="C946" s="118"/>
      <c r="D946" s="118"/>
      <c r="E946" s="118"/>
      <c r="F946" s="118"/>
      <c r="G946" s="118"/>
      <c r="H946" s="25"/>
      <c r="I946" s="121" t="s">
        <v>20</v>
      </c>
      <c r="J946" s="121"/>
      <c r="K946" s="120"/>
      <c r="L946" s="120"/>
      <c r="M946" s="120"/>
      <c r="O946" s="107"/>
      <c r="P946" s="107"/>
      <c r="Q946" s="107"/>
      <c r="R946" s="107"/>
      <c r="S946" s="107"/>
    </row>
    <row r="947" spans="1:27" ht="18.75">
      <c r="A947" s="1"/>
      <c r="B947" s="119" t="s">
        <v>21</v>
      </c>
      <c r="C947" s="119"/>
      <c r="D947" s="119"/>
      <c r="E947" s="119"/>
      <c r="F947" s="119"/>
      <c r="G947" s="119"/>
      <c r="H947" s="119"/>
      <c r="I947" s="27"/>
      <c r="J947" s="26"/>
      <c r="K947" s="26"/>
      <c r="L947" s="26"/>
      <c r="M947" s="26"/>
    </row>
    <row r="948" spans="1:27" ht="18.75">
      <c r="A948" s="22">
        <v>1</v>
      </c>
      <c r="B948" s="117" t="s">
        <v>22</v>
      </c>
      <c r="C948" s="117"/>
      <c r="D948" s="117"/>
      <c r="E948" s="117"/>
      <c r="F948" s="117"/>
      <c r="G948" s="117"/>
      <c r="H948" s="117"/>
      <c r="I948" s="28"/>
      <c r="J948" s="26"/>
      <c r="K948" s="26"/>
      <c r="L948" s="26"/>
      <c r="M948" s="26"/>
    </row>
    <row r="949" spans="1:27" ht="18.75">
      <c r="A949" s="2">
        <v>2</v>
      </c>
      <c r="B949" s="117" t="s">
        <v>23</v>
      </c>
      <c r="C949" s="117"/>
      <c r="D949" s="117"/>
      <c r="E949" s="117"/>
      <c r="F949" s="117"/>
      <c r="G949" s="115"/>
      <c r="H949" s="115"/>
      <c r="I949" s="115"/>
      <c r="J949" s="115"/>
      <c r="K949" s="115"/>
      <c r="L949" s="115"/>
      <c r="M949" s="115"/>
    </row>
    <row r="950" spans="1:27" ht="18.75">
      <c r="A950" s="3">
        <v>3</v>
      </c>
      <c r="B950" s="117" t="s">
        <v>24</v>
      </c>
      <c r="C950" s="117"/>
      <c r="D950" s="117"/>
      <c r="E950" s="29"/>
      <c r="F950" s="28"/>
      <c r="G950" s="28"/>
      <c r="H950" s="30"/>
      <c r="I950" s="31"/>
      <c r="J950" s="26"/>
      <c r="K950" s="26"/>
      <c r="L950" s="26"/>
      <c r="M950" s="26"/>
    </row>
    <row r="951" spans="1:27" ht="15.75">
      <c r="O951" s="107" t="s">
        <v>55</v>
      </c>
      <c r="P951" s="107"/>
      <c r="Q951" s="107"/>
      <c r="R951" s="107"/>
      <c r="S951" s="107"/>
    </row>
    <row r="953" spans="1:27" ht="18" customHeight="1">
      <c r="A953" s="122" t="str">
        <f>A919</f>
        <v xml:space="preserve">DA (38%) Drawn Statement  </v>
      </c>
      <c r="B953" s="122"/>
      <c r="C953" s="122"/>
      <c r="D953" s="122"/>
      <c r="E953" s="122"/>
      <c r="F953" s="122"/>
      <c r="G953" s="122"/>
      <c r="H953" s="122"/>
      <c r="I953" s="122"/>
      <c r="J953" s="122"/>
      <c r="K953" s="122"/>
      <c r="L953" s="122"/>
      <c r="M953" s="122"/>
      <c r="N953" s="122"/>
      <c r="O953" s="122"/>
      <c r="P953" s="122"/>
      <c r="Q953" s="122"/>
      <c r="R953" s="122"/>
      <c r="S953" s="122"/>
      <c r="W953" s="4">
        <f>IF(ISNA(VLOOKUP($Y$3,Master!A$8:N$127,4,FALSE)),"",VLOOKUP($Y$3,Master!A$8:AH$127,4,FALSE))</f>
        <v>3</v>
      </c>
      <c r="X953" s="4" t="str">
        <f>IF(ISNA(VLOOKUP($Y$3,Master!A$8:N$127,6,FALSE)),"",VLOOKUP($Y$3,Master!A$8:AH$127,6,FALSE))</f>
        <v>GPF</v>
      </c>
      <c r="Y953" s="4" t="s">
        <v>58</v>
      </c>
      <c r="Z953" s="4" t="s">
        <v>18</v>
      </c>
      <c r="AA953" s="4" t="str">
        <f>IF(ISNA(VLOOKUP(Y955,Master!A$8:N$127,7,FALSE)),"",VLOOKUP(Y955,Master!A$8:AH$127,7,FALSE))</f>
        <v/>
      </c>
    </row>
    <row r="954" spans="1:27" ht="18">
      <c r="A954" s="114" t="str">
        <f>IF(AND(Master!C955=""),"",CONCATENATE("Office Of  ",Master!C955))</f>
        <v/>
      </c>
      <c r="B954" s="114"/>
      <c r="C954" s="114"/>
      <c r="D954" s="114"/>
      <c r="E954" s="114"/>
      <c r="F954" s="114"/>
      <c r="G954" s="114"/>
      <c r="H954" s="114"/>
      <c r="I954" s="114"/>
      <c r="J954" s="114"/>
      <c r="K954" s="114"/>
      <c r="L954" s="114"/>
      <c r="M954" s="114"/>
      <c r="N954" s="114"/>
      <c r="O954" s="114"/>
      <c r="P954" s="114"/>
      <c r="Q954" s="114"/>
      <c r="R954" s="114"/>
      <c r="S954" s="114"/>
      <c r="X954" s="4">
        <f>IF(ISNA(VLOOKUP($Y$3,Master!A$8:N$127,8,FALSE)),"",VLOOKUP($Y$3,Master!A$8:AH$127,8,FALSE))</f>
        <v>44743</v>
      </c>
      <c r="Y954" s="4" t="s">
        <v>56</v>
      </c>
    </row>
    <row r="955" spans="1:27" ht="18.75">
      <c r="E955" s="116" t="s">
        <v>10</v>
      </c>
      <c r="F955" s="116"/>
      <c r="G955" s="116"/>
      <c r="H955" s="116"/>
      <c r="I955" s="116"/>
      <c r="J955" s="115" t="str">
        <f>IF(ISNA(VLOOKUP(Y955,Master!A$8:N$127,2,FALSE)),"",VLOOKUP(Y955,Master!A$8:AH$127,2,FALSE))</f>
        <v/>
      </c>
      <c r="K955" s="115"/>
      <c r="L955" s="115"/>
      <c r="M955" s="115"/>
      <c r="N955" s="115"/>
      <c r="O955" s="61" t="s">
        <v>31</v>
      </c>
      <c r="P955" s="115" t="str">
        <f>IF(ISNA(VLOOKUP(Y955,Master!A$8:N$127,3,FALSE)),"",VLOOKUP(Y955,Master!A$8:AH$127,3,FALSE))</f>
        <v/>
      </c>
      <c r="Q955" s="115"/>
      <c r="R955" s="115"/>
      <c r="S955" s="115"/>
      <c r="X955" s="62" t="s">
        <v>62</v>
      </c>
      <c r="Y955" s="65">
        <v>85</v>
      </c>
    </row>
    <row r="956" spans="1:27" ht="8.25" customHeight="1">
      <c r="E956" s="19"/>
      <c r="F956" s="53"/>
      <c r="G956" s="22"/>
      <c r="H956" s="22"/>
      <c r="I956" s="22"/>
      <c r="J956" s="5"/>
      <c r="K956" s="5"/>
      <c r="L956" s="5"/>
      <c r="M956" s="5"/>
      <c r="N956" s="5"/>
      <c r="O956" s="6"/>
      <c r="P956" s="6"/>
    </row>
    <row r="957" spans="1:27" ht="24.75" customHeight="1">
      <c r="A957" s="110" t="s">
        <v>0</v>
      </c>
      <c r="B957" s="111" t="s">
        <v>3</v>
      </c>
      <c r="C957" s="112" t="s">
        <v>5</v>
      </c>
      <c r="D957" s="112"/>
      <c r="E957" s="112"/>
      <c r="F957" s="112"/>
      <c r="G957" s="112" t="s">
        <v>6</v>
      </c>
      <c r="H957" s="112"/>
      <c r="I957" s="112"/>
      <c r="J957" s="112"/>
      <c r="K957" s="112" t="s">
        <v>7</v>
      </c>
      <c r="L957" s="112"/>
      <c r="M957" s="112"/>
      <c r="N957" s="112"/>
      <c r="O957" s="97" t="s">
        <v>8</v>
      </c>
      <c r="P957" s="98"/>
      <c r="Q957" s="99"/>
      <c r="R957" s="105" t="s">
        <v>67</v>
      </c>
      <c r="S957" s="105" t="s">
        <v>50</v>
      </c>
    </row>
    <row r="958" spans="1:27" ht="69" customHeight="1">
      <c r="A958" s="110"/>
      <c r="B958" s="111"/>
      <c r="C958" s="55" t="s">
        <v>29</v>
      </c>
      <c r="D958" s="56" t="s">
        <v>1</v>
      </c>
      <c r="E958" s="57" t="s">
        <v>2</v>
      </c>
      <c r="F958" s="55" t="s">
        <v>59</v>
      </c>
      <c r="G958" s="55" t="s">
        <v>29</v>
      </c>
      <c r="H958" s="56" t="s">
        <v>1</v>
      </c>
      <c r="I958" s="57" t="s">
        <v>2</v>
      </c>
      <c r="J958" s="55" t="s">
        <v>60</v>
      </c>
      <c r="K958" s="55" t="s">
        <v>4</v>
      </c>
      <c r="L958" s="56" t="s">
        <v>1</v>
      </c>
      <c r="M958" s="57" t="s">
        <v>2</v>
      </c>
      <c r="N958" s="58" t="s">
        <v>61</v>
      </c>
      <c r="O958" s="54" t="s">
        <v>83</v>
      </c>
      <c r="P958" s="67" t="s">
        <v>51</v>
      </c>
      <c r="Q958" s="58" t="s">
        <v>66</v>
      </c>
      <c r="R958" s="105"/>
      <c r="S958" s="105"/>
    </row>
    <row r="959" spans="1:27" ht="18" customHeight="1">
      <c r="A959" s="7">
        <v>1</v>
      </c>
      <c r="B959" s="7">
        <v>2</v>
      </c>
      <c r="C959" s="7">
        <v>3</v>
      </c>
      <c r="D959" s="7">
        <v>4</v>
      </c>
      <c r="E959" s="7">
        <v>5</v>
      </c>
      <c r="F959" s="7">
        <v>6</v>
      </c>
      <c r="G959" s="7">
        <v>7</v>
      </c>
      <c r="H959" s="7">
        <v>8</v>
      </c>
      <c r="I959" s="7">
        <v>9</v>
      </c>
      <c r="J959" s="7">
        <v>10</v>
      </c>
      <c r="K959" s="7">
        <v>11</v>
      </c>
      <c r="L959" s="7">
        <v>12</v>
      </c>
      <c r="M959" s="7">
        <v>13</v>
      </c>
      <c r="N959" s="7">
        <v>14</v>
      </c>
      <c r="O959" s="7">
        <v>15</v>
      </c>
      <c r="P959" s="7">
        <v>17</v>
      </c>
      <c r="Q959" s="7">
        <v>18</v>
      </c>
      <c r="R959" s="7">
        <v>19</v>
      </c>
      <c r="S959" s="7">
        <v>20</v>
      </c>
    </row>
    <row r="960" spans="1:27" ht="21" customHeight="1">
      <c r="A960" s="8">
        <v>1</v>
      </c>
      <c r="B960" s="23">
        <v>44562</v>
      </c>
      <c r="C960" s="9" t="str">
        <f>IF(ISNA(VLOOKUP(Y955,Master!A$8:N$127,5,FALSE)),"",VLOOKUP(Y955,Master!A$8:AH$127,5,FALSE))</f>
        <v/>
      </c>
      <c r="D960" s="9" t="str">
        <f>IF(AND(C960=""),"",IF(AND(Y955=""),"",ROUND(C960*Master!C$5%,0)))</f>
        <v/>
      </c>
      <c r="E960" s="9" t="str">
        <f>IF(AND(C960=""),"",IF(AND(Y955=""),"",ROUND(C960*Master!H$5%,0)))</f>
        <v/>
      </c>
      <c r="F960" s="9" t="str">
        <f t="shared" ref="F960" si="779">IF(AND(C960=""),"",SUM(C960:E960))</f>
        <v/>
      </c>
      <c r="G960" s="9" t="str">
        <f>IF(ISNA(VLOOKUP(Y955,Master!A$8:N$127,5,FALSE)),"",VLOOKUP(Y955,Master!A$8:AH$127,5,FALSE))</f>
        <v/>
      </c>
      <c r="H960" s="9" t="str">
        <f>IF(AND(G960=""),"",IF(AND(Y955=""),"",ROUND(G960*Master!C$4%,0)))</f>
        <v/>
      </c>
      <c r="I960" s="9" t="str">
        <f>IF(AND(G960=""),"",IF(AND(Y955=""),"",ROUND(G960*Master!H$4%,0)))</f>
        <v/>
      </c>
      <c r="J960" s="9" t="str">
        <f t="shared" ref="J960:J961" si="780">IF(AND(C960=""),"",SUM(G960:I960))</f>
        <v/>
      </c>
      <c r="K960" s="9" t="str">
        <f t="shared" ref="K960:K962" si="781">IF(AND(C960=""),"",IF(AND(G960=""),"",C960-G960))</f>
        <v/>
      </c>
      <c r="L960" s="9" t="str">
        <f t="shared" ref="L960:L962" si="782">IF(AND(D960=""),"",IF(AND(H960=""),"",D960-H960))</f>
        <v/>
      </c>
      <c r="M960" s="9" t="str">
        <f t="shared" ref="M960:M961" si="783">IF(AND(E960=""),"",IF(AND(I960=""),"",E960-I960))</f>
        <v/>
      </c>
      <c r="N960" s="9" t="str">
        <f t="shared" ref="N960:N961" si="784">IF(AND(F960=""),"",IF(AND(J960=""),"",F960-J960))</f>
        <v/>
      </c>
      <c r="O960" s="9" t="str">
        <f>IF(AND(C960=""),"",N960-P960)</f>
        <v/>
      </c>
      <c r="P960" s="9" t="str">
        <f>IF(AND(Y955=""),"",IF(AND(N960=""),"",ROUND(N960*AA$1%,0)))</f>
        <v/>
      </c>
      <c r="Q960" s="9" t="str">
        <f>IF(AND(Y955=""),"",IF(AND(C960=""),"",IF(AND(O960=""),"",SUM(O960,P960))))</f>
        <v/>
      </c>
      <c r="R960" s="9" t="str">
        <f>IF(AND(N960=""),"",IF(AND(Q960=""),"",N960-Q960))</f>
        <v/>
      </c>
      <c r="S960" s="20"/>
    </row>
    <row r="961" spans="1:25" ht="21" customHeight="1">
      <c r="A961" s="8">
        <v>2</v>
      </c>
      <c r="B961" s="23">
        <v>44593</v>
      </c>
      <c r="C961" s="9" t="str">
        <f>IF(AND(Y955=""),"",C960)</f>
        <v/>
      </c>
      <c r="D961" s="9" t="str">
        <f>IF(AND(C961=""),"",IF(AND(Y955=""),"",ROUND(C961*Master!C$5%,0)))</f>
        <v/>
      </c>
      <c r="E961" s="9" t="str">
        <f>IF(AND(C961=""),"",IF(AND(Y955=""),"",ROUND(C961*Master!H$5%,0)))</f>
        <v/>
      </c>
      <c r="F961" s="9" t="str">
        <f>IF(AND(C961=""),"",SUM(C961:E961))</f>
        <v/>
      </c>
      <c r="G961" s="9" t="str">
        <f>IF(AND(Y955=""),"",G960)</f>
        <v/>
      </c>
      <c r="H961" s="9" t="str">
        <f>IF(AND(G961=""),"",IF(AND(Y955=""),"",ROUND(G961*Master!C$4%,0)))</f>
        <v/>
      </c>
      <c r="I961" s="9" t="str">
        <f>IF(AND(G961=""),"",IF(AND(Y955=""),"",ROUND(G961*Master!H$4%,0)))</f>
        <v/>
      </c>
      <c r="J961" s="9" t="str">
        <f t="shared" si="780"/>
        <v/>
      </c>
      <c r="K961" s="9" t="str">
        <f t="shared" si="781"/>
        <v/>
      </c>
      <c r="L961" s="9" t="str">
        <f t="shared" si="782"/>
        <v/>
      </c>
      <c r="M961" s="9" t="str">
        <f t="shared" si="783"/>
        <v/>
      </c>
      <c r="N961" s="9" t="str">
        <f t="shared" si="784"/>
        <v/>
      </c>
      <c r="O961" s="9" t="str">
        <f t="shared" ref="O961:O962" si="785">IF(AND(C961=""),"",N961-P961)</f>
        <v/>
      </c>
      <c r="P961" s="9" t="str">
        <f>IF(AND(Y955=""),"",IF(AND(N961=""),"",ROUND(N961*AA$1%,0)))</f>
        <v/>
      </c>
      <c r="Q961" s="9" t="str">
        <f>IF(AND(Y955=""),"",IF(AND(C961=""),"",IF(AND(O961=""),"",SUM(O961,P961))))</f>
        <v/>
      </c>
      <c r="R961" s="9" t="str">
        <f t="shared" ref="R961:R962" si="786">IF(AND(N961=""),"",IF(AND(Q961=""),"",N961-Q961))</f>
        <v/>
      </c>
      <c r="S961" s="20"/>
    </row>
    <row r="962" spans="1:25" ht="21" customHeight="1">
      <c r="A962" s="8">
        <v>3</v>
      </c>
      <c r="B962" s="23">
        <v>44621</v>
      </c>
      <c r="C962" s="9" t="str">
        <f>IF(AND(Y955=""),"",C961)</f>
        <v/>
      </c>
      <c r="D962" s="9" t="str">
        <f>IF(AND(C962=""),"",IF(AND(Y955=""),"",ROUND(C962*Master!C$5%,0)))</f>
        <v/>
      </c>
      <c r="E962" s="9" t="str">
        <f>IF(AND(C962=""),"",IF(AND(Y955=""),"",ROUND(C962*Master!H$5%,0)))</f>
        <v/>
      </c>
      <c r="F962" s="9" t="str">
        <f t="shared" ref="F962" si="787">IF(AND(C962=""),"",SUM(C962:E962))</f>
        <v/>
      </c>
      <c r="G962" s="9" t="str">
        <f>IF(AND(Y955=""),"",G961)</f>
        <v/>
      </c>
      <c r="H962" s="9" t="str">
        <f>IF(AND(G962=""),"",IF(AND(Y955=""),"",ROUND(G962*Master!C$4%,0)))</f>
        <v/>
      </c>
      <c r="I962" s="9" t="str">
        <f>IF(AND(G962=""),"",IF(AND(Y955=""),"",ROUND(G962*Master!H$4%,0)))</f>
        <v/>
      </c>
      <c r="J962" s="9" t="str">
        <f>IF(AND(C962=""),"",SUM(G962:I962))</f>
        <v/>
      </c>
      <c r="K962" s="9" t="str">
        <f t="shared" si="781"/>
        <v/>
      </c>
      <c r="L962" s="9" t="str">
        <f t="shared" si="782"/>
        <v/>
      </c>
      <c r="M962" s="9" t="str">
        <f>IF(AND(E962=""),"",IF(AND(I962=""),"",E962-I962))</f>
        <v/>
      </c>
      <c r="N962" s="9" t="str">
        <f>IF(AND(F962=""),"",IF(AND(J962=""),"",F962-J962))</f>
        <v/>
      </c>
      <c r="O962" s="9" t="str">
        <f t="shared" si="785"/>
        <v/>
      </c>
      <c r="P962" s="9" t="str">
        <f>IF(AND(Y955=""),"",IF(AND(N962=""),"",ROUND(N962*AA$1%,0)))</f>
        <v/>
      </c>
      <c r="Q962" s="9" t="str">
        <f>IF(AND(Y955=""),"",IF(AND(C962=""),"",IF(AND(O962=""),"",SUM(O962,P962))))</f>
        <v/>
      </c>
      <c r="R962" s="9" t="str">
        <f t="shared" si="786"/>
        <v/>
      </c>
      <c r="S962" s="20"/>
    </row>
    <row r="963" spans="1:25" ht="23.25" customHeight="1">
      <c r="A963" s="108" t="s">
        <v>9</v>
      </c>
      <c r="B963" s="109"/>
      <c r="C963" s="64">
        <f>IF(AND(Y955=""),"",SUM(C960:C962))</f>
        <v>0</v>
      </c>
      <c r="D963" s="64">
        <f>IF(AND(Y955=""),"",SUM(D960:D962))</f>
        <v>0</v>
      </c>
      <c r="E963" s="64">
        <f>IF(AND(Y955=""),"",SUM(E960:E962))</f>
        <v>0</v>
      </c>
      <c r="F963" s="64">
        <f>IF(AND(Y955=""),"",SUM(F960:F962))</f>
        <v>0</v>
      </c>
      <c r="G963" s="64">
        <f>IF(AND(Y955=""),"",SUM(G960:G962))</f>
        <v>0</v>
      </c>
      <c r="H963" s="64">
        <f>IF(AND(Y955=""),"",SUM(H960:H962))</f>
        <v>0</v>
      </c>
      <c r="I963" s="64">
        <f>IF(AND(Y955=""),"",SUM(I960:I962))</f>
        <v>0</v>
      </c>
      <c r="J963" s="64">
        <f>IF(AND(Y955=""),"",SUM(J960:J962))</f>
        <v>0</v>
      </c>
      <c r="K963" s="64">
        <f>IF(AND(Y955=""),"",SUM(K960:K962))</f>
        <v>0</v>
      </c>
      <c r="L963" s="64">
        <f>IF(AND(Y955=""),"",SUM(L960:L962))</f>
        <v>0</v>
      </c>
      <c r="M963" s="64">
        <f>IF(AND(Y955=""),"",SUM(M960:M962))</f>
        <v>0</v>
      </c>
      <c r="N963" s="64">
        <f>IF(AND(Y955=""),"",SUM(N960:N962))</f>
        <v>0</v>
      </c>
      <c r="O963" s="64">
        <f>IF(AND(Y955=""),"",SUM(O960:O962))</f>
        <v>0</v>
      </c>
      <c r="P963" s="64">
        <f>IF(AND(Y955=""),"",SUM(P960:P962))</f>
        <v>0</v>
      </c>
      <c r="Q963" s="64">
        <f>IF(AND(Y955=""),"",SUM(Q960:Q962))</f>
        <v>0</v>
      </c>
      <c r="R963" s="64">
        <f>IF(AND(Y955=""),"",SUM(R960:R962))</f>
        <v>0</v>
      </c>
      <c r="S963" s="50"/>
    </row>
    <row r="964" spans="1:25" ht="10.5" customHeight="1">
      <c r="A964" s="75"/>
      <c r="B964" s="75"/>
      <c r="C964" s="76"/>
      <c r="D964" s="76"/>
      <c r="E964" s="76"/>
      <c r="F964" s="76"/>
      <c r="G964" s="76"/>
      <c r="H964" s="76"/>
      <c r="I964" s="76"/>
      <c r="J964" s="76"/>
      <c r="K964" s="76"/>
      <c r="L964" s="76"/>
      <c r="M964" s="76"/>
      <c r="N964" s="76"/>
      <c r="O964" s="76"/>
      <c r="P964" s="76"/>
      <c r="Q964" s="76"/>
      <c r="R964" s="76"/>
      <c r="S964" s="77"/>
    </row>
    <row r="965" spans="1:25" ht="23.25" customHeight="1">
      <c r="E965" s="116" t="s">
        <v>10</v>
      </c>
      <c r="F965" s="116"/>
      <c r="G965" s="116"/>
      <c r="H965" s="116"/>
      <c r="I965" s="116"/>
      <c r="J965" s="115" t="str">
        <f>IF(ISNA(VLOOKUP(Y967,Master!A$8:N$127,2,FALSE)),"",VLOOKUP(Y967,Master!A$8:AH$127,2,FALSE))</f>
        <v/>
      </c>
      <c r="K965" s="115"/>
      <c r="L965" s="115"/>
      <c r="M965" s="115"/>
      <c r="N965" s="115"/>
      <c r="O965" s="61" t="s">
        <v>31</v>
      </c>
      <c r="P965" s="115" t="str">
        <f>IF(ISNA(VLOOKUP(Y967,Master!A$8:N$127,3,FALSE)),"",VLOOKUP(Y967,Master!A$8:AH$127,3,FALSE))</f>
        <v/>
      </c>
      <c r="Q965" s="115"/>
      <c r="R965" s="115"/>
      <c r="S965" s="115"/>
    </row>
    <row r="966" spans="1:25" ht="9" customHeight="1">
      <c r="E966" s="19"/>
      <c r="F966" s="53"/>
      <c r="G966" s="22"/>
      <c r="H966" s="22"/>
      <c r="I966" s="22"/>
      <c r="J966" s="5"/>
      <c r="K966" s="5"/>
      <c r="L966" s="5"/>
      <c r="M966" s="5"/>
      <c r="N966" s="5"/>
      <c r="O966" s="6"/>
      <c r="P966" s="6"/>
    </row>
    <row r="967" spans="1:25" ht="21" customHeight="1">
      <c r="A967" s="8">
        <v>1</v>
      </c>
      <c r="B967" s="23">
        <v>44562</v>
      </c>
      <c r="C967" s="9" t="str">
        <f>IF(ISNA(VLOOKUP(Y967,Master!A$8:N$127,5,FALSE)),"",VLOOKUP(Y967,Master!A$8:AH$127,5,FALSE))</f>
        <v/>
      </c>
      <c r="D967" s="9" t="str">
        <f>IF(AND(C967=""),"",IF(AND(Y967=""),"",ROUND(C967*Master!C$5%,0)))</f>
        <v/>
      </c>
      <c r="E967" s="9" t="str">
        <f>IF(AND(C967=""),"",IF(AND(Y967=""),"",ROUND(C967*Master!H$5%,0)))</f>
        <v/>
      </c>
      <c r="F967" s="9" t="str">
        <f t="shared" ref="F967:F968" si="788">IF(AND(C967=""),"",SUM(C967:E967))</f>
        <v/>
      </c>
      <c r="G967" s="9" t="str">
        <f>IF(ISNA(VLOOKUP(Y967,Master!A$8:N$127,5,FALSE)),"",VLOOKUP(Y967,Master!A$8:AH$127,5,FALSE))</f>
        <v/>
      </c>
      <c r="H967" s="9" t="str">
        <f>IF(AND(G967=""),"",IF(AND(Y967=""),"",ROUND(G967*Master!C$4%,0)))</f>
        <v/>
      </c>
      <c r="I967" s="9" t="str">
        <f>IF(AND(G967=""),"",IF(AND(Y967=""),"",ROUND(G967*Master!H$4%,0)))</f>
        <v/>
      </c>
      <c r="J967" s="9" t="str">
        <f t="shared" ref="J967:J969" si="789">IF(AND(C967=""),"",SUM(G967:I967))</f>
        <v/>
      </c>
      <c r="K967" s="9" t="str">
        <f t="shared" ref="K967" si="790">IF(AND(C967=""),"",IF(AND(G967=""),"",C967-G967))</f>
        <v/>
      </c>
      <c r="L967" s="9" t="str">
        <f>IF(AND(D967=""),"",IF(AND(H967=""),"",D967-H967))</f>
        <v/>
      </c>
      <c r="M967" s="9" t="str">
        <f t="shared" ref="M967:M969" si="791">IF(AND(E967=""),"",IF(AND(I967=""),"",E967-I967))</f>
        <v/>
      </c>
      <c r="N967" s="9" t="str">
        <f t="shared" ref="N967" si="792">IF(AND(F967=""),"",IF(AND(J967=""),"",F967-J967))</f>
        <v/>
      </c>
      <c r="O967" s="9" t="str">
        <f>IF(AND(C967=""),"",N967-P967)</f>
        <v/>
      </c>
      <c r="P967" s="9" t="str">
        <f>IF(AND(Y967=""),"",IF(AND(N967=""),"",ROUND(N967*X$16%,0)))</f>
        <v/>
      </c>
      <c r="Q967" s="9" t="str">
        <f>IF(AND(Y967=""),"",IF(AND(C967=""),"",IF(AND(O967=""),"",SUM(O967,P967))))</f>
        <v/>
      </c>
      <c r="R967" s="9" t="str">
        <f>IF(AND(N967=""),"",IF(AND(Q967=""),"",N967-Q967))</f>
        <v/>
      </c>
      <c r="S967" s="20"/>
      <c r="X967" s="62" t="s">
        <v>62</v>
      </c>
      <c r="Y967" s="65">
        <v>86</v>
      </c>
    </row>
    <row r="968" spans="1:25" ht="21" customHeight="1">
      <c r="A968" s="8">
        <v>2</v>
      </c>
      <c r="B968" s="23">
        <v>44593</v>
      </c>
      <c r="C968" s="9" t="str">
        <f>IF(AND(Y967=""),"",C967)</f>
        <v/>
      </c>
      <c r="D968" s="9" t="str">
        <f>IF(AND(C968=""),"",IF(AND(Y967=""),"",ROUND(C968*Master!C$5%,0)))</f>
        <v/>
      </c>
      <c r="E968" s="9" t="str">
        <f>IF(AND(C968=""),"",IF(AND(Y967=""),"",ROUND(C968*Master!H$5%,0)))</f>
        <v/>
      </c>
      <c r="F968" s="9" t="str">
        <f t="shared" si="788"/>
        <v/>
      </c>
      <c r="G968" s="9" t="str">
        <f>IF(AND(Y967=""),"",G967)</f>
        <v/>
      </c>
      <c r="H968" s="9" t="str">
        <f>IF(AND(G968=""),"",IF(AND(Y967=""),"",ROUND(G968*Master!C$4%,0)))</f>
        <v/>
      </c>
      <c r="I968" s="9" t="str">
        <f>IF(AND(G968=""),"",IF(AND(Y967=""),"",ROUND(G968*Master!H$4%,0)))</f>
        <v/>
      </c>
      <c r="J968" s="9" t="str">
        <f t="shared" si="789"/>
        <v/>
      </c>
      <c r="K968" s="9" t="str">
        <f>IF(AND(C968=""),"",IF(AND(G968=""),"",C968-G968))</f>
        <v/>
      </c>
      <c r="L968" s="9" t="str">
        <f t="shared" ref="L968:L969" si="793">IF(AND(D968=""),"",IF(AND(H968=""),"",D968-H968))</f>
        <v/>
      </c>
      <c r="M968" s="9" t="str">
        <f t="shared" si="791"/>
        <v/>
      </c>
      <c r="N968" s="9" t="str">
        <f>IF(AND(F968=""),"",IF(AND(J968=""),"",F968-J968))</f>
        <v/>
      </c>
      <c r="O968" s="9" t="str">
        <f t="shared" ref="O968:O969" si="794">IF(AND(C968=""),"",N968-P968)</f>
        <v/>
      </c>
      <c r="P968" s="9" t="str">
        <f>IF(AND(Y967=""),"",IF(AND(N968=""),"",ROUND(N968*X$16%,0)))</f>
        <v/>
      </c>
      <c r="Q968" s="9" t="str">
        <f>IF(AND(Y967=""),"",IF(AND(C968=""),"",IF(AND(O968=""),"",SUM(O968,P968))))</f>
        <v/>
      </c>
      <c r="R968" s="9" t="str">
        <f t="shared" ref="R968:R969" si="795">IF(AND(N968=""),"",IF(AND(Q968=""),"",N968-Q968))</f>
        <v/>
      </c>
      <c r="S968" s="20"/>
      <c r="X968" s="4" t="str">
        <f>IF(ISNA(VLOOKUP(Y967,Master!A$8:N$127,7,FALSE)),"",VLOOKUP(Y967,Master!A$8:AH$127,7,FALSE))</f>
        <v/>
      </c>
    </row>
    <row r="969" spans="1:25" ht="21" customHeight="1">
      <c r="A969" s="8">
        <v>3</v>
      </c>
      <c r="B969" s="23">
        <v>44621</v>
      </c>
      <c r="C969" s="9" t="str">
        <f>IF(AND(Y967=""),"",C968)</f>
        <v/>
      </c>
      <c r="D969" s="9" t="str">
        <f>IF(AND(C969=""),"",IF(AND(Y967=""),"",ROUND(C969*Master!C$5%,0)))</f>
        <v/>
      </c>
      <c r="E969" s="9" t="str">
        <f>IF(AND(C969=""),"",IF(AND(Y967=""),"",ROUND(C969*Master!H$5%,0)))</f>
        <v/>
      </c>
      <c r="F969" s="9" t="str">
        <f>IF(AND(C969=""),"",SUM(C969:E969))</f>
        <v/>
      </c>
      <c r="G969" s="9" t="str">
        <f>IF(AND(Y967=""),"",G968)</f>
        <v/>
      </c>
      <c r="H969" s="9" t="str">
        <f>IF(AND(G969=""),"",IF(AND(Y967=""),"",ROUND(G969*Master!C$4%,0)))</f>
        <v/>
      </c>
      <c r="I969" s="9" t="str">
        <f>IF(AND(G969=""),"",IF(AND(Y967=""),"",ROUND(G969*Master!H$4%,0)))</f>
        <v/>
      </c>
      <c r="J969" s="9" t="str">
        <f t="shared" si="789"/>
        <v/>
      </c>
      <c r="K969" s="9" t="str">
        <f t="shared" ref="K969" si="796">IF(AND(C969=""),"",IF(AND(G969=""),"",C969-G969))</f>
        <v/>
      </c>
      <c r="L969" s="9" t="str">
        <f t="shared" si="793"/>
        <v/>
      </c>
      <c r="M969" s="9" t="str">
        <f t="shared" si="791"/>
        <v/>
      </c>
      <c r="N969" s="9" t="str">
        <f t="shared" ref="N969" si="797">IF(AND(F969=""),"",IF(AND(J969=""),"",F969-J969))</f>
        <v/>
      </c>
      <c r="O969" s="9" t="str">
        <f t="shared" si="794"/>
        <v/>
      </c>
      <c r="P969" s="9" t="str">
        <f>IF(AND(Y967=""),"",IF(AND(N969=""),"",ROUND(N969*X$16%,0)))</f>
        <v/>
      </c>
      <c r="Q969" s="9" t="str">
        <f>IF(AND(Y967=""),"",IF(AND(C969=""),"",IF(AND(O969=""),"",SUM(O969,P969))))</f>
        <v/>
      </c>
      <c r="R969" s="9" t="str">
        <f t="shared" si="795"/>
        <v/>
      </c>
      <c r="S969" s="20"/>
    </row>
    <row r="970" spans="1:25" ht="30.75" customHeight="1">
      <c r="A970" s="108" t="s">
        <v>9</v>
      </c>
      <c r="B970" s="109"/>
      <c r="C970" s="64">
        <f>IF(AND(Y967=""),"",SUM(C967:C969))</f>
        <v>0</v>
      </c>
      <c r="D970" s="64">
        <f>IF(AND(Y967=""),"",SUM(D967:D969))</f>
        <v>0</v>
      </c>
      <c r="E970" s="64">
        <f>IF(AND(Y967=""),"",SUM(E967:E969))</f>
        <v>0</v>
      </c>
      <c r="F970" s="64">
        <f>IF(AND(Y967=""),"",SUM(F967:F969))</f>
        <v>0</v>
      </c>
      <c r="G970" s="64">
        <f>IF(AND(Y967=""),"",SUM(G967:G969))</f>
        <v>0</v>
      </c>
      <c r="H970" s="64">
        <f>IF(AND(Y967=""),"",SUM(H967:H969))</f>
        <v>0</v>
      </c>
      <c r="I970" s="64">
        <f>IF(AND(Y967=""),"",SUM(I967:I969))</f>
        <v>0</v>
      </c>
      <c r="J970" s="64">
        <f>IF(AND(Y967=""),"",SUM(J967:J969))</f>
        <v>0</v>
      </c>
      <c r="K970" s="64">
        <f>IF(AND(Y967=""),"",SUM(K967:K969))</f>
        <v>0</v>
      </c>
      <c r="L970" s="64">
        <f>IF(AND(Y967=""),"",SUM(L967:L969))</f>
        <v>0</v>
      </c>
      <c r="M970" s="64">
        <f>IF(AND(Y967=""),"",SUM(M967:M969))</f>
        <v>0</v>
      </c>
      <c r="N970" s="64">
        <f>IF(AND(Y967=""),"",SUM(N967:N969))</f>
        <v>0</v>
      </c>
      <c r="O970" s="64">
        <f>IF(AND(Y967=""),"",SUM(O967:O969))</f>
        <v>0</v>
      </c>
      <c r="P970" s="64">
        <f>IF(AND(Y967=""),"",SUM(P967:P969))</f>
        <v>0</v>
      </c>
      <c r="Q970" s="64">
        <f>IF(AND(Y967=""),"",SUM(Q967:Q969))</f>
        <v>0</v>
      </c>
      <c r="R970" s="64">
        <f>IF(AND(Y967=""),"",SUM(R967:R969))</f>
        <v>0</v>
      </c>
      <c r="S970" s="50"/>
    </row>
    <row r="971" spans="1:25" ht="11.25" customHeight="1">
      <c r="A971" s="75"/>
      <c r="B971" s="75"/>
      <c r="C971" s="76"/>
      <c r="D971" s="76"/>
      <c r="E971" s="76"/>
      <c r="F971" s="76"/>
      <c r="G971" s="76"/>
      <c r="H971" s="76"/>
      <c r="I971" s="76"/>
      <c r="J971" s="76"/>
      <c r="K971" s="76"/>
      <c r="L971" s="76"/>
      <c r="M971" s="76"/>
      <c r="N971" s="76"/>
      <c r="O971" s="76"/>
      <c r="P971" s="76"/>
      <c r="Q971" s="76"/>
      <c r="R971" s="76"/>
      <c r="S971" s="77"/>
    </row>
    <row r="972" spans="1:25" ht="23.25" customHeight="1">
      <c r="E972" s="116" t="s">
        <v>10</v>
      </c>
      <c r="F972" s="116"/>
      <c r="G972" s="116"/>
      <c r="H972" s="116"/>
      <c r="I972" s="116"/>
      <c r="J972" s="115" t="str">
        <f>IF(ISNA(VLOOKUP(Y974,Master!A$8:N$127,2,FALSE)),"",VLOOKUP(Y974,Master!A$8:AH$127,2,FALSE))</f>
        <v/>
      </c>
      <c r="K972" s="115"/>
      <c r="L972" s="115"/>
      <c r="M972" s="115"/>
      <c r="N972" s="115"/>
      <c r="O972" s="61" t="s">
        <v>31</v>
      </c>
      <c r="P972" s="115" t="str">
        <f>IF(ISNA(VLOOKUP($Y$396,Master!A$8:N$127,3,FALSE)),"",VLOOKUP($Y$396,Master!A$8:AH$127,3,FALSE))</f>
        <v/>
      </c>
      <c r="Q972" s="115"/>
      <c r="R972" s="115"/>
      <c r="S972" s="115"/>
    </row>
    <row r="973" spans="1:25" ht="9" customHeight="1">
      <c r="E973" s="19"/>
      <c r="F973" s="53"/>
      <c r="G973" s="22"/>
      <c r="H973" s="22"/>
      <c r="I973" s="22"/>
      <c r="J973" s="5"/>
      <c r="K973" s="5"/>
      <c r="L973" s="5"/>
      <c r="M973" s="5"/>
      <c r="N973" s="5"/>
      <c r="O973" s="6"/>
      <c r="P973" s="6"/>
    </row>
    <row r="974" spans="1:25" ht="21" customHeight="1">
      <c r="A974" s="8">
        <v>1</v>
      </c>
      <c r="B974" s="23">
        <v>44562</v>
      </c>
      <c r="C974" s="9" t="str">
        <f>IF(ISNA(VLOOKUP(Y974,Master!A$8:N$127,5,FALSE)),"",VLOOKUP(Y974,Master!A$8:AH$127,5,FALSE))</f>
        <v/>
      </c>
      <c r="D974" s="9" t="str">
        <f>IF(AND(C974=""),"",IF(AND(Y974=""),"",ROUND(C974*Master!C$5%,0)))</f>
        <v/>
      </c>
      <c r="E974" s="9" t="str">
        <f>IF(AND(C974=""),"",IF(AND(Y974=""),"",ROUND(C974*Master!H$5%,0)))</f>
        <v/>
      </c>
      <c r="F974" s="9" t="str">
        <f t="shared" ref="F974:F976" si="798">IF(AND(C974=""),"",SUM(C974:E974))</f>
        <v/>
      </c>
      <c r="G974" s="9" t="str">
        <f>IF(ISNA(VLOOKUP(Y974,Master!A$8:N$127,5,FALSE)),"",VLOOKUP(Y974,Master!A$8:AH$127,5,FALSE))</f>
        <v/>
      </c>
      <c r="H974" s="9" t="str">
        <f>IF(AND(G974=""),"",IF(AND(Y974=""),"",ROUND(G974*Master!C$4%,0)))</f>
        <v/>
      </c>
      <c r="I974" s="9" t="str">
        <f>IF(AND(G974=""),"",IF(AND(Y974=""),"",ROUND(G974*Master!H$4%,0)))</f>
        <v/>
      </c>
      <c r="J974" s="9" t="str">
        <f t="shared" ref="J974:J976" si="799">IF(AND(C974=""),"",SUM(G974:I974))</f>
        <v/>
      </c>
      <c r="K974" s="9" t="str">
        <f t="shared" ref="K974:K976" si="800">IF(AND(C974=""),"",IF(AND(G974=""),"",C974-G974))</f>
        <v/>
      </c>
      <c r="L974" s="9" t="str">
        <f t="shared" ref="L974:L976" si="801">IF(AND(D974=""),"",IF(AND(H974=""),"",D974-H974))</f>
        <v/>
      </c>
      <c r="M974" s="9" t="str">
        <f t="shared" ref="M974:M976" si="802">IF(AND(E974=""),"",IF(AND(I974=""),"",E974-I974))</f>
        <v/>
      </c>
      <c r="N974" s="9" t="str">
        <f t="shared" ref="N974:N976" si="803">IF(AND(F974=""),"",IF(AND(J974=""),"",F974-J974))</f>
        <v/>
      </c>
      <c r="O974" s="9" t="str">
        <f>IF(AND(C974=""),"",N974-P974)</f>
        <v/>
      </c>
      <c r="P974" s="9" t="str">
        <f>IF(AND(Y974=""),"",IF(AND(N974=""),"",ROUND(N974*AA$1%,0)))</f>
        <v/>
      </c>
      <c r="Q974" s="9" t="str">
        <f>IF(AND(Y974=""),"",IF(AND(C974=""),"",IF(AND(O974=""),"",SUM(O974,P974))))</f>
        <v/>
      </c>
      <c r="R974" s="9" t="str">
        <f>IF(AND(N974=""),"",IF(AND(Q974=""),"",N974-Q974))</f>
        <v/>
      </c>
      <c r="S974" s="20"/>
      <c r="X974" s="62" t="s">
        <v>62</v>
      </c>
      <c r="Y974" s="65">
        <v>87</v>
      </c>
    </row>
    <row r="975" spans="1:25" ht="21" customHeight="1">
      <c r="A975" s="8">
        <v>2</v>
      </c>
      <c r="B975" s="23">
        <v>44593</v>
      </c>
      <c r="C975" s="9" t="str">
        <f>IF(AND(Y974=""),"",C974)</f>
        <v/>
      </c>
      <c r="D975" s="9" t="str">
        <f>IF(AND(C975=""),"",IF(AND(Y974=""),"",ROUND(C975*Master!C$5%,0)))</f>
        <v/>
      </c>
      <c r="E975" s="9" t="str">
        <f>IF(AND(C975=""),"",IF(AND(Y974=""),"",ROUND(C975*Master!H$5%,0)))</f>
        <v/>
      </c>
      <c r="F975" s="9" t="str">
        <f t="shared" si="798"/>
        <v/>
      </c>
      <c r="G975" s="9" t="str">
        <f>IF(AND(Y974=""),"",G974)</f>
        <v/>
      </c>
      <c r="H975" s="9" t="str">
        <f>IF(AND(G975=""),"",IF(AND(Y974=""),"",ROUND(G975*Master!C$4%,0)))</f>
        <v/>
      </c>
      <c r="I975" s="9" t="str">
        <f>IF(AND(G975=""),"",IF(AND(Y974=""),"",ROUND(G975*Master!H$4%,0)))</f>
        <v/>
      </c>
      <c r="J975" s="9" t="str">
        <f t="shared" si="799"/>
        <v/>
      </c>
      <c r="K975" s="9" t="str">
        <f t="shared" si="800"/>
        <v/>
      </c>
      <c r="L975" s="9" t="str">
        <f t="shared" si="801"/>
        <v/>
      </c>
      <c r="M975" s="9" t="str">
        <f t="shared" si="802"/>
        <v/>
      </c>
      <c r="N975" s="9" t="str">
        <f t="shared" si="803"/>
        <v/>
      </c>
      <c r="O975" s="9" t="str">
        <f t="shared" ref="O975:O976" si="804">IF(AND(C975=""),"",N975-P975)</f>
        <v/>
      </c>
      <c r="P975" s="9" t="str">
        <f>IF(AND(Y974=""),"",IF(AND(N975=""),"",ROUND(N975*AA$1%,0)))</f>
        <v/>
      </c>
      <c r="Q975" s="9" t="str">
        <f>IF(AND(Y974=""),"",IF(AND(C975=""),"",IF(AND(O975=""),"",SUM(O975,P975))))</f>
        <v/>
      </c>
      <c r="R975" s="9" t="str">
        <f t="shared" ref="R975:R976" si="805">IF(AND(N975=""),"",IF(AND(Q975=""),"",N975-Q975))</f>
        <v/>
      </c>
      <c r="S975" s="20"/>
      <c r="X975" s="4" t="str">
        <f>IF(ISNA(VLOOKUP(Y974,Master!A$8:N$127,7,FALSE)),"",VLOOKUP(Y974,Master!A$8:AH$127,7,FALSE))</f>
        <v/>
      </c>
    </row>
    <row r="976" spans="1:25" ht="21" customHeight="1">
      <c r="A976" s="8">
        <v>3</v>
      </c>
      <c r="B976" s="23">
        <v>44621</v>
      </c>
      <c r="C976" s="9" t="str">
        <f>IF(AND(Y974=""),"",C975)</f>
        <v/>
      </c>
      <c r="D976" s="9" t="str">
        <f>IF(AND(C976=""),"",IF(AND(Y974=""),"",ROUND(C976*Master!C$5%,0)))</f>
        <v/>
      </c>
      <c r="E976" s="9" t="str">
        <f>IF(AND(C976=""),"",IF(AND(Y974=""),"",ROUND(C976*Master!H$5%,0)))</f>
        <v/>
      </c>
      <c r="F976" s="9" t="str">
        <f t="shared" si="798"/>
        <v/>
      </c>
      <c r="G976" s="9" t="str">
        <f>IF(AND(Y974=""),"",G975)</f>
        <v/>
      </c>
      <c r="H976" s="9" t="str">
        <f>IF(AND(G976=""),"",IF(AND(Y974=""),"",ROUND(G976*Master!C$4%,0)))</f>
        <v/>
      </c>
      <c r="I976" s="9" t="str">
        <f>IF(AND(G976=""),"",IF(AND(Y974=""),"",ROUND(G976*Master!H$4%,0)))</f>
        <v/>
      </c>
      <c r="J976" s="9" t="str">
        <f t="shared" si="799"/>
        <v/>
      </c>
      <c r="K976" s="9" t="str">
        <f t="shared" si="800"/>
        <v/>
      </c>
      <c r="L976" s="9" t="str">
        <f t="shared" si="801"/>
        <v/>
      </c>
      <c r="M976" s="9" t="str">
        <f t="shared" si="802"/>
        <v/>
      </c>
      <c r="N976" s="9" t="str">
        <f t="shared" si="803"/>
        <v/>
      </c>
      <c r="O976" s="9" t="str">
        <f t="shared" si="804"/>
        <v/>
      </c>
      <c r="P976" s="9" t="str">
        <f>IF(AND(Y974=""),"",IF(AND(N976=""),"",ROUND(N976*AA$1%,0)))</f>
        <v/>
      </c>
      <c r="Q976" s="9" t="str">
        <f>IF(AND(Y974=""),"",IF(AND(C976=""),"",IF(AND(O976=""),"",SUM(O976,P976))))</f>
        <v/>
      </c>
      <c r="R976" s="9" t="str">
        <f t="shared" si="805"/>
        <v/>
      </c>
      <c r="S976" s="20"/>
    </row>
    <row r="977" spans="1:27" ht="30.75" customHeight="1">
      <c r="A977" s="108" t="s">
        <v>9</v>
      </c>
      <c r="B977" s="109"/>
      <c r="C977" s="64">
        <f>IF(AND(Y974=""),"",SUM(C974:C976))</f>
        <v>0</v>
      </c>
      <c r="D977" s="64">
        <f>IF(AND(Y974=""),"",SUM(D974:D976))</f>
        <v>0</v>
      </c>
      <c r="E977" s="64">
        <f>IF(AND(Y974=""),"",SUM(E974:E976))</f>
        <v>0</v>
      </c>
      <c r="F977" s="64">
        <f>IF(AND(Y974=""),"",SUM(F974:F976))</f>
        <v>0</v>
      </c>
      <c r="G977" s="64">
        <f>IF(AND(Y974=""),"",SUM(G974:G976))</f>
        <v>0</v>
      </c>
      <c r="H977" s="64">
        <f>IF(AND(Y974=""),"",SUM(H974:H976))</f>
        <v>0</v>
      </c>
      <c r="I977" s="64">
        <f>IF(AND(Y974=""),"",SUM(I974:I976))</f>
        <v>0</v>
      </c>
      <c r="J977" s="64">
        <f>IF(AND(Y974=""),"",SUM(J974:J976))</f>
        <v>0</v>
      </c>
      <c r="K977" s="64">
        <f>IF(AND(Y974=""),"",SUM(K974:K976))</f>
        <v>0</v>
      </c>
      <c r="L977" s="64">
        <f>IF(AND(Y974=""),"",SUM(L974:L976))</f>
        <v>0</v>
      </c>
      <c r="M977" s="64">
        <f>IF(AND(Y974=""),"",SUM(M974:M976))</f>
        <v>0</v>
      </c>
      <c r="N977" s="64">
        <f>IF(AND(Y974=""),"",SUM(N974:N976))</f>
        <v>0</v>
      </c>
      <c r="O977" s="64">
        <f>IF(AND(Y974=""),"",SUM(O974:O976))</f>
        <v>0</v>
      </c>
      <c r="P977" s="64">
        <f>IF(AND(Y974=""),"",SUM(P974:P976))</f>
        <v>0</v>
      </c>
      <c r="Q977" s="64">
        <f>IF(AND(Y974=""),"",SUM(Q974:Q976))</f>
        <v>0</v>
      </c>
      <c r="R977" s="64">
        <f>IF(AND(Y974=""),"",SUM(R974:R976))</f>
        <v>0</v>
      </c>
      <c r="S977" s="50"/>
    </row>
    <row r="978" spans="1:27" ht="30.75" customHeight="1">
      <c r="A978" s="75"/>
      <c r="B978" s="75"/>
      <c r="C978" s="76"/>
      <c r="D978" s="76"/>
      <c r="E978" s="76"/>
      <c r="F978" s="76"/>
      <c r="G978" s="76"/>
      <c r="H978" s="76"/>
      <c r="I978" s="76"/>
      <c r="J978" s="76"/>
      <c r="K978" s="76"/>
      <c r="L978" s="76"/>
      <c r="M978" s="76"/>
      <c r="N978" s="76"/>
      <c r="O978" s="76"/>
      <c r="P978" s="76"/>
      <c r="Q978" s="76"/>
      <c r="R978" s="76"/>
      <c r="S978" s="77"/>
    </row>
    <row r="979" spans="1:27" ht="18.75">
      <c r="A979" s="21"/>
      <c r="B979" s="59"/>
      <c r="C979" s="59"/>
      <c r="D979" s="59"/>
      <c r="E979" s="59"/>
      <c r="F979" s="59"/>
      <c r="G979" s="59"/>
      <c r="H979" s="60"/>
      <c r="I979" s="60"/>
      <c r="J979" s="60"/>
      <c r="K979" s="68"/>
      <c r="L979" s="68"/>
      <c r="M979" s="68"/>
      <c r="N979" s="68"/>
      <c r="O979" s="107" t="s">
        <v>55</v>
      </c>
      <c r="P979" s="107"/>
      <c r="Q979" s="107"/>
      <c r="R979" s="107"/>
      <c r="S979" s="107"/>
    </row>
    <row r="980" spans="1:27" ht="18.75">
      <c r="A980" s="1"/>
      <c r="B980" s="24" t="s">
        <v>19</v>
      </c>
      <c r="C980" s="118"/>
      <c r="D980" s="118"/>
      <c r="E980" s="118"/>
      <c r="F980" s="118"/>
      <c r="G980" s="118"/>
      <c r="H980" s="25"/>
      <c r="I980" s="121" t="s">
        <v>20</v>
      </c>
      <c r="J980" s="121"/>
      <c r="K980" s="120"/>
      <c r="L980" s="120"/>
      <c r="M980" s="120"/>
      <c r="O980" s="107"/>
      <c r="P980" s="107"/>
      <c r="Q980" s="107"/>
      <c r="R980" s="107"/>
      <c r="S980" s="107"/>
    </row>
    <row r="981" spans="1:27" ht="18.75">
      <c r="A981" s="1"/>
      <c r="B981" s="119" t="s">
        <v>21</v>
      </c>
      <c r="C981" s="119"/>
      <c r="D981" s="119"/>
      <c r="E981" s="119"/>
      <c r="F981" s="119"/>
      <c r="G981" s="119"/>
      <c r="H981" s="119"/>
      <c r="I981" s="27"/>
      <c r="J981" s="26"/>
      <c r="K981" s="26"/>
      <c r="L981" s="26"/>
      <c r="M981" s="26"/>
    </row>
    <row r="982" spans="1:27" ht="18.75">
      <c r="A982" s="22">
        <v>1</v>
      </c>
      <c r="B982" s="117" t="s">
        <v>22</v>
      </c>
      <c r="C982" s="117"/>
      <c r="D982" s="117"/>
      <c r="E982" s="117"/>
      <c r="F982" s="117"/>
      <c r="G982" s="117"/>
      <c r="H982" s="117"/>
      <c r="I982" s="28"/>
      <c r="J982" s="26"/>
      <c r="K982" s="26"/>
      <c r="L982" s="26"/>
      <c r="M982" s="26"/>
    </row>
    <row r="983" spans="1:27" ht="18.75">
      <c r="A983" s="2">
        <v>2</v>
      </c>
      <c r="B983" s="117" t="s">
        <v>23</v>
      </c>
      <c r="C983" s="117"/>
      <c r="D983" s="117"/>
      <c r="E983" s="117"/>
      <c r="F983" s="117"/>
      <c r="G983" s="115"/>
      <c r="H983" s="115"/>
      <c r="I983" s="115"/>
      <c r="J983" s="115"/>
      <c r="K983" s="115"/>
      <c r="L983" s="115"/>
      <c r="M983" s="115"/>
    </row>
    <row r="984" spans="1:27" ht="18.75">
      <c r="A984" s="3">
        <v>3</v>
      </c>
      <c r="B984" s="117" t="s">
        <v>24</v>
      </c>
      <c r="C984" s="117"/>
      <c r="D984" s="117"/>
      <c r="E984" s="29"/>
      <c r="F984" s="28"/>
      <c r="G984" s="28"/>
      <c r="H984" s="30"/>
      <c r="I984" s="31"/>
      <c r="J984" s="26"/>
      <c r="K984" s="26"/>
      <c r="L984" s="26"/>
      <c r="M984" s="26"/>
    </row>
    <row r="985" spans="1:27" ht="15.75">
      <c r="O985" s="107" t="s">
        <v>55</v>
      </c>
      <c r="P985" s="107"/>
      <c r="Q985" s="107"/>
      <c r="R985" s="107"/>
      <c r="S985" s="107"/>
    </row>
    <row r="987" spans="1:27" ht="18" customHeight="1">
      <c r="A987" s="122" t="str">
        <f>A953</f>
        <v xml:space="preserve">DA (38%) Drawn Statement  </v>
      </c>
      <c r="B987" s="122"/>
      <c r="C987" s="122"/>
      <c r="D987" s="122"/>
      <c r="E987" s="122"/>
      <c r="F987" s="122"/>
      <c r="G987" s="122"/>
      <c r="H987" s="122"/>
      <c r="I987" s="122"/>
      <c r="J987" s="122"/>
      <c r="K987" s="122"/>
      <c r="L987" s="122"/>
      <c r="M987" s="122"/>
      <c r="N987" s="122"/>
      <c r="O987" s="122"/>
      <c r="P987" s="122"/>
      <c r="Q987" s="122"/>
      <c r="R987" s="122"/>
      <c r="S987" s="122"/>
      <c r="W987" s="4">
        <f>IF(ISNA(VLOOKUP($Y$3,Master!A$8:N$127,4,FALSE)),"",VLOOKUP($Y$3,Master!A$8:AH$127,4,FALSE))</f>
        <v>3</v>
      </c>
      <c r="X987" s="4" t="str">
        <f>IF(ISNA(VLOOKUP($Y$3,Master!A$8:N$127,6,FALSE)),"",VLOOKUP($Y$3,Master!A$8:AH$127,6,FALSE))</f>
        <v>GPF</v>
      </c>
      <c r="Y987" s="4" t="s">
        <v>58</v>
      </c>
      <c r="Z987" s="4" t="s">
        <v>18</v>
      </c>
      <c r="AA987" s="4" t="str">
        <f>IF(ISNA(VLOOKUP(Y989,Master!A$8:N$127,7,FALSE)),"",VLOOKUP(Y989,Master!A$8:AH$127,7,FALSE))</f>
        <v/>
      </c>
    </row>
    <row r="988" spans="1:27" ht="18">
      <c r="A988" s="114" t="str">
        <f>IF(AND(Master!C989=""),"",CONCATENATE("Office Of  ",Master!C989))</f>
        <v/>
      </c>
      <c r="B988" s="114"/>
      <c r="C988" s="114"/>
      <c r="D988" s="114"/>
      <c r="E988" s="114"/>
      <c r="F988" s="114"/>
      <c r="G988" s="114"/>
      <c r="H988" s="114"/>
      <c r="I988" s="114"/>
      <c r="J988" s="114"/>
      <c r="K988" s="114"/>
      <c r="L988" s="114"/>
      <c r="M988" s="114"/>
      <c r="N988" s="114"/>
      <c r="O988" s="114"/>
      <c r="P988" s="114"/>
      <c r="Q988" s="114"/>
      <c r="R988" s="114"/>
      <c r="S988" s="114"/>
      <c r="X988" s="4">
        <f>IF(ISNA(VLOOKUP($Y$3,Master!A$8:N$127,8,FALSE)),"",VLOOKUP($Y$3,Master!A$8:AH$127,8,FALSE))</f>
        <v>44743</v>
      </c>
      <c r="Y988" s="4" t="s">
        <v>56</v>
      </c>
    </row>
    <row r="989" spans="1:27" ht="18.75">
      <c r="E989" s="116" t="s">
        <v>10</v>
      </c>
      <c r="F989" s="116"/>
      <c r="G989" s="116"/>
      <c r="H989" s="116"/>
      <c r="I989" s="116"/>
      <c r="J989" s="115" t="str">
        <f>IF(ISNA(VLOOKUP(Y989,Master!A$8:N$127,2,FALSE)),"",VLOOKUP(Y989,Master!A$8:AH$127,2,FALSE))</f>
        <v/>
      </c>
      <c r="K989" s="115"/>
      <c r="L989" s="115"/>
      <c r="M989" s="115"/>
      <c r="N989" s="115"/>
      <c r="O989" s="61" t="s">
        <v>31</v>
      </c>
      <c r="P989" s="115" t="str">
        <f>IF(ISNA(VLOOKUP(Y989,Master!A$8:N$127,3,FALSE)),"",VLOOKUP(Y989,Master!A$8:AH$127,3,FALSE))</f>
        <v/>
      </c>
      <c r="Q989" s="115"/>
      <c r="R989" s="115"/>
      <c r="S989" s="115"/>
      <c r="X989" s="62" t="s">
        <v>62</v>
      </c>
      <c r="Y989" s="65">
        <v>88</v>
      </c>
    </row>
    <row r="990" spans="1:27" ht="8.25" customHeight="1">
      <c r="E990" s="19"/>
      <c r="F990" s="53"/>
      <c r="G990" s="22"/>
      <c r="H990" s="22"/>
      <c r="I990" s="22"/>
      <c r="J990" s="5"/>
      <c r="K990" s="5"/>
      <c r="L990" s="5"/>
      <c r="M990" s="5"/>
      <c r="N990" s="5"/>
      <c r="O990" s="6"/>
      <c r="P990" s="6"/>
    </row>
    <row r="991" spans="1:27" ht="24.75" customHeight="1">
      <c r="A991" s="110" t="s">
        <v>0</v>
      </c>
      <c r="B991" s="111" t="s">
        <v>3</v>
      </c>
      <c r="C991" s="112" t="s">
        <v>5</v>
      </c>
      <c r="D991" s="112"/>
      <c r="E991" s="112"/>
      <c r="F991" s="112"/>
      <c r="G991" s="112" t="s">
        <v>6</v>
      </c>
      <c r="H991" s="112"/>
      <c r="I991" s="112"/>
      <c r="J991" s="112"/>
      <c r="K991" s="112" t="s">
        <v>7</v>
      </c>
      <c r="L991" s="112"/>
      <c r="M991" s="112"/>
      <c r="N991" s="112"/>
      <c r="O991" s="97" t="s">
        <v>8</v>
      </c>
      <c r="P991" s="98"/>
      <c r="Q991" s="99"/>
      <c r="R991" s="105" t="s">
        <v>67</v>
      </c>
      <c r="S991" s="105" t="s">
        <v>50</v>
      </c>
    </row>
    <row r="992" spans="1:27" ht="69" customHeight="1">
      <c r="A992" s="110"/>
      <c r="B992" s="111"/>
      <c r="C992" s="55" t="s">
        <v>29</v>
      </c>
      <c r="D992" s="56" t="s">
        <v>1</v>
      </c>
      <c r="E992" s="57" t="s">
        <v>2</v>
      </c>
      <c r="F992" s="55" t="s">
        <v>59</v>
      </c>
      <c r="G992" s="55" t="s">
        <v>29</v>
      </c>
      <c r="H992" s="56" t="s">
        <v>1</v>
      </c>
      <c r="I992" s="57" t="s">
        <v>2</v>
      </c>
      <c r="J992" s="55" t="s">
        <v>60</v>
      </c>
      <c r="K992" s="55" t="s">
        <v>4</v>
      </c>
      <c r="L992" s="56" t="s">
        <v>1</v>
      </c>
      <c r="M992" s="57" t="s">
        <v>2</v>
      </c>
      <c r="N992" s="58" t="s">
        <v>61</v>
      </c>
      <c r="O992" s="54" t="s">
        <v>83</v>
      </c>
      <c r="P992" s="67" t="s">
        <v>51</v>
      </c>
      <c r="Q992" s="58" t="s">
        <v>66</v>
      </c>
      <c r="R992" s="105"/>
      <c r="S992" s="105"/>
    </row>
    <row r="993" spans="1:25" ht="18" customHeight="1">
      <c r="A993" s="7">
        <v>1</v>
      </c>
      <c r="B993" s="7">
        <v>2</v>
      </c>
      <c r="C993" s="7">
        <v>3</v>
      </c>
      <c r="D993" s="7">
        <v>4</v>
      </c>
      <c r="E993" s="7">
        <v>5</v>
      </c>
      <c r="F993" s="7">
        <v>6</v>
      </c>
      <c r="G993" s="7">
        <v>7</v>
      </c>
      <c r="H993" s="7">
        <v>8</v>
      </c>
      <c r="I993" s="7">
        <v>9</v>
      </c>
      <c r="J993" s="7">
        <v>10</v>
      </c>
      <c r="K993" s="7">
        <v>11</v>
      </c>
      <c r="L993" s="7">
        <v>12</v>
      </c>
      <c r="M993" s="7">
        <v>13</v>
      </c>
      <c r="N993" s="7">
        <v>14</v>
      </c>
      <c r="O993" s="7">
        <v>15</v>
      </c>
      <c r="P993" s="7">
        <v>17</v>
      </c>
      <c r="Q993" s="7">
        <v>18</v>
      </c>
      <c r="R993" s="7">
        <v>19</v>
      </c>
      <c r="S993" s="7">
        <v>20</v>
      </c>
    </row>
    <row r="994" spans="1:25" ht="21" customHeight="1">
      <c r="A994" s="8">
        <v>1</v>
      </c>
      <c r="B994" s="23">
        <v>44562</v>
      </c>
      <c r="C994" s="9" t="str">
        <f>IF(ISNA(VLOOKUP(Y989,Master!A$8:N$127,5,FALSE)),"",VLOOKUP(Y989,Master!A$8:AH$127,5,FALSE))</f>
        <v/>
      </c>
      <c r="D994" s="9" t="str">
        <f>IF(AND(C994=""),"",IF(AND(Y989=""),"",ROUND(C994*Master!C$5%,0)))</f>
        <v/>
      </c>
      <c r="E994" s="9" t="str">
        <f>IF(AND(C994=""),"",IF(AND(Y989=""),"",ROUND(C994*Master!H$5%,0)))</f>
        <v/>
      </c>
      <c r="F994" s="9" t="str">
        <f t="shared" ref="F994" si="806">IF(AND(C994=""),"",SUM(C994:E994))</f>
        <v/>
      </c>
      <c r="G994" s="9" t="str">
        <f>IF(ISNA(VLOOKUP(Y989,Master!A$8:N$127,5,FALSE)),"",VLOOKUP(Y989,Master!A$8:AH$127,5,FALSE))</f>
        <v/>
      </c>
      <c r="H994" s="9" t="str">
        <f>IF(AND(G994=""),"",IF(AND(Y989=""),"",ROUND(G994*Master!C$4%,0)))</f>
        <v/>
      </c>
      <c r="I994" s="9" t="str">
        <f>IF(AND(G994=""),"",IF(AND(Y989=""),"",ROUND(G994*Master!H$4%,0)))</f>
        <v/>
      </c>
      <c r="J994" s="9" t="str">
        <f t="shared" ref="J994:J995" si="807">IF(AND(C994=""),"",SUM(G994:I994))</f>
        <v/>
      </c>
      <c r="K994" s="9" t="str">
        <f t="shared" ref="K994:K996" si="808">IF(AND(C994=""),"",IF(AND(G994=""),"",C994-G994))</f>
        <v/>
      </c>
      <c r="L994" s="9" t="str">
        <f t="shared" ref="L994:L996" si="809">IF(AND(D994=""),"",IF(AND(H994=""),"",D994-H994))</f>
        <v/>
      </c>
      <c r="M994" s="9" t="str">
        <f t="shared" ref="M994:M995" si="810">IF(AND(E994=""),"",IF(AND(I994=""),"",E994-I994))</f>
        <v/>
      </c>
      <c r="N994" s="9" t="str">
        <f t="shared" ref="N994:N995" si="811">IF(AND(F994=""),"",IF(AND(J994=""),"",F994-J994))</f>
        <v/>
      </c>
      <c r="O994" s="9" t="str">
        <f>IF(AND(C994=""),"",N994-P994)</f>
        <v/>
      </c>
      <c r="P994" s="9" t="str">
        <f>IF(AND(Y989=""),"",IF(AND(N994=""),"",ROUND(N994*AA$1%,0)))</f>
        <v/>
      </c>
      <c r="Q994" s="9" t="str">
        <f>IF(AND(Y989=""),"",IF(AND(C994=""),"",IF(AND(O994=""),"",SUM(O994,P994))))</f>
        <v/>
      </c>
      <c r="R994" s="9" t="str">
        <f>IF(AND(N994=""),"",IF(AND(Q994=""),"",N994-Q994))</f>
        <v/>
      </c>
      <c r="S994" s="20"/>
    </row>
    <row r="995" spans="1:25" ht="21" customHeight="1">
      <c r="A995" s="8">
        <v>2</v>
      </c>
      <c r="B995" s="23">
        <v>44593</v>
      </c>
      <c r="C995" s="9" t="str">
        <f>IF(AND(Y989=""),"",C994)</f>
        <v/>
      </c>
      <c r="D995" s="9" t="str">
        <f>IF(AND(C995=""),"",IF(AND(Y989=""),"",ROUND(C995*Master!C$5%,0)))</f>
        <v/>
      </c>
      <c r="E995" s="9" t="str">
        <f>IF(AND(C995=""),"",IF(AND(Y989=""),"",ROUND(C995*Master!H$5%,0)))</f>
        <v/>
      </c>
      <c r="F995" s="9" t="str">
        <f>IF(AND(C995=""),"",SUM(C995:E995))</f>
        <v/>
      </c>
      <c r="G995" s="9" t="str">
        <f>IF(AND(Y989=""),"",G994)</f>
        <v/>
      </c>
      <c r="H995" s="9" t="str">
        <f>IF(AND(G995=""),"",IF(AND(Y989=""),"",ROUND(G995*Master!C$4%,0)))</f>
        <v/>
      </c>
      <c r="I995" s="9" t="str">
        <f>IF(AND(G995=""),"",IF(AND(Y989=""),"",ROUND(G995*Master!H$4%,0)))</f>
        <v/>
      </c>
      <c r="J995" s="9" t="str">
        <f t="shared" si="807"/>
        <v/>
      </c>
      <c r="K995" s="9" t="str">
        <f t="shared" si="808"/>
        <v/>
      </c>
      <c r="L995" s="9" t="str">
        <f t="shared" si="809"/>
        <v/>
      </c>
      <c r="M995" s="9" t="str">
        <f t="shared" si="810"/>
        <v/>
      </c>
      <c r="N995" s="9" t="str">
        <f t="shared" si="811"/>
        <v/>
      </c>
      <c r="O995" s="9" t="str">
        <f t="shared" ref="O995:O996" si="812">IF(AND(C995=""),"",N995-P995)</f>
        <v/>
      </c>
      <c r="P995" s="9" t="str">
        <f>IF(AND(Y989=""),"",IF(AND(N995=""),"",ROUND(N995*AA$1%,0)))</f>
        <v/>
      </c>
      <c r="Q995" s="9" t="str">
        <f>IF(AND(Y989=""),"",IF(AND(C995=""),"",IF(AND(O995=""),"",SUM(O995,P995))))</f>
        <v/>
      </c>
      <c r="R995" s="9" t="str">
        <f t="shared" ref="R995:R996" si="813">IF(AND(N995=""),"",IF(AND(Q995=""),"",N995-Q995))</f>
        <v/>
      </c>
      <c r="S995" s="20"/>
    </row>
    <row r="996" spans="1:25" ht="21" customHeight="1">
      <c r="A996" s="8">
        <v>3</v>
      </c>
      <c r="B996" s="23">
        <v>44621</v>
      </c>
      <c r="C996" s="9" t="str">
        <f>IF(AND(Y989=""),"",C995)</f>
        <v/>
      </c>
      <c r="D996" s="9" t="str">
        <f>IF(AND(C996=""),"",IF(AND(Y989=""),"",ROUND(C996*Master!C$5%,0)))</f>
        <v/>
      </c>
      <c r="E996" s="9" t="str">
        <f>IF(AND(C996=""),"",IF(AND(Y989=""),"",ROUND(C996*Master!H$5%,0)))</f>
        <v/>
      </c>
      <c r="F996" s="9" t="str">
        <f t="shared" ref="F996" si="814">IF(AND(C996=""),"",SUM(C996:E996))</f>
        <v/>
      </c>
      <c r="G996" s="9" t="str">
        <f>IF(AND(Y989=""),"",G995)</f>
        <v/>
      </c>
      <c r="H996" s="9" t="str">
        <f>IF(AND(G996=""),"",IF(AND(Y989=""),"",ROUND(G996*Master!C$4%,0)))</f>
        <v/>
      </c>
      <c r="I996" s="9" t="str">
        <f>IF(AND(G996=""),"",IF(AND(Y989=""),"",ROUND(G996*Master!H$4%,0)))</f>
        <v/>
      </c>
      <c r="J996" s="9" t="str">
        <f>IF(AND(C996=""),"",SUM(G996:I996))</f>
        <v/>
      </c>
      <c r="K996" s="9" t="str">
        <f t="shared" si="808"/>
        <v/>
      </c>
      <c r="L996" s="9" t="str">
        <f t="shared" si="809"/>
        <v/>
      </c>
      <c r="M996" s="9" t="str">
        <f>IF(AND(E996=""),"",IF(AND(I996=""),"",E996-I996))</f>
        <v/>
      </c>
      <c r="N996" s="9" t="str">
        <f>IF(AND(F996=""),"",IF(AND(J996=""),"",F996-J996))</f>
        <v/>
      </c>
      <c r="O996" s="9" t="str">
        <f t="shared" si="812"/>
        <v/>
      </c>
      <c r="P996" s="9" t="str">
        <f>IF(AND(Y989=""),"",IF(AND(N996=""),"",ROUND(N996*AA$1%,0)))</f>
        <v/>
      </c>
      <c r="Q996" s="9" t="str">
        <f>IF(AND(Y989=""),"",IF(AND(C996=""),"",IF(AND(O996=""),"",SUM(O996,P996))))</f>
        <v/>
      </c>
      <c r="R996" s="9" t="str">
        <f t="shared" si="813"/>
        <v/>
      </c>
      <c r="S996" s="20"/>
    </row>
    <row r="997" spans="1:25" ht="23.25" customHeight="1">
      <c r="A997" s="108" t="s">
        <v>9</v>
      </c>
      <c r="B997" s="109"/>
      <c r="C997" s="64">
        <f>IF(AND(Y989=""),"",SUM(C994:C996))</f>
        <v>0</v>
      </c>
      <c r="D997" s="64">
        <f>IF(AND(Y989=""),"",SUM(D994:D996))</f>
        <v>0</v>
      </c>
      <c r="E997" s="64">
        <f>IF(AND(Y989=""),"",SUM(E994:E996))</f>
        <v>0</v>
      </c>
      <c r="F997" s="64">
        <f>IF(AND(Y989=""),"",SUM(F994:F996))</f>
        <v>0</v>
      </c>
      <c r="G997" s="64">
        <f>IF(AND(Y989=""),"",SUM(G994:G996))</f>
        <v>0</v>
      </c>
      <c r="H997" s="64">
        <f>IF(AND(Y989=""),"",SUM(H994:H996))</f>
        <v>0</v>
      </c>
      <c r="I997" s="64">
        <f>IF(AND(Y989=""),"",SUM(I994:I996))</f>
        <v>0</v>
      </c>
      <c r="J997" s="64">
        <f>IF(AND(Y989=""),"",SUM(J994:J996))</f>
        <v>0</v>
      </c>
      <c r="K997" s="64">
        <f>IF(AND(Y989=""),"",SUM(K994:K996))</f>
        <v>0</v>
      </c>
      <c r="L997" s="64">
        <f>IF(AND(Y989=""),"",SUM(L994:L996))</f>
        <v>0</v>
      </c>
      <c r="M997" s="64">
        <f>IF(AND(Y989=""),"",SUM(M994:M996))</f>
        <v>0</v>
      </c>
      <c r="N997" s="64">
        <f>IF(AND(Y989=""),"",SUM(N994:N996))</f>
        <v>0</v>
      </c>
      <c r="O997" s="64">
        <f>IF(AND(Y989=""),"",SUM(O994:O996))</f>
        <v>0</v>
      </c>
      <c r="P997" s="64">
        <f>IF(AND(Y989=""),"",SUM(P994:P996))</f>
        <v>0</v>
      </c>
      <c r="Q997" s="64">
        <f>IF(AND(Y989=""),"",SUM(Q994:Q996))</f>
        <v>0</v>
      </c>
      <c r="R997" s="64">
        <f>IF(AND(Y989=""),"",SUM(R994:R996))</f>
        <v>0</v>
      </c>
      <c r="S997" s="50"/>
    </row>
    <row r="998" spans="1:25" ht="10.5" customHeight="1">
      <c r="A998" s="75"/>
      <c r="B998" s="75"/>
      <c r="C998" s="76"/>
      <c r="D998" s="76"/>
      <c r="E998" s="76"/>
      <c r="F998" s="76"/>
      <c r="G998" s="76"/>
      <c r="H998" s="76"/>
      <c r="I998" s="76"/>
      <c r="J998" s="76"/>
      <c r="K998" s="76"/>
      <c r="L998" s="76"/>
      <c r="M998" s="76"/>
      <c r="N998" s="76"/>
      <c r="O998" s="76"/>
      <c r="P998" s="76"/>
      <c r="Q998" s="76"/>
      <c r="R998" s="76"/>
      <c r="S998" s="77"/>
    </row>
    <row r="999" spans="1:25" ht="23.25" customHeight="1">
      <c r="E999" s="116" t="s">
        <v>10</v>
      </c>
      <c r="F999" s="116"/>
      <c r="G999" s="116"/>
      <c r="H999" s="116"/>
      <c r="I999" s="116"/>
      <c r="J999" s="115" t="str">
        <f>IF(ISNA(VLOOKUP(Y1001,Master!A$8:N$127,2,FALSE)),"",VLOOKUP(Y1001,Master!A$8:AH$127,2,FALSE))</f>
        <v/>
      </c>
      <c r="K999" s="115"/>
      <c r="L999" s="115"/>
      <c r="M999" s="115"/>
      <c r="N999" s="115"/>
      <c r="O999" s="61" t="s">
        <v>31</v>
      </c>
      <c r="P999" s="115" t="str">
        <f>IF(ISNA(VLOOKUP(Y1001,Master!A$8:N$127,3,FALSE)),"",VLOOKUP(Y1001,Master!A$8:AH$127,3,FALSE))</f>
        <v/>
      </c>
      <c r="Q999" s="115"/>
      <c r="R999" s="115"/>
      <c r="S999" s="115"/>
    </row>
    <row r="1000" spans="1:25" ht="9" customHeight="1">
      <c r="E1000" s="19"/>
      <c r="F1000" s="53"/>
      <c r="G1000" s="22"/>
      <c r="H1000" s="22"/>
      <c r="I1000" s="22"/>
      <c r="J1000" s="5"/>
      <c r="K1000" s="5"/>
      <c r="L1000" s="5"/>
      <c r="M1000" s="5"/>
      <c r="N1000" s="5"/>
      <c r="O1000" s="6"/>
      <c r="P1000" s="6"/>
    </row>
    <row r="1001" spans="1:25" ht="21" customHeight="1">
      <c r="A1001" s="8">
        <v>1</v>
      </c>
      <c r="B1001" s="23">
        <v>44562</v>
      </c>
      <c r="C1001" s="9" t="str">
        <f>IF(ISNA(VLOOKUP(Y1001,Master!A$8:N$127,5,FALSE)),"",VLOOKUP(Y1001,Master!A$8:AH$127,5,FALSE))</f>
        <v/>
      </c>
      <c r="D1001" s="9" t="str">
        <f>IF(AND(C1001=""),"",IF(AND(Y1001=""),"",ROUND(C1001*Master!C$5%,0)))</f>
        <v/>
      </c>
      <c r="E1001" s="9" t="str">
        <f>IF(AND(C1001=""),"",IF(AND(Y1001=""),"",ROUND(C1001*Master!H$5%,0)))</f>
        <v/>
      </c>
      <c r="F1001" s="9" t="str">
        <f t="shared" ref="F1001:F1002" si="815">IF(AND(C1001=""),"",SUM(C1001:E1001))</f>
        <v/>
      </c>
      <c r="G1001" s="9" t="str">
        <f>IF(ISNA(VLOOKUP(Y1001,Master!A$8:N$127,5,FALSE)),"",VLOOKUP(Y1001,Master!A$8:AH$127,5,FALSE))</f>
        <v/>
      </c>
      <c r="H1001" s="9" t="str">
        <f>IF(AND(G1001=""),"",IF(AND(Y1001=""),"",ROUND(G1001*Master!C$4%,0)))</f>
        <v/>
      </c>
      <c r="I1001" s="9" t="str">
        <f>IF(AND(G1001=""),"",IF(AND(Y1001=""),"",ROUND(G1001*Master!H$4%,0)))</f>
        <v/>
      </c>
      <c r="J1001" s="9" t="str">
        <f t="shared" ref="J1001:J1003" si="816">IF(AND(C1001=""),"",SUM(G1001:I1001))</f>
        <v/>
      </c>
      <c r="K1001" s="9" t="str">
        <f t="shared" ref="K1001" si="817">IF(AND(C1001=""),"",IF(AND(G1001=""),"",C1001-G1001))</f>
        <v/>
      </c>
      <c r="L1001" s="9" t="str">
        <f>IF(AND(D1001=""),"",IF(AND(H1001=""),"",D1001-H1001))</f>
        <v/>
      </c>
      <c r="M1001" s="9" t="str">
        <f t="shared" ref="M1001:M1003" si="818">IF(AND(E1001=""),"",IF(AND(I1001=""),"",E1001-I1001))</f>
        <v/>
      </c>
      <c r="N1001" s="9" t="str">
        <f t="shared" ref="N1001" si="819">IF(AND(F1001=""),"",IF(AND(J1001=""),"",F1001-J1001))</f>
        <v/>
      </c>
      <c r="O1001" s="9" t="str">
        <f>IF(AND(C1001=""),"",N1001-P1001)</f>
        <v/>
      </c>
      <c r="P1001" s="9" t="str">
        <f>IF(AND(Y1001=""),"",IF(AND(N1001=""),"",ROUND(N1001*X$16%,0)))</f>
        <v/>
      </c>
      <c r="Q1001" s="9" t="str">
        <f>IF(AND(Y1001=""),"",IF(AND(C1001=""),"",IF(AND(O1001=""),"",SUM(O1001,P1001))))</f>
        <v/>
      </c>
      <c r="R1001" s="9" t="str">
        <f>IF(AND(N1001=""),"",IF(AND(Q1001=""),"",N1001-Q1001))</f>
        <v/>
      </c>
      <c r="S1001" s="20"/>
      <c r="X1001" s="62" t="s">
        <v>62</v>
      </c>
      <c r="Y1001" s="65">
        <v>89</v>
      </c>
    </row>
    <row r="1002" spans="1:25" ht="21" customHeight="1">
      <c r="A1002" s="8">
        <v>2</v>
      </c>
      <c r="B1002" s="23">
        <v>44593</v>
      </c>
      <c r="C1002" s="9" t="str">
        <f>IF(AND(Y1001=""),"",C1001)</f>
        <v/>
      </c>
      <c r="D1002" s="9" t="str">
        <f>IF(AND(C1002=""),"",IF(AND(Y1001=""),"",ROUND(C1002*Master!C$5%,0)))</f>
        <v/>
      </c>
      <c r="E1002" s="9" t="str">
        <f>IF(AND(C1002=""),"",IF(AND(Y1001=""),"",ROUND(C1002*Master!H$5%,0)))</f>
        <v/>
      </c>
      <c r="F1002" s="9" t="str">
        <f t="shared" si="815"/>
        <v/>
      </c>
      <c r="G1002" s="9" t="str">
        <f>IF(AND(Y1001=""),"",G1001)</f>
        <v/>
      </c>
      <c r="H1002" s="9" t="str">
        <f>IF(AND(G1002=""),"",IF(AND(Y1001=""),"",ROUND(G1002*Master!C$4%,0)))</f>
        <v/>
      </c>
      <c r="I1002" s="9" t="str">
        <f>IF(AND(G1002=""),"",IF(AND(Y1001=""),"",ROUND(G1002*Master!H$4%,0)))</f>
        <v/>
      </c>
      <c r="J1002" s="9" t="str">
        <f t="shared" si="816"/>
        <v/>
      </c>
      <c r="K1002" s="9" t="str">
        <f>IF(AND(C1002=""),"",IF(AND(G1002=""),"",C1002-G1002))</f>
        <v/>
      </c>
      <c r="L1002" s="9" t="str">
        <f t="shared" ref="L1002:L1003" si="820">IF(AND(D1002=""),"",IF(AND(H1002=""),"",D1002-H1002))</f>
        <v/>
      </c>
      <c r="M1002" s="9" t="str">
        <f t="shared" si="818"/>
        <v/>
      </c>
      <c r="N1002" s="9" t="str">
        <f>IF(AND(F1002=""),"",IF(AND(J1002=""),"",F1002-J1002))</f>
        <v/>
      </c>
      <c r="O1002" s="9" t="str">
        <f t="shared" ref="O1002:O1003" si="821">IF(AND(C1002=""),"",N1002-P1002)</f>
        <v/>
      </c>
      <c r="P1002" s="9" t="str">
        <f>IF(AND(Y1001=""),"",IF(AND(N1002=""),"",ROUND(N1002*X$16%,0)))</f>
        <v/>
      </c>
      <c r="Q1002" s="9" t="str">
        <f>IF(AND(Y1001=""),"",IF(AND(C1002=""),"",IF(AND(O1002=""),"",SUM(O1002,P1002))))</f>
        <v/>
      </c>
      <c r="R1002" s="9" t="str">
        <f t="shared" ref="R1002:R1003" si="822">IF(AND(N1002=""),"",IF(AND(Q1002=""),"",N1002-Q1002))</f>
        <v/>
      </c>
      <c r="S1002" s="20"/>
      <c r="X1002" s="4" t="str">
        <f>IF(ISNA(VLOOKUP(Y1001,Master!A$8:N$127,7,FALSE)),"",VLOOKUP(Y1001,Master!A$8:AH$127,7,FALSE))</f>
        <v/>
      </c>
    </row>
    <row r="1003" spans="1:25" ht="21" customHeight="1">
      <c r="A1003" s="8">
        <v>3</v>
      </c>
      <c r="B1003" s="23">
        <v>44621</v>
      </c>
      <c r="C1003" s="9" t="str">
        <f>IF(AND(Y1001=""),"",C1002)</f>
        <v/>
      </c>
      <c r="D1003" s="9" t="str">
        <f>IF(AND(C1003=""),"",IF(AND(Y1001=""),"",ROUND(C1003*Master!C$5%,0)))</f>
        <v/>
      </c>
      <c r="E1003" s="9" t="str">
        <f>IF(AND(C1003=""),"",IF(AND(Y1001=""),"",ROUND(C1003*Master!H$5%,0)))</f>
        <v/>
      </c>
      <c r="F1003" s="9" t="str">
        <f>IF(AND(C1003=""),"",SUM(C1003:E1003))</f>
        <v/>
      </c>
      <c r="G1003" s="9" t="str">
        <f>IF(AND(Y1001=""),"",G1002)</f>
        <v/>
      </c>
      <c r="H1003" s="9" t="str">
        <f>IF(AND(G1003=""),"",IF(AND(Y1001=""),"",ROUND(G1003*Master!C$4%,0)))</f>
        <v/>
      </c>
      <c r="I1003" s="9" t="str">
        <f>IF(AND(G1003=""),"",IF(AND(Y1001=""),"",ROUND(G1003*Master!H$4%,0)))</f>
        <v/>
      </c>
      <c r="J1003" s="9" t="str">
        <f t="shared" si="816"/>
        <v/>
      </c>
      <c r="K1003" s="9" t="str">
        <f t="shared" ref="K1003" si="823">IF(AND(C1003=""),"",IF(AND(G1003=""),"",C1003-G1003))</f>
        <v/>
      </c>
      <c r="L1003" s="9" t="str">
        <f t="shared" si="820"/>
        <v/>
      </c>
      <c r="M1003" s="9" t="str">
        <f t="shared" si="818"/>
        <v/>
      </c>
      <c r="N1003" s="9" t="str">
        <f t="shared" ref="N1003" si="824">IF(AND(F1003=""),"",IF(AND(J1003=""),"",F1003-J1003))</f>
        <v/>
      </c>
      <c r="O1003" s="9" t="str">
        <f t="shared" si="821"/>
        <v/>
      </c>
      <c r="P1003" s="9" t="str">
        <f>IF(AND(Y1001=""),"",IF(AND(N1003=""),"",ROUND(N1003*X$16%,0)))</f>
        <v/>
      </c>
      <c r="Q1003" s="9" t="str">
        <f>IF(AND(Y1001=""),"",IF(AND(C1003=""),"",IF(AND(O1003=""),"",SUM(O1003,P1003))))</f>
        <v/>
      </c>
      <c r="R1003" s="9" t="str">
        <f t="shared" si="822"/>
        <v/>
      </c>
      <c r="S1003" s="20"/>
    </row>
    <row r="1004" spans="1:25" ht="30.75" customHeight="1">
      <c r="A1004" s="108" t="s">
        <v>9</v>
      </c>
      <c r="B1004" s="109"/>
      <c r="C1004" s="64">
        <f>IF(AND(Y1001=""),"",SUM(C1001:C1003))</f>
        <v>0</v>
      </c>
      <c r="D1004" s="64">
        <f>IF(AND(Y1001=""),"",SUM(D1001:D1003))</f>
        <v>0</v>
      </c>
      <c r="E1004" s="64">
        <f>IF(AND(Y1001=""),"",SUM(E1001:E1003))</f>
        <v>0</v>
      </c>
      <c r="F1004" s="64">
        <f>IF(AND(Y1001=""),"",SUM(F1001:F1003))</f>
        <v>0</v>
      </c>
      <c r="G1004" s="64">
        <f>IF(AND(Y1001=""),"",SUM(G1001:G1003))</f>
        <v>0</v>
      </c>
      <c r="H1004" s="64">
        <f>IF(AND(Y1001=""),"",SUM(H1001:H1003))</f>
        <v>0</v>
      </c>
      <c r="I1004" s="64">
        <f>IF(AND(Y1001=""),"",SUM(I1001:I1003))</f>
        <v>0</v>
      </c>
      <c r="J1004" s="64">
        <f>IF(AND(Y1001=""),"",SUM(J1001:J1003))</f>
        <v>0</v>
      </c>
      <c r="K1004" s="64">
        <f>IF(AND(Y1001=""),"",SUM(K1001:K1003))</f>
        <v>0</v>
      </c>
      <c r="L1004" s="64">
        <f>IF(AND(Y1001=""),"",SUM(L1001:L1003))</f>
        <v>0</v>
      </c>
      <c r="M1004" s="64">
        <f>IF(AND(Y1001=""),"",SUM(M1001:M1003))</f>
        <v>0</v>
      </c>
      <c r="N1004" s="64">
        <f>IF(AND(Y1001=""),"",SUM(N1001:N1003))</f>
        <v>0</v>
      </c>
      <c r="O1004" s="64">
        <f>IF(AND(Y1001=""),"",SUM(O1001:O1003))</f>
        <v>0</v>
      </c>
      <c r="P1004" s="64">
        <f>IF(AND(Y1001=""),"",SUM(P1001:P1003))</f>
        <v>0</v>
      </c>
      <c r="Q1004" s="64">
        <f>IF(AND(Y1001=""),"",SUM(Q1001:Q1003))</f>
        <v>0</v>
      </c>
      <c r="R1004" s="64">
        <f>IF(AND(Y1001=""),"",SUM(R1001:R1003))</f>
        <v>0</v>
      </c>
      <c r="S1004" s="50"/>
    </row>
    <row r="1005" spans="1:25" ht="11.25" customHeight="1">
      <c r="A1005" s="75"/>
      <c r="B1005" s="75"/>
      <c r="C1005" s="76"/>
      <c r="D1005" s="76"/>
      <c r="E1005" s="76"/>
      <c r="F1005" s="76"/>
      <c r="G1005" s="76"/>
      <c r="H1005" s="76"/>
      <c r="I1005" s="76"/>
      <c r="J1005" s="76"/>
      <c r="K1005" s="76"/>
      <c r="L1005" s="76"/>
      <c r="M1005" s="76"/>
      <c r="N1005" s="76"/>
      <c r="O1005" s="76"/>
      <c r="P1005" s="76"/>
      <c r="Q1005" s="76"/>
      <c r="R1005" s="76"/>
      <c r="S1005" s="77"/>
    </row>
    <row r="1006" spans="1:25" ht="23.25" customHeight="1">
      <c r="E1006" s="116" t="s">
        <v>10</v>
      </c>
      <c r="F1006" s="116"/>
      <c r="G1006" s="116"/>
      <c r="H1006" s="116"/>
      <c r="I1006" s="116"/>
      <c r="J1006" s="115" t="str">
        <f>IF(ISNA(VLOOKUP(Y1008,Master!A$8:N$127,2,FALSE)),"",VLOOKUP(Y1008,Master!A$8:AH$127,2,FALSE))</f>
        <v/>
      </c>
      <c r="K1006" s="115"/>
      <c r="L1006" s="115"/>
      <c r="M1006" s="115"/>
      <c r="N1006" s="115"/>
      <c r="O1006" s="61" t="s">
        <v>31</v>
      </c>
      <c r="P1006" s="115" t="str">
        <f>IF(ISNA(VLOOKUP($Y$396,Master!A$8:N$127,3,FALSE)),"",VLOOKUP($Y$396,Master!A$8:AH$127,3,FALSE))</f>
        <v/>
      </c>
      <c r="Q1006" s="115"/>
      <c r="R1006" s="115"/>
      <c r="S1006" s="115"/>
    </row>
    <row r="1007" spans="1:25" ht="9" customHeight="1">
      <c r="E1007" s="19"/>
      <c r="F1007" s="53"/>
      <c r="G1007" s="22"/>
      <c r="H1007" s="22"/>
      <c r="I1007" s="22"/>
      <c r="J1007" s="5"/>
      <c r="K1007" s="5"/>
      <c r="L1007" s="5"/>
      <c r="M1007" s="5"/>
      <c r="N1007" s="5"/>
      <c r="O1007" s="6"/>
      <c r="P1007" s="6"/>
    </row>
    <row r="1008" spans="1:25" ht="21" customHeight="1">
      <c r="A1008" s="8">
        <v>1</v>
      </c>
      <c r="B1008" s="23">
        <v>44562</v>
      </c>
      <c r="C1008" s="9" t="str">
        <f>IF(ISNA(VLOOKUP(Y1008,Master!A$8:N$127,5,FALSE)),"",VLOOKUP(Y1008,Master!A$8:AH$127,5,FALSE))</f>
        <v/>
      </c>
      <c r="D1008" s="9" t="str">
        <f>IF(AND(C1008=""),"",IF(AND(Y1008=""),"",ROUND(C1008*Master!C$5%,0)))</f>
        <v/>
      </c>
      <c r="E1008" s="9" t="str">
        <f>IF(AND(C1008=""),"",IF(AND(Y1008=""),"",ROUND(C1008*Master!H$5%,0)))</f>
        <v/>
      </c>
      <c r="F1008" s="9" t="str">
        <f t="shared" ref="F1008:F1010" si="825">IF(AND(C1008=""),"",SUM(C1008:E1008))</f>
        <v/>
      </c>
      <c r="G1008" s="9" t="str">
        <f>IF(ISNA(VLOOKUP(Y1008,Master!A$8:N$127,5,FALSE)),"",VLOOKUP(Y1008,Master!A$8:AH$127,5,FALSE))</f>
        <v/>
      </c>
      <c r="H1008" s="9" t="str">
        <f>IF(AND(G1008=""),"",IF(AND(Y1008=""),"",ROUND(G1008*Master!C$4%,0)))</f>
        <v/>
      </c>
      <c r="I1008" s="9" t="str">
        <f>IF(AND(G1008=""),"",IF(AND(Y1008=""),"",ROUND(G1008*Master!H$4%,0)))</f>
        <v/>
      </c>
      <c r="J1008" s="9" t="str">
        <f t="shared" ref="J1008:J1010" si="826">IF(AND(C1008=""),"",SUM(G1008:I1008))</f>
        <v/>
      </c>
      <c r="K1008" s="9" t="str">
        <f t="shared" ref="K1008:K1010" si="827">IF(AND(C1008=""),"",IF(AND(G1008=""),"",C1008-G1008))</f>
        <v/>
      </c>
      <c r="L1008" s="9" t="str">
        <f t="shared" ref="L1008:L1010" si="828">IF(AND(D1008=""),"",IF(AND(H1008=""),"",D1008-H1008))</f>
        <v/>
      </c>
      <c r="M1008" s="9" t="str">
        <f t="shared" ref="M1008:M1010" si="829">IF(AND(E1008=""),"",IF(AND(I1008=""),"",E1008-I1008))</f>
        <v/>
      </c>
      <c r="N1008" s="9" t="str">
        <f t="shared" ref="N1008:N1010" si="830">IF(AND(F1008=""),"",IF(AND(J1008=""),"",F1008-J1008))</f>
        <v/>
      </c>
      <c r="O1008" s="9" t="str">
        <f>IF(AND(C1008=""),"",N1008-P1008)</f>
        <v/>
      </c>
      <c r="P1008" s="9" t="str">
        <f>IF(AND(Y1008=""),"",IF(AND(N1008=""),"",ROUND(N1008*AA$1%,0)))</f>
        <v/>
      </c>
      <c r="Q1008" s="9" t="str">
        <f>IF(AND(Y1008=""),"",IF(AND(C1008=""),"",IF(AND(O1008=""),"",SUM(O1008,P1008))))</f>
        <v/>
      </c>
      <c r="R1008" s="9" t="str">
        <f>IF(AND(N1008=""),"",IF(AND(Q1008=""),"",N1008-Q1008))</f>
        <v/>
      </c>
      <c r="S1008" s="20"/>
      <c r="X1008" s="62" t="s">
        <v>62</v>
      </c>
      <c r="Y1008" s="65">
        <v>90</v>
      </c>
    </row>
    <row r="1009" spans="1:27" ht="21" customHeight="1">
      <c r="A1009" s="8">
        <v>2</v>
      </c>
      <c r="B1009" s="23">
        <v>44593</v>
      </c>
      <c r="C1009" s="9" t="str">
        <f>IF(AND(Y1008=""),"",C1008)</f>
        <v/>
      </c>
      <c r="D1009" s="9" t="str">
        <f>IF(AND(C1009=""),"",IF(AND(Y1008=""),"",ROUND(C1009*Master!C$5%,0)))</f>
        <v/>
      </c>
      <c r="E1009" s="9" t="str">
        <f>IF(AND(C1009=""),"",IF(AND(Y1008=""),"",ROUND(C1009*Master!H$5%,0)))</f>
        <v/>
      </c>
      <c r="F1009" s="9" t="str">
        <f t="shared" si="825"/>
        <v/>
      </c>
      <c r="G1009" s="9" t="str">
        <f>IF(AND(Y1008=""),"",G1008)</f>
        <v/>
      </c>
      <c r="H1009" s="9" t="str">
        <f>IF(AND(G1009=""),"",IF(AND(Y1008=""),"",ROUND(G1009*Master!C$4%,0)))</f>
        <v/>
      </c>
      <c r="I1009" s="9" t="str">
        <f>IF(AND(G1009=""),"",IF(AND(Y1008=""),"",ROUND(G1009*Master!H$4%,0)))</f>
        <v/>
      </c>
      <c r="J1009" s="9" t="str">
        <f t="shared" si="826"/>
        <v/>
      </c>
      <c r="K1009" s="9" t="str">
        <f t="shared" si="827"/>
        <v/>
      </c>
      <c r="L1009" s="9" t="str">
        <f t="shared" si="828"/>
        <v/>
      </c>
      <c r="M1009" s="9" t="str">
        <f t="shared" si="829"/>
        <v/>
      </c>
      <c r="N1009" s="9" t="str">
        <f t="shared" si="830"/>
        <v/>
      </c>
      <c r="O1009" s="9" t="str">
        <f t="shared" ref="O1009:O1010" si="831">IF(AND(C1009=""),"",N1009-P1009)</f>
        <v/>
      </c>
      <c r="P1009" s="9" t="str">
        <f>IF(AND(Y1008=""),"",IF(AND(N1009=""),"",ROUND(N1009*AA$1%,0)))</f>
        <v/>
      </c>
      <c r="Q1009" s="9" t="str">
        <f>IF(AND(Y1008=""),"",IF(AND(C1009=""),"",IF(AND(O1009=""),"",SUM(O1009,P1009))))</f>
        <v/>
      </c>
      <c r="R1009" s="9" t="str">
        <f t="shared" ref="R1009:R1010" si="832">IF(AND(N1009=""),"",IF(AND(Q1009=""),"",N1009-Q1009))</f>
        <v/>
      </c>
      <c r="S1009" s="20"/>
      <c r="X1009" s="4" t="str">
        <f>IF(ISNA(VLOOKUP(Y1008,Master!A$8:N$127,7,FALSE)),"",VLOOKUP(Y1008,Master!A$8:AH$127,7,FALSE))</f>
        <v/>
      </c>
    </row>
    <row r="1010" spans="1:27" ht="21" customHeight="1">
      <c r="A1010" s="8">
        <v>3</v>
      </c>
      <c r="B1010" s="23">
        <v>44621</v>
      </c>
      <c r="C1010" s="9" t="str">
        <f>IF(AND(Y1008=""),"",C1009)</f>
        <v/>
      </c>
      <c r="D1010" s="9" t="str">
        <f>IF(AND(C1010=""),"",IF(AND(Y1008=""),"",ROUND(C1010*Master!C$5%,0)))</f>
        <v/>
      </c>
      <c r="E1010" s="9" t="str">
        <f>IF(AND(C1010=""),"",IF(AND(Y1008=""),"",ROUND(C1010*Master!H$5%,0)))</f>
        <v/>
      </c>
      <c r="F1010" s="9" t="str">
        <f t="shared" si="825"/>
        <v/>
      </c>
      <c r="G1010" s="9" t="str">
        <f>IF(AND(Y1008=""),"",G1009)</f>
        <v/>
      </c>
      <c r="H1010" s="9" t="str">
        <f>IF(AND(G1010=""),"",IF(AND(Y1008=""),"",ROUND(G1010*Master!C$4%,0)))</f>
        <v/>
      </c>
      <c r="I1010" s="9" t="str">
        <f>IF(AND(G1010=""),"",IF(AND(Y1008=""),"",ROUND(G1010*Master!H$4%,0)))</f>
        <v/>
      </c>
      <c r="J1010" s="9" t="str">
        <f t="shared" si="826"/>
        <v/>
      </c>
      <c r="K1010" s="9" t="str">
        <f t="shared" si="827"/>
        <v/>
      </c>
      <c r="L1010" s="9" t="str">
        <f t="shared" si="828"/>
        <v/>
      </c>
      <c r="M1010" s="9" t="str">
        <f t="shared" si="829"/>
        <v/>
      </c>
      <c r="N1010" s="9" t="str">
        <f t="shared" si="830"/>
        <v/>
      </c>
      <c r="O1010" s="9" t="str">
        <f t="shared" si="831"/>
        <v/>
      </c>
      <c r="P1010" s="9" t="str">
        <f>IF(AND(Y1008=""),"",IF(AND(N1010=""),"",ROUND(N1010*AA$1%,0)))</f>
        <v/>
      </c>
      <c r="Q1010" s="9" t="str">
        <f>IF(AND(Y1008=""),"",IF(AND(C1010=""),"",IF(AND(O1010=""),"",SUM(O1010,P1010))))</f>
        <v/>
      </c>
      <c r="R1010" s="9" t="str">
        <f t="shared" si="832"/>
        <v/>
      </c>
      <c r="S1010" s="20"/>
    </row>
    <row r="1011" spans="1:27" ht="30.75" customHeight="1">
      <c r="A1011" s="108" t="s">
        <v>9</v>
      </c>
      <c r="B1011" s="109"/>
      <c r="C1011" s="64">
        <f>IF(AND(Y1008=""),"",SUM(C1008:C1010))</f>
        <v>0</v>
      </c>
      <c r="D1011" s="64">
        <f>IF(AND(Y1008=""),"",SUM(D1008:D1010))</f>
        <v>0</v>
      </c>
      <c r="E1011" s="64">
        <f>IF(AND(Y1008=""),"",SUM(E1008:E1010))</f>
        <v>0</v>
      </c>
      <c r="F1011" s="64">
        <f>IF(AND(Y1008=""),"",SUM(F1008:F1010))</f>
        <v>0</v>
      </c>
      <c r="G1011" s="64">
        <f>IF(AND(Y1008=""),"",SUM(G1008:G1010))</f>
        <v>0</v>
      </c>
      <c r="H1011" s="64">
        <f>IF(AND(Y1008=""),"",SUM(H1008:H1010))</f>
        <v>0</v>
      </c>
      <c r="I1011" s="64">
        <f>IF(AND(Y1008=""),"",SUM(I1008:I1010))</f>
        <v>0</v>
      </c>
      <c r="J1011" s="64">
        <f>IF(AND(Y1008=""),"",SUM(J1008:J1010))</f>
        <v>0</v>
      </c>
      <c r="K1011" s="64">
        <f>IF(AND(Y1008=""),"",SUM(K1008:K1010))</f>
        <v>0</v>
      </c>
      <c r="L1011" s="64">
        <f>IF(AND(Y1008=""),"",SUM(L1008:L1010))</f>
        <v>0</v>
      </c>
      <c r="M1011" s="64">
        <f>IF(AND(Y1008=""),"",SUM(M1008:M1010))</f>
        <v>0</v>
      </c>
      <c r="N1011" s="64">
        <f>IF(AND(Y1008=""),"",SUM(N1008:N1010))</f>
        <v>0</v>
      </c>
      <c r="O1011" s="64">
        <f>IF(AND(Y1008=""),"",SUM(O1008:O1010))</f>
        <v>0</v>
      </c>
      <c r="P1011" s="64">
        <f>IF(AND(Y1008=""),"",SUM(P1008:P1010))</f>
        <v>0</v>
      </c>
      <c r="Q1011" s="64">
        <f>IF(AND(Y1008=""),"",SUM(Q1008:Q1010))</f>
        <v>0</v>
      </c>
      <c r="R1011" s="64">
        <f>IF(AND(Y1008=""),"",SUM(R1008:R1010))</f>
        <v>0</v>
      </c>
      <c r="S1011" s="50"/>
    </row>
    <row r="1012" spans="1:27" ht="30.75" customHeight="1">
      <c r="A1012" s="75"/>
      <c r="B1012" s="75"/>
      <c r="C1012" s="76"/>
      <c r="D1012" s="76"/>
      <c r="E1012" s="76"/>
      <c r="F1012" s="76"/>
      <c r="G1012" s="76"/>
      <c r="H1012" s="76"/>
      <c r="I1012" s="76"/>
      <c r="J1012" s="76"/>
      <c r="K1012" s="76"/>
      <c r="L1012" s="76"/>
      <c r="M1012" s="76"/>
      <c r="N1012" s="76"/>
      <c r="O1012" s="76"/>
      <c r="P1012" s="76"/>
      <c r="Q1012" s="76"/>
      <c r="R1012" s="76"/>
      <c r="S1012" s="77"/>
    </row>
    <row r="1013" spans="1:27" ht="18.75">
      <c r="A1013" s="21"/>
      <c r="B1013" s="59"/>
      <c r="C1013" s="59"/>
      <c r="D1013" s="59"/>
      <c r="E1013" s="59"/>
      <c r="F1013" s="59"/>
      <c r="G1013" s="59"/>
      <c r="H1013" s="60"/>
      <c r="I1013" s="60"/>
      <c r="J1013" s="60"/>
      <c r="K1013" s="68"/>
      <c r="L1013" s="68"/>
      <c r="M1013" s="68"/>
      <c r="N1013" s="68"/>
      <c r="O1013" s="107" t="s">
        <v>55</v>
      </c>
      <c r="P1013" s="107"/>
      <c r="Q1013" s="107"/>
      <c r="R1013" s="107"/>
      <c r="S1013" s="107"/>
    </row>
    <row r="1014" spans="1:27" ht="18.75">
      <c r="A1014" s="1"/>
      <c r="B1014" s="24" t="s">
        <v>19</v>
      </c>
      <c r="C1014" s="118"/>
      <c r="D1014" s="118"/>
      <c r="E1014" s="118"/>
      <c r="F1014" s="118"/>
      <c r="G1014" s="118"/>
      <c r="H1014" s="25"/>
      <c r="I1014" s="121" t="s">
        <v>20</v>
      </c>
      <c r="J1014" s="121"/>
      <c r="K1014" s="120"/>
      <c r="L1014" s="120"/>
      <c r="M1014" s="120"/>
      <c r="O1014" s="107"/>
      <c r="P1014" s="107"/>
      <c r="Q1014" s="107"/>
      <c r="R1014" s="107"/>
      <c r="S1014" s="107"/>
    </row>
    <row r="1015" spans="1:27" ht="18.75">
      <c r="A1015" s="1"/>
      <c r="B1015" s="119" t="s">
        <v>21</v>
      </c>
      <c r="C1015" s="119"/>
      <c r="D1015" s="119"/>
      <c r="E1015" s="119"/>
      <c r="F1015" s="119"/>
      <c r="G1015" s="119"/>
      <c r="H1015" s="119"/>
      <c r="I1015" s="27"/>
      <c r="J1015" s="26"/>
      <c r="K1015" s="26"/>
      <c r="L1015" s="26"/>
      <c r="M1015" s="26"/>
    </row>
    <row r="1016" spans="1:27" ht="18.75">
      <c r="A1016" s="22">
        <v>1</v>
      </c>
      <c r="B1016" s="117" t="s">
        <v>22</v>
      </c>
      <c r="C1016" s="117"/>
      <c r="D1016" s="117"/>
      <c r="E1016" s="117"/>
      <c r="F1016" s="117"/>
      <c r="G1016" s="117"/>
      <c r="H1016" s="117"/>
      <c r="I1016" s="28"/>
      <c r="J1016" s="26"/>
      <c r="K1016" s="26"/>
      <c r="L1016" s="26"/>
      <c r="M1016" s="26"/>
    </row>
    <row r="1017" spans="1:27" ht="18.75">
      <c r="A1017" s="2">
        <v>2</v>
      </c>
      <c r="B1017" s="117" t="s">
        <v>23</v>
      </c>
      <c r="C1017" s="117"/>
      <c r="D1017" s="117"/>
      <c r="E1017" s="117"/>
      <c r="F1017" s="117"/>
      <c r="G1017" s="115"/>
      <c r="H1017" s="115"/>
      <c r="I1017" s="115"/>
      <c r="J1017" s="115"/>
      <c r="K1017" s="115"/>
      <c r="L1017" s="115"/>
      <c r="M1017" s="115"/>
    </row>
    <row r="1018" spans="1:27" ht="18.75">
      <c r="A1018" s="3">
        <v>3</v>
      </c>
      <c r="B1018" s="117" t="s">
        <v>24</v>
      </c>
      <c r="C1018" s="117"/>
      <c r="D1018" s="117"/>
      <c r="E1018" s="29"/>
      <c r="F1018" s="28"/>
      <c r="G1018" s="28"/>
      <c r="H1018" s="30"/>
      <c r="I1018" s="31"/>
      <c r="J1018" s="26"/>
      <c r="K1018" s="26"/>
      <c r="L1018" s="26"/>
      <c r="M1018" s="26"/>
    </row>
    <row r="1019" spans="1:27" ht="15.75">
      <c r="O1019" s="107" t="s">
        <v>55</v>
      </c>
      <c r="P1019" s="107"/>
      <c r="Q1019" s="107"/>
      <c r="R1019" s="107"/>
      <c r="S1019" s="107"/>
    </row>
    <row r="1021" spans="1:27" ht="18" customHeight="1">
      <c r="A1021" s="122" t="str">
        <f>A987</f>
        <v xml:space="preserve">DA (38%) Drawn Statement  </v>
      </c>
      <c r="B1021" s="122"/>
      <c r="C1021" s="122"/>
      <c r="D1021" s="122"/>
      <c r="E1021" s="122"/>
      <c r="F1021" s="122"/>
      <c r="G1021" s="122"/>
      <c r="H1021" s="122"/>
      <c r="I1021" s="122"/>
      <c r="J1021" s="122"/>
      <c r="K1021" s="122"/>
      <c r="L1021" s="122"/>
      <c r="M1021" s="122"/>
      <c r="N1021" s="122"/>
      <c r="O1021" s="122"/>
      <c r="P1021" s="122"/>
      <c r="Q1021" s="122"/>
      <c r="R1021" s="122"/>
      <c r="S1021" s="122"/>
      <c r="W1021" s="4">
        <f>IF(ISNA(VLOOKUP($Y$3,Master!A$8:N$127,4,FALSE)),"",VLOOKUP($Y$3,Master!A$8:AH$127,4,FALSE))</f>
        <v>3</v>
      </c>
      <c r="X1021" s="4" t="str">
        <f>IF(ISNA(VLOOKUP($Y$3,Master!A$8:N$127,6,FALSE)),"",VLOOKUP($Y$3,Master!A$8:AH$127,6,FALSE))</f>
        <v>GPF</v>
      </c>
      <c r="Y1021" s="4" t="s">
        <v>58</v>
      </c>
      <c r="Z1021" s="4" t="s">
        <v>18</v>
      </c>
      <c r="AA1021" s="4" t="str">
        <f>IF(ISNA(VLOOKUP(Y1023,Master!A$8:N$127,7,FALSE)),"",VLOOKUP(Y1023,Master!A$8:AH$127,7,FALSE))</f>
        <v/>
      </c>
    </row>
    <row r="1022" spans="1:27" ht="18">
      <c r="A1022" s="114" t="str">
        <f>IF(AND(Master!C1023=""),"",CONCATENATE("Office Of  ",Master!C1023))</f>
        <v/>
      </c>
      <c r="B1022" s="114"/>
      <c r="C1022" s="114"/>
      <c r="D1022" s="114"/>
      <c r="E1022" s="114"/>
      <c r="F1022" s="114"/>
      <c r="G1022" s="114"/>
      <c r="H1022" s="114"/>
      <c r="I1022" s="114"/>
      <c r="J1022" s="114"/>
      <c r="K1022" s="114"/>
      <c r="L1022" s="114"/>
      <c r="M1022" s="114"/>
      <c r="N1022" s="114"/>
      <c r="O1022" s="114"/>
      <c r="P1022" s="114"/>
      <c r="Q1022" s="114"/>
      <c r="R1022" s="114"/>
      <c r="S1022" s="114"/>
      <c r="X1022" s="4">
        <f>IF(ISNA(VLOOKUP($Y$3,Master!A$8:N$127,8,FALSE)),"",VLOOKUP($Y$3,Master!A$8:AH$127,8,FALSE))</f>
        <v>44743</v>
      </c>
      <c r="Y1022" s="4" t="s">
        <v>56</v>
      </c>
    </row>
    <row r="1023" spans="1:27" ht="18.75">
      <c r="E1023" s="116" t="s">
        <v>10</v>
      </c>
      <c r="F1023" s="116"/>
      <c r="G1023" s="116"/>
      <c r="H1023" s="116"/>
      <c r="I1023" s="116"/>
      <c r="J1023" s="115" t="str">
        <f>IF(ISNA(VLOOKUP(Y1023,Master!A$8:N$127,2,FALSE)),"",VLOOKUP(Y1023,Master!A$8:AH$127,2,FALSE))</f>
        <v/>
      </c>
      <c r="K1023" s="115"/>
      <c r="L1023" s="115"/>
      <c r="M1023" s="115"/>
      <c r="N1023" s="115"/>
      <c r="O1023" s="61" t="s">
        <v>31</v>
      </c>
      <c r="P1023" s="115" t="str">
        <f>IF(ISNA(VLOOKUP(Y1023,Master!A$8:N$127,3,FALSE)),"",VLOOKUP(Y1023,Master!A$8:AH$127,3,FALSE))</f>
        <v/>
      </c>
      <c r="Q1023" s="115"/>
      <c r="R1023" s="115"/>
      <c r="S1023" s="115"/>
      <c r="X1023" s="62" t="s">
        <v>62</v>
      </c>
      <c r="Y1023" s="65">
        <v>91</v>
      </c>
    </row>
    <row r="1024" spans="1:27" ht="8.25" customHeight="1">
      <c r="E1024" s="19"/>
      <c r="F1024" s="53"/>
      <c r="G1024" s="22"/>
      <c r="H1024" s="22"/>
      <c r="I1024" s="22"/>
      <c r="J1024" s="5"/>
      <c r="K1024" s="5"/>
      <c r="L1024" s="5"/>
      <c r="M1024" s="5"/>
      <c r="N1024" s="5"/>
      <c r="O1024" s="6"/>
      <c r="P1024" s="6"/>
    </row>
    <row r="1025" spans="1:25" ht="24.75" customHeight="1">
      <c r="A1025" s="110" t="s">
        <v>0</v>
      </c>
      <c r="B1025" s="111" t="s">
        <v>3</v>
      </c>
      <c r="C1025" s="112" t="s">
        <v>5</v>
      </c>
      <c r="D1025" s="112"/>
      <c r="E1025" s="112"/>
      <c r="F1025" s="112"/>
      <c r="G1025" s="112" t="s">
        <v>6</v>
      </c>
      <c r="H1025" s="112"/>
      <c r="I1025" s="112"/>
      <c r="J1025" s="112"/>
      <c r="K1025" s="112" t="s">
        <v>7</v>
      </c>
      <c r="L1025" s="112"/>
      <c r="M1025" s="112"/>
      <c r="N1025" s="112"/>
      <c r="O1025" s="97" t="s">
        <v>8</v>
      </c>
      <c r="P1025" s="98"/>
      <c r="Q1025" s="99"/>
      <c r="R1025" s="105" t="s">
        <v>67</v>
      </c>
      <c r="S1025" s="105" t="s">
        <v>50</v>
      </c>
    </row>
    <row r="1026" spans="1:25" ht="69" customHeight="1">
      <c r="A1026" s="110"/>
      <c r="B1026" s="111"/>
      <c r="C1026" s="55" t="s">
        <v>29</v>
      </c>
      <c r="D1026" s="56" t="s">
        <v>1</v>
      </c>
      <c r="E1026" s="57" t="s">
        <v>2</v>
      </c>
      <c r="F1026" s="55" t="s">
        <v>59</v>
      </c>
      <c r="G1026" s="55" t="s">
        <v>29</v>
      </c>
      <c r="H1026" s="56" t="s">
        <v>1</v>
      </c>
      <c r="I1026" s="57" t="s">
        <v>2</v>
      </c>
      <c r="J1026" s="55" t="s">
        <v>60</v>
      </c>
      <c r="K1026" s="55" t="s">
        <v>4</v>
      </c>
      <c r="L1026" s="56" t="s">
        <v>1</v>
      </c>
      <c r="M1026" s="57" t="s">
        <v>2</v>
      </c>
      <c r="N1026" s="58" t="s">
        <v>61</v>
      </c>
      <c r="O1026" s="54" t="s">
        <v>83</v>
      </c>
      <c r="P1026" s="67" t="s">
        <v>51</v>
      </c>
      <c r="Q1026" s="58" t="s">
        <v>66</v>
      </c>
      <c r="R1026" s="105"/>
      <c r="S1026" s="105"/>
    </row>
    <row r="1027" spans="1:25" ht="18" customHeight="1">
      <c r="A1027" s="7">
        <v>1</v>
      </c>
      <c r="B1027" s="7">
        <v>2</v>
      </c>
      <c r="C1027" s="7">
        <v>3</v>
      </c>
      <c r="D1027" s="7">
        <v>4</v>
      </c>
      <c r="E1027" s="7">
        <v>5</v>
      </c>
      <c r="F1027" s="7">
        <v>6</v>
      </c>
      <c r="G1027" s="7">
        <v>7</v>
      </c>
      <c r="H1027" s="7">
        <v>8</v>
      </c>
      <c r="I1027" s="7">
        <v>9</v>
      </c>
      <c r="J1027" s="7">
        <v>10</v>
      </c>
      <c r="K1027" s="7">
        <v>11</v>
      </c>
      <c r="L1027" s="7">
        <v>12</v>
      </c>
      <c r="M1027" s="7">
        <v>13</v>
      </c>
      <c r="N1027" s="7">
        <v>14</v>
      </c>
      <c r="O1027" s="7">
        <v>15</v>
      </c>
      <c r="P1027" s="7">
        <v>17</v>
      </c>
      <c r="Q1027" s="7">
        <v>18</v>
      </c>
      <c r="R1027" s="7">
        <v>19</v>
      </c>
      <c r="S1027" s="7">
        <v>20</v>
      </c>
    </row>
    <row r="1028" spans="1:25" ht="21" customHeight="1">
      <c r="A1028" s="8">
        <v>1</v>
      </c>
      <c r="B1028" s="23">
        <v>44562</v>
      </c>
      <c r="C1028" s="9" t="str">
        <f>IF(ISNA(VLOOKUP(Y1023,Master!A$8:N$127,5,FALSE)),"",VLOOKUP(Y1023,Master!A$8:AH$127,5,FALSE))</f>
        <v/>
      </c>
      <c r="D1028" s="9" t="str">
        <f>IF(AND(C1028=""),"",IF(AND(Y1023=""),"",ROUND(C1028*Master!C$5%,0)))</f>
        <v/>
      </c>
      <c r="E1028" s="9" t="str">
        <f>IF(AND(C1028=""),"",IF(AND(Y1023=""),"",ROUND(C1028*Master!H$5%,0)))</f>
        <v/>
      </c>
      <c r="F1028" s="9" t="str">
        <f t="shared" ref="F1028" si="833">IF(AND(C1028=""),"",SUM(C1028:E1028))</f>
        <v/>
      </c>
      <c r="G1028" s="9" t="str">
        <f>IF(ISNA(VLOOKUP(Y1023,Master!A$8:N$127,5,FALSE)),"",VLOOKUP(Y1023,Master!A$8:AH$127,5,FALSE))</f>
        <v/>
      </c>
      <c r="H1028" s="9" t="str">
        <f>IF(AND(G1028=""),"",IF(AND(Y1023=""),"",ROUND(G1028*Master!C$4%,0)))</f>
        <v/>
      </c>
      <c r="I1028" s="9" t="str">
        <f>IF(AND(G1028=""),"",IF(AND(Y1023=""),"",ROUND(G1028*Master!H$4%,0)))</f>
        <v/>
      </c>
      <c r="J1028" s="9" t="str">
        <f t="shared" ref="J1028:J1029" si="834">IF(AND(C1028=""),"",SUM(G1028:I1028))</f>
        <v/>
      </c>
      <c r="K1028" s="9" t="str">
        <f t="shared" ref="K1028:K1030" si="835">IF(AND(C1028=""),"",IF(AND(G1028=""),"",C1028-G1028))</f>
        <v/>
      </c>
      <c r="L1028" s="9" t="str">
        <f t="shared" ref="L1028:L1030" si="836">IF(AND(D1028=""),"",IF(AND(H1028=""),"",D1028-H1028))</f>
        <v/>
      </c>
      <c r="M1028" s="9" t="str">
        <f t="shared" ref="M1028:M1029" si="837">IF(AND(E1028=""),"",IF(AND(I1028=""),"",E1028-I1028))</f>
        <v/>
      </c>
      <c r="N1028" s="9" t="str">
        <f t="shared" ref="N1028:N1029" si="838">IF(AND(F1028=""),"",IF(AND(J1028=""),"",F1028-J1028))</f>
        <v/>
      </c>
      <c r="O1028" s="9" t="str">
        <f>IF(AND(C1028=""),"",N1028-P1028)</f>
        <v/>
      </c>
      <c r="P1028" s="9" t="str">
        <f>IF(AND(Y1023=""),"",IF(AND(N1028=""),"",ROUND(N1028*AA$1%,0)))</f>
        <v/>
      </c>
      <c r="Q1028" s="9" t="str">
        <f>IF(AND(Y1023=""),"",IF(AND(C1028=""),"",IF(AND(O1028=""),"",SUM(O1028,P1028))))</f>
        <v/>
      </c>
      <c r="R1028" s="9" t="str">
        <f>IF(AND(N1028=""),"",IF(AND(Q1028=""),"",N1028-Q1028))</f>
        <v/>
      </c>
      <c r="S1028" s="20"/>
    </row>
    <row r="1029" spans="1:25" ht="21" customHeight="1">
      <c r="A1029" s="8">
        <v>2</v>
      </c>
      <c r="B1029" s="23">
        <v>44593</v>
      </c>
      <c r="C1029" s="9" t="str">
        <f>IF(AND(Y1023=""),"",C1028)</f>
        <v/>
      </c>
      <c r="D1029" s="9" t="str">
        <f>IF(AND(C1029=""),"",IF(AND(Y1023=""),"",ROUND(C1029*Master!C$5%,0)))</f>
        <v/>
      </c>
      <c r="E1029" s="9" t="str">
        <f>IF(AND(C1029=""),"",IF(AND(Y1023=""),"",ROUND(C1029*Master!H$5%,0)))</f>
        <v/>
      </c>
      <c r="F1029" s="9" t="str">
        <f>IF(AND(C1029=""),"",SUM(C1029:E1029))</f>
        <v/>
      </c>
      <c r="G1029" s="9" t="str">
        <f>IF(AND(Y1023=""),"",G1028)</f>
        <v/>
      </c>
      <c r="H1029" s="9" t="str">
        <f>IF(AND(G1029=""),"",IF(AND(Y1023=""),"",ROUND(G1029*Master!C$4%,0)))</f>
        <v/>
      </c>
      <c r="I1029" s="9" t="str">
        <f>IF(AND(G1029=""),"",IF(AND(Y1023=""),"",ROUND(G1029*Master!H$4%,0)))</f>
        <v/>
      </c>
      <c r="J1029" s="9" t="str">
        <f t="shared" si="834"/>
        <v/>
      </c>
      <c r="K1029" s="9" t="str">
        <f t="shared" si="835"/>
        <v/>
      </c>
      <c r="L1029" s="9" t="str">
        <f t="shared" si="836"/>
        <v/>
      </c>
      <c r="M1029" s="9" t="str">
        <f t="shared" si="837"/>
        <v/>
      </c>
      <c r="N1029" s="9" t="str">
        <f t="shared" si="838"/>
        <v/>
      </c>
      <c r="O1029" s="9" t="str">
        <f t="shared" ref="O1029:O1030" si="839">IF(AND(C1029=""),"",N1029-P1029)</f>
        <v/>
      </c>
      <c r="P1029" s="9" t="str">
        <f>IF(AND(Y1023=""),"",IF(AND(N1029=""),"",ROUND(N1029*AA$1%,0)))</f>
        <v/>
      </c>
      <c r="Q1029" s="9" t="str">
        <f>IF(AND(Y1023=""),"",IF(AND(C1029=""),"",IF(AND(O1029=""),"",SUM(O1029,P1029))))</f>
        <v/>
      </c>
      <c r="R1029" s="9" t="str">
        <f t="shared" ref="R1029:R1030" si="840">IF(AND(N1029=""),"",IF(AND(Q1029=""),"",N1029-Q1029))</f>
        <v/>
      </c>
      <c r="S1029" s="20"/>
    </row>
    <row r="1030" spans="1:25" ht="21" customHeight="1">
      <c r="A1030" s="8">
        <v>3</v>
      </c>
      <c r="B1030" s="23">
        <v>44621</v>
      </c>
      <c r="C1030" s="9" t="str">
        <f>IF(AND(Y1023=""),"",C1029)</f>
        <v/>
      </c>
      <c r="D1030" s="9" t="str">
        <f>IF(AND(C1030=""),"",IF(AND(Y1023=""),"",ROUND(C1030*Master!C$5%,0)))</f>
        <v/>
      </c>
      <c r="E1030" s="9" t="str">
        <f>IF(AND(C1030=""),"",IF(AND(Y1023=""),"",ROUND(C1030*Master!H$5%,0)))</f>
        <v/>
      </c>
      <c r="F1030" s="9" t="str">
        <f t="shared" ref="F1030" si="841">IF(AND(C1030=""),"",SUM(C1030:E1030))</f>
        <v/>
      </c>
      <c r="G1030" s="9" t="str">
        <f>IF(AND(Y1023=""),"",G1029)</f>
        <v/>
      </c>
      <c r="H1030" s="9" t="str">
        <f>IF(AND(G1030=""),"",IF(AND(Y1023=""),"",ROUND(G1030*Master!C$4%,0)))</f>
        <v/>
      </c>
      <c r="I1030" s="9" t="str">
        <f>IF(AND(G1030=""),"",IF(AND(Y1023=""),"",ROUND(G1030*Master!H$4%,0)))</f>
        <v/>
      </c>
      <c r="J1030" s="9" t="str">
        <f>IF(AND(C1030=""),"",SUM(G1030:I1030))</f>
        <v/>
      </c>
      <c r="K1030" s="9" t="str">
        <f t="shared" si="835"/>
        <v/>
      </c>
      <c r="L1030" s="9" t="str">
        <f t="shared" si="836"/>
        <v/>
      </c>
      <c r="M1030" s="9" t="str">
        <f>IF(AND(E1030=""),"",IF(AND(I1030=""),"",E1030-I1030))</f>
        <v/>
      </c>
      <c r="N1030" s="9" t="str">
        <f>IF(AND(F1030=""),"",IF(AND(J1030=""),"",F1030-J1030))</f>
        <v/>
      </c>
      <c r="O1030" s="9" t="str">
        <f t="shared" si="839"/>
        <v/>
      </c>
      <c r="P1030" s="9" t="str">
        <f>IF(AND(Y1023=""),"",IF(AND(N1030=""),"",ROUND(N1030*AA$1%,0)))</f>
        <v/>
      </c>
      <c r="Q1030" s="9" t="str">
        <f>IF(AND(Y1023=""),"",IF(AND(C1030=""),"",IF(AND(O1030=""),"",SUM(O1030,P1030))))</f>
        <v/>
      </c>
      <c r="R1030" s="9" t="str">
        <f t="shared" si="840"/>
        <v/>
      </c>
      <c r="S1030" s="20"/>
    </row>
    <row r="1031" spans="1:25" ht="23.25" customHeight="1">
      <c r="A1031" s="108" t="s">
        <v>9</v>
      </c>
      <c r="B1031" s="109"/>
      <c r="C1031" s="64">
        <f>IF(AND(Y1023=""),"",SUM(C1028:C1030))</f>
        <v>0</v>
      </c>
      <c r="D1031" s="64">
        <f>IF(AND(Y1023=""),"",SUM(D1028:D1030))</f>
        <v>0</v>
      </c>
      <c r="E1031" s="64">
        <f>IF(AND(Y1023=""),"",SUM(E1028:E1030))</f>
        <v>0</v>
      </c>
      <c r="F1031" s="64">
        <f>IF(AND(Y1023=""),"",SUM(F1028:F1030))</f>
        <v>0</v>
      </c>
      <c r="G1031" s="64">
        <f>IF(AND(Y1023=""),"",SUM(G1028:G1030))</f>
        <v>0</v>
      </c>
      <c r="H1031" s="64">
        <f>IF(AND(Y1023=""),"",SUM(H1028:H1030))</f>
        <v>0</v>
      </c>
      <c r="I1031" s="64">
        <f>IF(AND(Y1023=""),"",SUM(I1028:I1030))</f>
        <v>0</v>
      </c>
      <c r="J1031" s="64">
        <f>IF(AND(Y1023=""),"",SUM(J1028:J1030))</f>
        <v>0</v>
      </c>
      <c r="K1031" s="64">
        <f>IF(AND(Y1023=""),"",SUM(K1028:K1030))</f>
        <v>0</v>
      </c>
      <c r="L1031" s="64">
        <f>IF(AND(Y1023=""),"",SUM(L1028:L1030))</f>
        <v>0</v>
      </c>
      <c r="M1031" s="64">
        <f>IF(AND(Y1023=""),"",SUM(M1028:M1030))</f>
        <v>0</v>
      </c>
      <c r="N1031" s="64">
        <f>IF(AND(Y1023=""),"",SUM(N1028:N1030))</f>
        <v>0</v>
      </c>
      <c r="O1031" s="64">
        <f>IF(AND(Y1023=""),"",SUM(O1028:O1030))</f>
        <v>0</v>
      </c>
      <c r="P1031" s="64">
        <f>IF(AND(Y1023=""),"",SUM(P1028:P1030))</f>
        <v>0</v>
      </c>
      <c r="Q1031" s="64">
        <f>IF(AND(Y1023=""),"",SUM(Q1028:Q1030))</f>
        <v>0</v>
      </c>
      <c r="R1031" s="64">
        <f>IF(AND(Y1023=""),"",SUM(R1028:R1030))</f>
        <v>0</v>
      </c>
      <c r="S1031" s="50"/>
    </row>
    <row r="1032" spans="1:25" ht="10.5" customHeight="1">
      <c r="A1032" s="75"/>
      <c r="B1032" s="75"/>
      <c r="C1032" s="76"/>
      <c r="D1032" s="76"/>
      <c r="E1032" s="76"/>
      <c r="F1032" s="76"/>
      <c r="G1032" s="76"/>
      <c r="H1032" s="76"/>
      <c r="I1032" s="76"/>
      <c r="J1032" s="76"/>
      <c r="K1032" s="76"/>
      <c r="L1032" s="76"/>
      <c r="M1032" s="76"/>
      <c r="N1032" s="76"/>
      <c r="O1032" s="76"/>
      <c r="P1032" s="76"/>
      <c r="Q1032" s="76"/>
      <c r="R1032" s="76"/>
      <c r="S1032" s="77"/>
    </row>
    <row r="1033" spans="1:25" ht="23.25" customHeight="1">
      <c r="E1033" s="116" t="s">
        <v>10</v>
      </c>
      <c r="F1033" s="116"/>
      <c r="G1033" s="116"/>
      <c r="H1033" s="116"/>
      <c r="I1033" s="116"/>
      <c r="J1033" s="115" t="str">
        <f>IF(ISNA(VLOOKUP(Y1035,Master!A$8:N$127,2,FALSE)),"",VLOOKUP(Y1035,Master!A$8:AH$127,2,FALSE))</f>
        <v/>
      </c>
      <c r="K1033" s="115"/>
      <c r="L1033" s="115"/>
      <c r="M1033" s="115"/>
      <c r="N1033" s="115"/>
      <c r="O1033" s="61" t="s">
        <v>31</v>
      </c>
      <c r="P1033" s="115" t="str">
        <f>IF(ISNA(VLOOKUP(Y1035,Master!A$8:N$127,3,FALSE)),"",VLOOKUP(Y1035,Master!A$8:AH$127,3,FALSE))</f>
        <v/>
      </c>
      <c r="Q1033" s="115"/>
      <c r="R1033" s="115"/>
      <c r="S1033" s="115"/>
    </row>
    <row r="1034" spans="1:25" ht="9" customHeight="1">
      <c r="E1034" s="19"/>
      <c r="F1034" s="53"/>
      <c r="G1034" s="22"/>
      <c r="H1034" s="22"/>
      <c r="I1034" s="22"/>
      <c r="J1034" s="5"/>
      <c r="K1034" s="5"/>
      <c r="L1034" s="5"/>
      <c r="M1034" s="5"/>
      <c r="N1034" s="5"/>
      <c r="O1034" s="6"/>
      <c r="P1034" s="6"/>
    </row>
    <row r="1035" spans="1:25" ht="21" customHeight="1">
      <c r="A1035" s="8">
        <v>1</v>
      </c>
      <c r="B1035" s="23">
        <v>44562</v>
      </c>
      <c r="C1035" s="9" t="str">
        <f>IF(ISNA(VLOOKUP(Y1035,Master!A$8:N$127,5,FALSE)),"",VLOOKUP(Y1035,Master!A$8:AH$127,5,FALSE))</f>
        <v/>
      </c>
      <c r="D1035" s="9" t="str">
        <f>IF(AND(C1035=""),"",IF(AND(Y1035=""),"",ROUND(C1035*Master!C$5%,0)))</f>
        <v/>
      </c>
      <c r="E1035" s="9" t="str">
        <f>IF(AND(C1035=""),"",IF(AND(Y1035=""),"",ROUND(C1035*Master!H$5%,0)))</f>
        <v/>
      </c>
      <c r="F1035" s="9" t="str">
        <f t="shared" ref="F1035:F1036" si="842">IF(AND(C1035=""),"",SUM(C1035:E1035))</f>
        <v/>
      </c>
      <c r="G1035" s="9" t="str">
        <f>IF(ISNA(VLOOKUP(Y1035,Master!A$8:N$127,5,FALSE)),"",VLOOKUP(Y1035,Master!A$8:AH$127,5,FALSE))</f>
        <v/>
      </c>
      <c r="H1035" s="9" t="str">
        <f>IF(AND(G1035=""),"",IF(AND(Y1035=""),"",ROUND(G1035*Master!C$4%,0)))</f>
        <v/>
      </c>
      <c r="I1035" s="9" t="str">
        <f>IF(AND(G1035=""),"",IF(AND(Y1035=""),"",ROUND(G1035*Master!H$4%,0)))</f>
        <v/>
      </c>
      <c r="J1035" s="9" t="str">
        <f t="shared" ref="J1035:J1037" si="843">IF(AND(C1035=""),"",SUM(G1035:I1035))</f>
        <v/>
      </c>
      <c r="K1035" s="9" t="str">
        <f t="shared" ref="K1035" si="844">IF(AND(C1035=""),"",IF(AND(G1035=""),"",C1035-G1035))</f>
        <v/>
      </c>
      <c r="L1035" s="9" t="str">
        <f>IF(AND(D1035=""),"",IF(AND(H1035=""),"",D1035-H1035))</f>
        <v/>
      </c>
      <c r="M1035" s="9" t="str">
        <f t="shared" ref="M1035:M1037" si="845">IF(AND(E1035=""),"",IF(AND(I1035=""),"",E1035-I1035))</f>
        <v/>
      </c>
      <c r="N1035" s="9" t="str">
        <f t="shared" ref="N1035" si="846">IF(AND(F1035=""),"",IF(AND(J1035=""),"",F1035-J1035))</f>
        <v/>
      </c>
      <c r="O1035" s="9" t="str">
        <f>IF(AND(C1035=""),"",N1035-P1035)</f>
        <v/>
      </c>
      <c r="P1035" s="9" t="str">
        <f>IF(AND(Y1035=""),"",IF(AND(N1035=""),"",ROUND(N1035*X$16%,0)))</f>
        <v/>
      </c>
      <c r="Q1035" s="9" t="str">
        <f>IF(AND(Y1035=""),"",IF(AND(C1035=""),"",IF(AND(O1035=""),"",SUM(O1035,P1035))))</f>
        <v/>
      </c>
      <c r="R1035" s="9" t="str">
        <f>IF(AND(N1035=""),"",IF(AND(Q1035=""),"",N1035-Q1035))</f>
        <v/>
      </c>
      <c r="S1035" s="20"/>
      <c r="X1035" s="62" t="s">
        <v>62</v>
      </c>
      <c r="Y1035" s="65">
        <v>92</v>
      </c>
    </row>
    <row r="1036" spans="1:25" ht="21" customHeight="1">
      <c r="A1036" s="8">
        <v>2</v>
      </c>
      <c r="B1036" s="23">
        <v>44593</v>
      </c>
      <c r="C1036" s="9" t="str">
        <f>IF(AND(Y1035=""),"",C1035)</f>
        <v/>
      </c>
      <c r="D1036" s="9" t="str">
        <f>IF(AND(C1036=""),"",IF(AND(Y1035=""),"",ROUND(C1036*Master!C$5%,0)))</f>
        <v/>
      </c>
      <c r="E1036" s="9" t="str">
        <f>IF(AND(C1036=""),"",IF(AND(Y1035=""),"",ROUND(C1036*Master!H$5%,0)))</f>
        <v/>
      </c>
      <c r="F1036" s="9" t="str">
        <f t="shared" si="842"/>
        <v/>
      </c>
      <c r="G1036" s="9" t="str">
        <f>IF(AND(Y1035=""),"",G1035)</f>
        <v/>
      </c>
      <c r="H1036" s="9" t="str">
        <f>IF(AND(G1036=""),"",IF(AND(Y1035=""),"",ROUND(G1036*Master!C$4%,0)))</f>
        <v/>
      </c>
      <c r="I1036" s="9" t="str">
        <f>IF(AND(G1036=""),"",IF(AND(Y1035=""),"",ROUND(G1036*Master!H$4%,0)))</f>
        <v/>
      </c>
      <c r="J1036" s="9" t="str">
        <f t="shared" si="843"/>
        <v/>
      </c>
      <c r="K1036" s="9" t="str">
        <f>IF(AND(C1036=""),"",IF(AND(G1036=""),"",C1036-G1036))</f>
        <v/>
      </c>
      <c r="L1036" s="9" t="str">
        <f t="shared" ref="L1036:L1037" si="847">IF(AND(D1036=""),"",IF(AND(H1036=""),"",D1036-H1036))</f>
        <v/>
      </c>
      <c r="M1036" s="9" t="str">
        <f t="shared" si="845"/>
        <v/>
      </c>
      <c r="N1036" s="9" t="str">
        <f>IF(AND(F1036=""),"",IF(AND(J1036=""),"",F1036-J1036))</f>
        <v/>
      </c>
      <c r="O1036" s="9" t="str">
        <f t="shared" ref="O1036:O1037" si="848">IF(AND(C1036=""),"",N1036-P1036)</f>
        <v/>
      </c>
      <c r="P1036" s="9" t="str">
        <f>IF(AND(Y1035=""),"",IF(AND(N1036=""),"",ROUND(N1036*X$16%,0)))</f>
        <v/>
      </c>
      <c r="Q1036" s="9" t="str">
        <f>IF(AND(Y1035=""),"",IF(AND(C1036=""),"",IF(AND(O1036=""),"",SUM(O1036,P1036))))</f>
        <v/>
      </c>
      <c r="R1036" s="9" t="str">
        <f t="shared" ref="R1036:R1037" si="849">IF(AND(N1036=""),"",IF(AND(Q1036=""),"",N1036-Q1036))</f>
        <v/>
      </c>
      <c r="S1036" s="20"/>
      <c r="X1036" s="4" t="str">
        <f>IF(ISNA(VLOOKUP(Y1035,Master!A$8:N$127,7,FALSE)),"",VLOOKUP(Y1035,Master!A$8:AH$127,7,FALSE))</f>
        <v/>
      </c>
    </row>
    <row r="1037" spans="1:25" ht="21" customHeight="1">
      <c r="A1037" s="8">
        <v>3</v>
      </c>
      <c r="B1037" s="23">
        <v>44621</v>
      </c>
      <c r="C1037" s="9" t="str">
        <f>IF(AND(Y1035=""),"",C1036)</f>
        <v/>
      </c>
      <c r="D1037" s="9" t="str">
        <f>IF(AND(C1037=""),"",IF(AND(Y1035=""),"",ROUND(C1037*Master!C$5%,0)))</f>
        <v/>
      </c>
      <c r="E1037" s="9" t="str">
        <f>IF(AND(C1037=""),"",IF(AND(Y1035=""),"",ROUND(C1037*Master!H$5%,0)))</f>
        <v/>
      </c>
      <c r="F1037" s="9" t="str">
        <f>IF(AND(C1037=""),"",SUM(C1037:E1037))</f>
        <v/>
      </c>
      <c r="G1037" s="9" t="str">
        <f>IF(AND(Y1035=""),"",G1036)</f>
        <v/>
      </c>
      <c r="H1037" s="9" t="str">
        <f>IF(AND(G1037=""),"",IF(AND(Y1035=""),"",ROUND(G1037*Master!C$4%,0)))</f>
        <v/>
      </c>
      <c r="I1037" s="9" t="str">
        <f>IF(AND(G1037=""),"",IF(AND(Y1035=""),"",ROUND(G1037*Master!H$4%,0)))</f>
        <v/>
      </c>
      <c r="J1037" s="9" t="str">
        <f t="shared" si="843"/>
        <v/>
      </c>
      <c r="K1037" s="9" t="str">
        <f t="shared" ref="K1037" si="850">IF(AND(C1037=""),"",IF(AND(G1037=""),"",C1037-G1037))</f>
        <v/>
      </c>
      <c r="L1037" s="9" t="str">
        <f t="shared" si="847"/>
        <v/>
      </c>
      <c r="M1037" s="9" t="str">
        <f t="shared" si="845"/>
        <v/>
      </c>
      <c r="N1037" s="9" t="str">
        <f t="shared" ref="N1037" si="851">IF(AND(F1037=""),"",IF(AND(J1037=""),"",F1037-J1037))</f>
        <v/>
      </c>
      <c r="O1037" s="9" t="str">
        <f t="shared" si="848"/>
        <v/>
      </c>
      <c r="P1037" s="9" t="str">
        <f>IF(AND(Y1035=""),"",IF(AND(N1037=""),"",ROUND(N1037*X$16%,0)))</f>
        <v/>
      </c>
      <c r="Q1037" s="9" t="str">
        <f>IF(AND(Y1035=""),"",IF(AND(C1037=""),"",IF(AND(O1037=""),"",SUM(O1037,P1037))))</f>
        <v/>
      </c>
      <c r="R1037" s="9" t="str">
        <f t="shared" si="849"/>
        <v/>
      </c>
      <c r="S1037" s="20"/>
    </row>
    <row r="1038" spans="1:25" ht="30.75" customHeight="1">
      <c r="A1038" s="108" t="s">
        <v>9</v>
      </c>
      <c r="B1038" s="109"/>
      <c r="C1038" s="64">
        <f>IF(AND(Y1035=""),"",SUM(C1035:C1037))</f>
        <v>0</v>
      </c>
      <c r="D1038" s="64">
        <f>IF(AND(Y1035=""),"",SUM(D1035:D1037))</f>
        <v>0</v>
      </c>
      <c r="E1038" s="64">
        <f>IF(AND(Y1035=""),"",SUM(E1035:E1037))</f>
        <v>0</v>
      </c>
      <c r="F1038" s="64">
        <f>IF(AND(Y1035=""),"",SUM(F1035:F1037))</f>
        <v>0</v>
      </c>
      <c r="G1038" s="64">
        <f>IF(AND(Y1035=""),"",SUM(G1035:G1037))</f>
        <v>0</v>
      </c>
      <c r="H1038" s="64">
        <f>IF(AND(Y1035=""),"",SUM(H1035:H1037))</f>
        <v>0</v>
      </c>
      <c r="I1038" s="64">
        <f>IF(AND(Y1035=""),"",SUM(I1035:I1037))</f>
        <v>0</v>
      </c>
      <c r="J1038" s="64">
        <f>IF(AND(Y1035=""),"",SUM(J1035:J1037))</f>
        <v>0</v>
      </c>
      <c r="K1038" s="64">
        <f>IF(AND(Y1035=""),"",SUM(K1035:K1037))</f>
        <v>0</v>
      </c>
      <c r="L1038" s="64">
        <f>IF(AND(Y1035=""),"",SUM(L1035:L1037))</f>
        <v>0</v>
      </c>
      <c r="M1038" s="64">
        <f>IF(AND(Y1035=""),"",SUM(M1035:M1037))</f>
        <v>0</v>
      </c>
      <c r="N1038" s="64">
        <f>IF(AND(Y1035=""),"",SUM(N1035:N1037))</f>
        <v>0</v>
      </c>
      <c r="O1038" s="64">
        <f>IF(AND(Y1035=""),"",SUM(O1035:O1037))</f>
        <v>0</v>
      </c>
      <c r="P1038" s="64">
        <f>IF(AND(Y1035=""),"",SUM(P1035:P1037))</f>
        <v>0</v>
      </c>
      <c r="Q1038" s="64">
        <f>IF(AND(Y1035=""),"",SUM(Q1035:Q1037))</f>
        <v>0</v>
      </c>
      <c r="R1038" s="64">
        <f>IF(AND(Y1035=""),"",SUM(R1035:R1037))</f>
        <v>0</v>
      </c>
      <c r="S1038" s="50"/>
    </row>
    <row r="1039" spans="1:25" ht="11.25" customHeight="1">
      <c r="A1039" s="75"/>
      <c r="B1039" s="75"/>
      <c r="C1039" s="76"/>
      <c r="D1039" s="76"/>
      <c r="E1039" s="76"/>
      <c r="F1039" s="76"/>
      <c r="G1039" s="76"/>
      <c r="H1039" s="76"/>
      <c r="I1039" s="76"/>
      <c r="J1039" s="76"/>
      <c r="K1039" s="76"/>
      <c r="L1039" s="76"/>
      <c r="M1039" s="76"/>
      <c r="N1039" s="76"/>
      <c r="O1039" s="76"/>
      <c r="P1039" s="76"/>
      <c r="Q1039" s="76"/>
      <c r="R1039" s="76"/>
      <c r="S1039" s="77"/>
    </row>
    <row r="1040" spans="1:25" ht="23.25" customHeight="1">
      <c r="E1040" s="116" t="s">
        <v>10</v>
      </c>
      <c r="F1040" s="116"/>
      <c r="G1040" s="116"/>
      <c r="H1040" s="116"/>
      <c r="I1040" s="116"/>
      <c r="J1040" s="115" t="str">
        <f>IF(ISNA(VLOOKUP(Y1042,Master!A$8:N$127,2,FALSE)),"",VLOOKUP(Y1042,Master!A$8:AH$127,2,FALSE))</f>
        <v/>
      </c>
      <c r="K1040" s="115"/>
      <c r="L1040" s="115"/>
      <c r="M1040" s="115"/>
      <c r="N1040" s="115"/>
      <c r="O1040" s="61" t="s">
        <v>31</v>
      </c>
      <c r="P1040" s="115" t="str">
        <f>IF(ISNA(VLOOKUP($Y$396,Master!A$8:N$127,3,FALSE)),"",VLOOKUP($Y$396,Master!A$8:AH$127,3,FALSE))</f>
        <v/>
      </c>
      <c r="Q1040" s="115"/>
      <c r="R1040" s="115"/>
      <c r="S1040" s="115"/>
    </row>
    <row r="1041" spans="1:27" ht="9" customHeight="1">
      <c r="E1041" s="19"/>
      <c r="F1041" s="53"/>
      <c r="G1041" s="22"/>
      <c r="H1041" s="22"/>
      <c r="I1041" s="22"/>
      <c r="J1041" s="5"/>
      <c r="K1041" s="5"/>
      <c r="L1041" s="5"/>
      <c r="M1041" s="5"/>
      <c r="N1041" s="5"/>
      <c r="O1041" s="6"/>
      <c r="P1041" s="6"/>
    </row>
    <row r="1042" spans="1:27" ht="21" customHeight="1">
      <c r="A1042" s="8">
        <v>1</v>
      </c>
      <c r="B1042" s="23">
        <v>44562</v>
      </c>
      <c r="C1042" s="9" t="str">
        <f>IF(ISNA(VLOOKUP(Y1042,Master!A$8:N$127,5,FALSE)),"",VLOOKUP(Y1042,Master!A$8:AH$127,5,FALSE))</f>
        <v/>
      </c>
      <c r="D1042" s="9" t="str">
        <f>IF(AND(C1042=""),"",IF(AND(Y1042=""),"",ROUND(C1042*Master!C$5%,0)))</f>
        <v/>
      </c>
      <c r="E1042" s="9" t="str">
        <f>IF(AND(C1042=""),"",IF(AND(Y1042=""),"",ROUND(C1042*Master!H$5%,0)))</f>
        <v/>
      </c>
      <c r="F1042" s="9" t="str">
        <f t="shared" ref="F1042:F1044" si="852">IF(AND(C1042=""),"",SUM(C1042:E1042))</f>
        <v/>
      </c>
      <c r="G1042" s="9" t="str">
        <f>IF(ISNA(VLOOKUP(Y1042,Master!A$8:N$127,5,FALSE)),"",VLOOKUP(Y1042,Master!A$8:AH$127,5,FALSE))</f>
        <v/>
      </c>
      <c r="H1042" s="9" t="str">
        <f>IF(AND(G1042=""),"",IF(AND(Y1042=""),"",ROUND(G1042*Master!C$4%,0)))</f>
        <v/>
      </c>
      <c r="I1042" s="9" t="str">
        <f>IF(AND(G1042=""),"",IF(AND(Y1042=""),"",ROUND(G1042*Master!H$4%,0)))</f>
        <v/>
      </c>
      <c r="J1042" s="9" t="str">
        <f t="shared" ref="J1042:J1044" si="853">IF(AND(C1042=""),"",SUM(G1042:I1042))</f>
        <v/>
      </c>
      <c r="K1042" s="9" t="str">
        <f t="shared" ref="K1042:K1044" si="854">IF(AND(C1042=""),"",IF(AND(G1042=""),"",C1042-G1042))</f>
        <v/>
      </c>
      <c r="L1042" s="9" t="str">
        <f t="shared" ref="L1042:L1044" si="855">IF(AND(D1042=""),"",IF(AND(H1042=""),"",D1042-H1042))</f>
        <v/>
      </c>
      <c r="M1042" s="9" t="str">
        <f t="shared" ref="M1042:M1044" si="856">IF(AND(E1042=""),"",IF(AND(I1042=""),"",E1042-I1042))</f>
        <v/>
      </c>
      <c r="N1042" s="9" t="str">
        <f t="shared" ref="N1042:N1044" si="857">IF(AND(F1042=""),"",IF(AND(J1042=""),"",F1042-J1042))</f>
        <v/>
      </c>
      <c r="O1042" s="9" t="str">
        <f>IF(AND(C1042=""),"",N1042-P1042)</f>
        <v/>
      </c>
      <c r="P1042" s="9" t="str">
        <f>IF(AND(Y1042=""),"",IF(AND(N1042=""),"",ROUND(N1042*AA$1%,0)))</f>
        <v/>
      </c>
      <c r="Q1042" s="9" t="str">
        <f>IF(AND(Y1042=""),"",IF(AND(C1042=""),"",IF(AND(O1042=""),"",SUM(O1042,P1042))))</f>
        <v/>
      </c>
      <c r="R1042" s="9" t="str">
        <f>IF(AND(N1042=""),"",IF(AND(Q1042=""),"",N1042-Q1042))</f>
        <v/>
      </c>
      <c r="S1042" s="20"/>
      <c r="X1042" s="62" t="s">
        <v>62</v>
      </c>
      <c r="Y1042" s="65">
        <v>93</v>
      </c>
    </row>
    <row r="1043" spans="1:27" ht="21" customHeight="1">
      <c r="A1043" s="8">
        <v>2</v>
      </c>
      <c r="B1043" s="23">
        <v>44593</v>
      </c>
      <c r="C1043" s="9" t="str">
        <f>IF(AND(Y1042=""),"",C1042)</f>
        <v/>
      </c>
      <c r="D1043" s="9" t="str">
        <f>IF(AND(C1043=""),"",IF(AND(Y1042=""),"",ROUND(C1043*Master!C$5%,0)))</f>
        <v/>
      </c>
      <c r="E1043" s="9" t="str">
        <f>IF(AND(C1043=""),"",IF(AND(Y1042=""),"",ROUND(C1043*Master!H$5%,0)))</f>
        <v/>
      </c>
      <c r="F1043" s="9" t="str">
        <f t="shared" si="852"/>
        <v/>
      </c>
      <c r="G1043" s="9" t="str">
        <f>IF(AND(Y1042=""),"",G1042)</f>
        <v/>
      </c>
      <c r="H1043" s="9" t="str">
        <f>IF(AND(G1043=""),"",IF(AND(Y1042=""),"",ROUND(G1043*Master!C$4%,0)))</f>
        <v/>
      </c>
      <c r="I1043" s="9" t="str">
        <f>IF(AND(G1043=""),"",IF(AND(Y1042=""),"",ROUND(G1043*Master!H$4%,0)))</f>
        <v/>
      </c>
      <c r="J1043" s="9" t="str">
        <f t="shared" si="853"/>
        <v/>
      </c>
      <c r="K1043" s="9" t="str">
        <f t="shared" si="854"/>
        <v/>
      </c>
      <c r="L1043" s="9" t="str">
        <f t="shared" si="855"/>
        <v/>
      </c>
      <c r="M1043" s="9" t="str">
        <f t="shared" si="856"/>
        <v/>
      </c>
      <c r="N1043" s="9" t="str">
        <f t="shared" si="857"/>
        <v/>
      </c>
      <c r="O1043" s="9" t="str">
        <f t="shared" ref="O1043:O1044" si="858">IF(AND(C1043=""),"",N1043-P1043)</f>
        <v/>
      </c>
      <c r="P1043" s="9" t="str">
        <f>IF(AND(Y1042=""),"",IF(AND(N1043=""),"",ROUND(N1043*AA$1%,0)))</f>
        <v/>
      </c>
      <c r="Q1043" s="9" t="str">
        <f>IF(AND(Y1042=""),"",IF(AND(C1043=""),"",IF(AND(O1043=""),"",SUM(O1043,P1043))))</f>
        <v/>
      </c>
      <c r="R1043" s="9" t="str">
        <f t="shared" ref="R1043:R1044" si="859">IF(AND(N1043=""),"",IF(AND(Q1043=""),"",N1043-Q1043))</f>
        <v/>
      </c>
      <c r="S1043" s="20"/>
      <c r="X1043" s="4" t="str">
        <f>IF(ISNA(VLOOKUP(Y1042,Master!A$8:N$127,7,FALSE)),"",VLOOKUP(Y1042,Master!A$8:AH$127,7,FALSE))</f>
        <v/>
      </c>
    </row>
    <row r="1044" spans="1:27" ht="21" customHeight="1">
      <c r="A1044" s="8">
        <v>3</v>
      </c>
      <c r="B1044" s="23">
        <v>44621</v>
      </c>
      <c r="C1044" s="9" t="str">
        <f>IF(AND(Y1042=""),"",C1043)</f>
        <v/>
      </c>
      <c r="D1044" s="9" t="str">
        <f>IF(AND(C1044=""),"",IF(AND(Y1042=""),"",ROUND(C1044*Master!C$5%,0)))</f>
        <v/>
      </c>
      <c r="E1044" s="9" t="str">
        <f>IF(AND(C1044=""),"",IF(AND(Y1042=""),"",ROUND(C1044*Master!H$5%,0)))</f>
        <v/>
      </c>
      <c r="F1044" s="9" t="str">
        <f t="shared" si="852"/>
        <v/>
      </c>
      <c r="G1044" s="9" t="str">
        <f>IF(AND(Y1042=""),"",G1043)</f>
        <v/>
      </c>
      <c r="H1044" s="9" t="str">
        <f>IF(AND(G1044=""),"",IF(AND(Y1042=""),"",ROUND(G1044*Master!C$4%,0)))</f>
        <v/>
      </c>
      <c r="I1044" s="9" t="str">
        <f>IF(AND(G1044=""),"",IF(AND(Y1042=""),"",ROUND(G1044*Master!H$4%,0)))</f>
        <v/>
      </c>
      <c r="J1044" s="9" t="str">
        <f t="shared" si="853"/>
        <v/>
      </c>
      <c r="K1044" s="9" t="str">
        <f t="shared" si="854"/>
        <v/>
      </c>
      <c r="L1044" s="9" t="str">
        <f t="shared" si="855"/>
        <v/>
      </c>
      <c r="M1044" s="9" t="str">
        <f t="shared" si="856"/>
        <v/>
      </c>
      <c r="N1044" s="9" t="str">
        <f t="shared" si="857"/>
        <v/>
      </c>
      <c r="O1044" s="9" t="str">
        <f t="shared" si="858"/>
        <v/>
      </c>
      <c r="P1044" s="9" t="str">
        <f>IF(AND(Y1042=""),"",IF(AND(N1044=""),"",ROUND(N1044*AA$1%,0)))</f>
        <v/>
      </c>
      <c r="Q1044" s="9" t="str">
        <f>IF(AND(Y1042=""),"",IF(AND(C1044=""),"",IF(AND(O1044=""),"",SUM(O1044,P1044))))</f>
        <v/>
      </c>
      <c r="R1044" s="9" t="str">
        <f t="shared" si="859"/>
        <v/>
      </c>
      <c r="S1044" s="20"/>
    </row>
    <row r="1045" spans="1:27" ht="30.75" customHeight="1">
      <c r="A1045" s="108" t="s">
        <v>9</v>
      </c>
      <c r="B1045" s="109"/>
      <c r="C1045" s="64">
        <f>IF(AND(Y1042=""),"",SUM(C1042:C1044))</f>
        <v>0</v>
      </c>
      <c r="D1045" s="64">
        <f>IF(AND(Y1042=""),"",SUM(D1042:D1044))</f>
        <v>0</v>
      </c>
      <c r="E1045" s="64">
        <f>IF(AND(Y1042=""),"",SUM(E1042:E1044))</f>
        <v>0</v>
      </c>
      <c r="F1045" s="64">
        <f>IF(AND(Y1042=""),"",SUM(F1042:F1044))</f>
        <v>0</v>
      </c>
      <c r="G1045" s="64">
        <f>IF(AND(Y1042=""),"",SUM(G1042:G1044))</f>
        <v>0</v>
      </c>
      <c r="H1045" s="64">
        <f>IF(AND(Y1042=""),"",SUM(H1042:H1044))</f>
        <v>0</v>
      </c>
      <c r="I1045" s="64">
        <f>IF(AND(Y1042=""),"",SUM(I1042:I1044))</f>
        <v>0</v>
      </c>
      <c r="J1045" s="64">
        <f>IF(AND(Y1042=""),"",SUM(J1042:J1044))</f>
        <v>0</v>
      </c>
      <c r="K1045" s="64">
        <f>IF(AND(Y1042=""),"",SUM(K1042:K1044))</f>
        <v>0</v>
      </c>
      <c r="L1045" s="64">
        <f>IF(AND(Y1042=""),"",SUM(L1042:L1044))</f>
        <v>0</v>
      </c>
      <c r="M1045" s="64">
        <f>IF(AND(Y1042=""),"",SUM(M1042:M1044))</f>
        <v>0</v>
      </c>
      <c r="N1045" s="64">
        <f>IF(AND(Y1042=""),"",SUM(N1042:N1044))</f>
        <v>0</v>
      </c>
      <c r="O1045" s="64">
        <f>IF(AND(Y1042=""),"",SUM(O1042:O1044))</f>
        <v>0</v>
      </c>
      <c r="P1045" s="64">
        <f>IF(AND(Y1042=""),"",SUM(P1042:P1044))</f>
        <v>0</v>
      </c>
      <c r="Q1045" s="64">
        <f>IF(AND(Y1042=""),"",SUM(Q1042:Q1044))</f>
        <v>0</v>
      </c>
      <c r="R1045" s="64">
        <f>IF(AND(Y1042=""),"",SUM(R1042:R1044))</f>
        <v>0</v>
      </c>
      <c r="S1045" s="50"/>
    </row>
    <row r="1046" spans="1:27" ht="30.75" customHeight="1">
      <c r="A1046" s="75"/>
      <c r="B1046" s="75"/>
      <c r="C1046" s="76"/>
      <c r="D1046" s="76"/>
      <c r="E1046" s="76"/>
      <c r="F1046" s="76"/>
      <c r="G1046" s="76"/>
      <c r="H1046" s="76"/>
      <c r="I1046" s="76"/>
      <c r="J1046" s="76"/>
      <c r="K1046" s="76"/>
      <c r="L1046" s="76"/>
      <c r="M1046" s="76"/>
      <c r="N1046" s="76"/>
      <c r="O1046" s="76"/>
      <c r="P1046" s="76"/>
      <c r="Q1046" s="76"/>
      <c r="R1046" s="76"/>
      <c r="S1046" s="77"/>
    </row>
    <row r="1047" spans="1:27" ht="18.75">
      <c r="A1047" s="21"/>
      <c r="B1047" s="59"/>
      <c r="C1047" s="59"/>
      <c r="D1047" s="59"/>
      <c r="E1047" s="59"/>
      <c r="F1047" s="59"/>
      <c r="G1047" s="59"/>
      <c r="H1047" s="60"/>
      <c r="I1047" s="60"/>
      <c r="J1047" s="60"/>
      <c r="K1047" s="68"/>
      <c r="L1047" s="68"/>
      <c r="M1047" s="68"/>
      <c r="N1047" s="68"/>
      <c r="O1047" s="107" t="s">
        <v>55</v>
      </c>
      <c r="P1047" s="107"/>
      <c r="Q1047" s="107"/>
      <c r="R1047" s="107"/>
      <c r="S1047" s="107"/>
    </row>
    <row r="1048" spans="1:27" ht="18.75">
      <c r="A1048" s="1"/>
      <c r="B1048" s="24" t="s">
        <v>19</v>
      </c>
      <c r="C1048" s="118"/>
      <c r="D1048" s="118"/>
      <c r="E1048" s="118"/>
      <c r="F1048" s="118"/>
      <c r="G1048" s="118"/>
      <c r="H1048" s="25"/>
      <c r="I1048" s="121" t="s">
        <v>20</v>
      </c>
      <c r="J1048" s="121"/>
      <c r="K1048" s="120"/>
      <c r="L1048" s="120"/>
      <c r="M1048" s="120"/>
      <c r="O1048" s="107"/>
      <c r="P1048" s="107"/>
      <c r="Q1048" s="107"/>
      <c r="R1048" s="107"/>
      <c r="S1048" s="107"/>
    </row>
    <row r="1049" spans="1:27" ht="18.75">
      <c r="A1049" s="1"/>
      <c r="B1049" s="119" t="s">
        <v>21</v>
      </c>
      <c r="C1049" s="119"/>
      <c r="D1049" s="119"/>
      <c r="E1049" s="119"/>
      <c r="F1049" s="119"/>
      <c r="G1049" s="119"/>
      <c r="H1049" s="119"/>
      <c r="I1049" s="27"/>
      <c r="J1049" s="26"/>
      <c r="K1049" s="26"/>
      <c r="L1049" s="26"/>
      <c r="M1049" s="26"/>
    </row>
    <row r="1050" spans="1:27" ht="18.75">
      <c r="A1050" s="22">
        <v>1</v>
      </c>
      <c r="B1050" s="117" t="s">
        <v>22</v>
      </c>
      <c r="C1050" s="117"/>
      <c r="D1050" s="117"/>
      <c r="E1050" s="117"/>
      <c r="F1050" s="117"/>
      <c r="G1050" s="117"/>
      <c r="H1050" s="117"/>
      <c r="I1050" s="28"/>
      <c r="J1050" s="26"/>
      <c r="K1050" s="26"/>
      <c r="L1050" s="26"/>
      <c r="M1050" s="26"/>
    </row>
    <row r="1051" spans="1:27" ht="18.75">
      <c r="A1051" s="2">
        <v>2</v>
      </c>
      <c r="B1051" s="117" t="s">
        <v>23</v>
      </c>
      <c r="C1051" s="117"/>
      <c r="D1051" s="117"/>
      <c r="E1051" s="117"/>
      <c r="F1051" s="117"/>
      <c r="G1051" s="115"/>
      <c r="H1051" s="115"/>
      <c r="I1051" s="115"/>
      <c r="J1051" s="115"/>
      <c r="K1051" s="115"/>
      <c r="L1051" s="115"/>
      <c r="M1051" s="115"/>
    </row>
    <row r="1052" spans="1:27" ht="18.75">
      <c r="A1052" s="3">
        <v>3</v>
      </c>
      <c r="B1052" s="117" t="s">
        <v>24</v>
      </c>
      <c r="C1052" s="117"/>
      <c r="D1052" s="117"/>
      <c r="E1052" s="29"/>
      <c r="F1052" s="28"/>
      <c r="G1052" s="28"/>
      <c r="H1052" s="30"/>
      <c r="I1052" s="31"/>
      <c r="J1052" s="26"/>
      <c r="K1052" s="26"/>
      <c r="L1052" s="26"/>
      <c r="M1052" s="26"/>
    </row>
    <row r="1053" spans="1:27" ht="15.75">
      <c r="O1053" s="107" t="s">
        <v>55</v>
      </c>
      <c r="P1053" s="107"/>
      <c r="Q1053" s="107"/>
      <c r="R1053" s="107"/>
      <c r="S1053" s="107"/>
    </row>
    <row r="1055" spans="1:27" ht="18" customHeight="1">
      <c r="A1055" s="122" t="str">
        <f>A1021</f>
        <v xml:space="preserve">DA (38%) Drawn Statement  </v>
      </c>
      <c r="B1055" s="122"/>
      <c r="C1055" s="122"/>
      <c r="D1055" s="122"/>
      <c r="E1055" s="122"/>
      <c r="F1055" s="122"/>
      <c r="G1055" s="122"/>
      <c r="H1055" s="122"/>
      <c r="I1055" s="122"/>
      <c r="J1055" s="122"/>
      <c r="K1055" s="122"/>
      <c r="L1055" s="122"/>
      <c r="M1055" s="122"/>
      <c r="N1055" s="122"/>
      <c r="O1055" s="122"/>
      <c r="P1055" s="122"/>
      <c r="Q1055" s="122"/>
      <c r="R1055" s="122"/>
      <c r="S1055" s="122"/>
      <c r="W1055" s="4">
        <f>IF(ISNA(VLOOKUP($Y$3,Master!A$8:N$127,4,FALSE)),"",VLOOKUP($Y$3,Master!A$8:AH$127,4,FALSE))</f>
        <v>3</v>
      </c>
      <c r="X1055" s="4" t="str">
        <f>IF(ISNA(VLOOKUP($Y$3,Master!A$8:N$127,6,FALSE)),"",VLOOKUP($Y$3,Master!A$8:AH$127,6,FALSE))</f>
        <v>GPF</v>
      </c>
      <c r="Y1055" s="4" t="s">
        <v>58</v>
      </c>
      <c r="Z1055" s="4" t="s">
        <v>18</v>
      </c>
      <c r="AA1055" s="4" t="str">
        <f>IF(ISNA(VLOOKUP(Y1057,Master!A$8:N$127,7,FALSE)),"",VLOOKUP(Y1057,Master!A$8:AH$127,7,FALSE))</f>
        <v/>
      </c>
    </row>
    <row r="1056" spans="1:27" ht="18">
      <c r="A1056" s="114" t="str">
        <f>IF(AND(Master!C1057=""),"",CONCATENATE("Office Of  ",Master!C1057))</f>
        <v/>
      </c>
      <c r="B1056" s="114"/>
      <c r="C1056" s="114"/>
      <c r="D1056" s="114"/>
      <c r="E1056" s="114"/>
      <c r="F1056" s="114"/>
      <c r="G1056" s="114"/>
      <c r="H1056" s="114"/>
      <c r="I1056" s="114"/>
      <c r="J1056" s="114"/>
      <c r="K1056" s="114"/>
      <c r="L1056" s="114"/>
      <c r="M1056" s="114"/>
      <c r="N1056" s="114"/>
      <c r="O1056" s="114"/>
      <c r="P1056" s="114"/>
      <c r="Q1056" s="114"/>
      <c r="R1056" s="114"/>
      <c r="S1056" s="114"/>
      <c r="X1056" s="4">
        <f>IF(ISNA(VLOOKUP($Y$3,Master!A$8:N$127,8,FALSE)),"",VLOOKUP($Y$3,Master!A$8:AH$127,8,FALSE))</f>
        <v>44743</v>
      </c>
      <c r="Y1056" s="4" t="s">
        <v>56</v>
      </c>
    </row>
    <row r="1057" spans="1:25" ht="18.75">
      <c r="E1057" s="116" t="s">
        <v>10</v>
      </c>
      <c r="F1057" s="116"/>
      <c r="G1057" s="116"/>
      <c r="H1057" s="116"/>
      <c r="I1057" s="116"/>
      <c r="J1057" s="115" t="str">
        <f>IF(ISNA(VLOOKUP(Y1057,Master!A$8:N$127,2,FALSE)),"",VLOOKUP(Y1057,Master!A$8:AH$127,2,FALSE))</f>
        <v/>
      </c>
      <c r="K1057" s="115"/>
      <c r="L1057" s="115"/>
      <c r="M1057" s="115"/>
      <c r="N1057" s="115"/>
      <c r="O1057" s="61" t="s">
        <v>31</v>
      </c>
      <c r="P1057" s="115" t="str">
        <f>IF(ISNA(VLOOKUP(Y1057,Master!A$8:N$127,3,FALSE)),"",VLOOKUP(Y1057,Master!A$8:AH$127,3,FALSE))</f>
        <v/>
      </c>
      <c r="Q1057" s="115"/>
      <c r="R1057" s="115"/>
      <c r="S1057" s="115"/>
      <c r="X1057" s="62" t="s">
        <v>62</v>
      </c>
      <c r="Y1057" s="65">
        <v>94</v>
      </c>
    </row>
    <row r="1058" spans="1:25" ht="8.25" customHeight="1">
      <c r="E1058" s="19"/>
      <c r="F1058" s="53"/>
      <c r="G1058" s="22"/>
      <c r="H1058" s="22"/>
      <c r="I1058" s="22"/>
      <c r="J1058" s="5"/>
      <c r="K1058" s="5"/>
      <c r="L1058" s="5"/>
      <c r="M1058" s="5"/>
      <c r="N1058" s="5"/>
      <c r="O1058" s="6"/>
      <c r="P1058" s="6"/>
    </row>
    <row r="1059" spans="1:25" ht="24.75" customHeight="1">
      <c r="A1059" s="110" t="s">
        <v>0</v>
      </c>
      <c r="B1059" s="111" t="s">
        <v>3</v>
      </c>
      <c r="C1059" s="112" t="s">
        <v>5</v>
      </c>
      <c r="D1059" s="112"/>
      <c r="E1059" s="112"/>
      <c r="F1059" s="112"/>
      <c r="G1059" s="112" t="s">
        <v>6</v>
      </c>
      <c r="H1059" s="112"/>
      <c r="I1059" s="112"/>
      <c r="J1059" s="112"/>
      <c r="K1059" s="112" t="s">
        <v>7</v>
      </c>
      <c r="L1059" s="112"/>
      <c r="M1059" s="112"/>
      <c r="N1059" s="112"/>
      <c r="O1059" s="97" t="s">
        <v>8</v>
      </c>
      <c r="P1059" s="98"/>
      <c r="Q1059" s="99"/>
      <c r="R1059" s="105" t="s">
        <v>67</v>
      </c>
      <c r="S1059" s="105" t="s">
        <v>50</v>
      </c>
    </row>
    <row r="1060" spans="1:25" ht="69" customHeight="1">
      <c r="A1060" s="110"/>
      <c r="B1060" s="111"/>
      <c r="C1060" s="55" t="s">
        <v>29</v>
      </c>
      <c r="D1060" s="56" t="s">
        <v>1</v>
      </c>
      <c r="E1060" s="57" t="s">
        <v>2</v>
      </c>
      <c r="F1060" s="55" t="s">
        <v>59</v>
      </c>
      <c r="G1060" s="55" t="s">
        <v>29</v>
      </c>
      <c r="H1060" s="56" t="s">
        <v>1</v>
      </c>
      <c r="I1060" s="57" t="s">
        <v>2</v>
      </c>
      <c r="J1060" s="55" t="s">
        <v>60</v>
      </c>
      <c r="K1060" s="55" t="s">
        <v>4</v>
      </c>
      <c r="L1060" s="56" t="s">
        <v>1</v>
      </c>
      <c r="M1060" s="57" t="s">
        <v>2</v>
      </c>
      <c r="N1060" s="58" t="s">
        <v>61</v>
      </c>
      <c r="O1060" s="54" t="s">
        <v>83</v>
      </c>
      <c r="P1060" s="67" t="s">
        <v>51</v>
      </c>
      <c r="Q1060" s="58" t="s">
        <v>66</v>
      </c>
      <c r="R1060" s="105"/>
      <c r="S1060" s="105"/>
    </row>
    <row r="1061" spans="1:25" ht="18" customHeight="1">
      <c r="A1061" s="7">
        <v>1</v>
      </c>
      <c r="B1061" s="7">
        <v>2</v>
      </c>
      <c r="C1061" s="7">
        <v>3</v>
      </c>
      <c r="D1061" s="7">
        <v>4</v>
      </c>
      <c r="E1061" s="7">
        <v>5</v>
      </c>
      <c r="F1061" s="7">
        <v>6</v>
      </c>
      <c r="G1061" s="7">
        <v>7</v>
      </c>
      <c r="H1061" s="7">
        <v>8</v>
      </c>
      <c r="I1061" s="7">
        <v>9</v>
      </c>
      <c r="J1061" s="7">
        <v>10</v>
      </c>
      <c r="K1061" s="7">
        <v>11</v>
      </c>
      <c r="L1061" s="7">
        <v>12</v>
      </c>
      <c r="M1061" s="7">
        <v>13</v>
      </c>
      <c r="N1061" s="7">
        <v>14</v>
      </c>
      <c r="O1061" s="7">
        <v>15</v>
      </c>
      <c r="P1061" s="7">
        <v>17</v>
      </c>
      <c r="Q1061" s="7">
        <v>18</v>
      </c>
      <c r="R1061" s="7">
        <v>19</v>
      </c>
      <c r="S1061" s="7">
        <v>20</v>
      </c>
    </row>
    <row r="1062" spans="1:25" ht="21" customHeight="1">
      <c r="A1062" s="8">
        <v>1</v>
      </c>
      <c r="B1062" s="23">
        <v>44562</v>
      </c>
      <c r="C1062" s="9" t="str">
        <f>IF(ISNA(VLOOKUP(Y1057,Master!A$8:N$127,5,FALSE)),"",VLOOKUP(Y1057,Master!A$8:AH$127,5,FALSE))</f>
        <v/>
      </c>
      <c r="D1062" s="9" t="str">
        <f>IF(AND(C1062=""),"",IF(AND(Y1057=""),"",ROUND(C1062*Master!C$5%,0)))</f>
        <v/>
      </c>
      <c r="E1062" s="9" t="str">
        <f>IF(AND(C1062=""),"",IF(AND(Y1057=""),"",ROUND(C1062*Master!H$5%,0)))</f>
        <v/>
      </c>
      <c r="F1062" s="9" t="str">
        <f t="shared" ref="F1062" si="860">IF(AND(C1062=""),"",SUM(C1062:E1062))</f>
        <v/>
      </c>
      <c r="G1062" s="9" t="str">
        <f>IF(ISNA(VLOOKUP(Y1057,Master!A$8:N$127,5,FALSE)),"",VLOOKUP(Y1057,Master!A$8:AH$127,5,FALSE))</f>
        <v/>
      </c>
      <c r="H1062" s="9" t="str">
        <f>IF(AND(G1062=""),"",IF(AND(Y1057=""),"",ROUND(G1062*Master!C$4%,0)))</f>
        <v/>
      </c>
      <c r="I1062" s="9" t="str">
        <f>IF(AND(G1062=""),"",IF(AND(Y1057=""),"",ROUND(G1062*Master!H$4%,0)))</f>
        <v/>
      </c>
      <c r="J1062" s="9" t="str">
        <f t="shared" ref="J1062:J1063" si="861">IF(AND(C1062=""),"",SUM(G1062:I1062))</f>
        <v/>
      </c>
      <c r="K1062" s="9" t="str">
        <f t="shared" ref="K1062:K1064" si="862">IF(AND(C1062=""),"",IF(AND(G1062=""),"",C1062-G1062))</f>
        <v/>
      </c>
      <c r="L1062" s="9" t="str">
        <f t="shared" ref="L1062:L1064" si="863">IF(AND(D1062=""),"",IF(AND(H1062=""),"",D1062-H1062))</f>
        <v/>
      </c>
      <c r="M1062" s="9" t="str">
        <f t="shared" ref="M1062:M1063" si="864">IF(AND(E1062=""),"",IF(AND(I1062=""),"",E1062-I1062))</f>
        <v/>
      </c>
      <c r="N1062" s="9" t="str">
        <f t="shared" ref="N1062:N1063" si="865">IF(AND(F1062=""),"",IF(AND(J1062=""),"",F1062-J1062))</f>
        <v/>
      </c>
      <c r="O1062" s="9" t="str">
        <f>IF(AND(C1062=""),"",N1062-P1062)</f>
        <v/>
      </c>
      <c r="P1062" s="9" t="str">
        <f>IF(AND(Y1057=""),"",IF(AND(N1062=""),"",ROUND(N1062*AA$1%,0)))</f>
        <v/>
      </c>
      <c r="Q1062" s="9" t="str">
        <f>IF(AND(Y1057=""),"",IF(AND(C1062=""),"",IF(AND(O1062=""),"",SUM(O1062,P1062))))</f>
        <v/>
      </c>
      <c r="R1062" s="9" t="str">
        <f>IF(AND(N1062=""),"",IF(AND(Q1062=""),"",N1062-Q1062))</f>
        <v/>
      </c>
      <c r="S1062" s="20"/>
    </row>
    <row r="1063" spans="1:25" ht="21" customHeight="1">
      <c r="A1063" s="8">
        <v>2</v>
      </c>
      <c r="B1063" s="23">
        <v>44593</v>
      </c>
      <c r="C1063" s="9" t="str">
        <f>IF(AND(Y1057=""),"",C1062)</f>
        <v/>
      </c>
      <c r="D1063" s="9" t="str">
        <f>IF(AND(C1063=""),"",IF(AND(Y1057=""),"",ROUND(C1063*Master!C$5%,0)))</f>
        <v/>
      </c>
      <c r="E1063" s="9" t="str">
        <f>IF(AND(C1063=""),"",IF(AND(Y1057=""),"",ROUND(C1063*Master!H$5%,0)))</f>
        <v/>
      </c>
      <c r="F1063" s="9" t="str">
        <f>IF(AND(C1063=""),"",SUM(C1063:E1063))</f>
        <v/>
      </c>
      <c r="G1063" s="9" t="str">
        <f>IF(AND(Y1057=""),"",G1062)</f>
        <v/>
      </c>
      <c r="H1063" s="9" t="str">
        <f>IF(AND(G1063=""),"",IF(AND(Y1057=""),"",ROUND(G1063*Master!C$4%,0)))</f>
        <v/>
      </c>
      <c r="I1063" s="9" t="str">
        <f>IF(AND(G1063=""),"",IF(AND(Y1057=""),"",ROUND(G1063*Master!H$4%,0)))</f>
        <v/>
      </c>
      <c r="J1063" s="9" t="str">
        <f t="shared" si="861"/>
        <v/>
      </c>
      <c r="K1063" s="9" t="str">
        <f t="shared" si="862"/>
        <v/>
      </c>
      <c r="L1063" s="9" t="str">
        <f t="shared" si="863"/>
        <v/>
      </c>
      <c r="M1063" s="9" t="str">
        <f t="shared" si="864"/>
        <v/>
      </c>
      <c r="N1063" s="9" t="str">
        <f t="shared" si="865"/>
        <v/>
      </c>
      <c r="O1063" s="9" t="str">
        <f t="shared" ref="O1063:O1064" si="866">IF(AND(C1063=""),"",N1063-P1063)</f>
        <v/>
      </c>
      <c r="P1063" s="9" t="str">
        <f>IF(AND(Y1057=""),"",IF(AND(N1063=""),"",ROUND(N1063*AA$1%,0)))</f>
        <v/>
      </c>
      <c r="Q1063" s="9" t="str">
        <f>IF(AND(Y1057=""),"",IF(AND(C1063=""),"",IF(AND(O1063=""),"",SUM(O1063,P1063))))</f>
        <v/>
      </c>
      <c r="R1063" s="9" t="str">
        <f t="shared" ref="R1063:R1064" si="867">IF(AND(N1063=""),"",IF(AND(Q1063=""),"",N1063-Q1063))</f>
        <v/>
      </c>
      <c r="S1063" s="20"/>
    </row>
    <row r="1064" spans="1:25" ht="21" customHeight="1">
      <c r="A1064" s="8">
        <v>3</v>
      </c>
      <c r="B1064" s="23">
        <v>44621</v>
      </c>
      <c r="C1064" s="9" t="str">
        <f>IF(AND(Y1057=""),"",C1063)</f>
        <v/>
      </c>
      <c r="D1064" s="9" t="str">
        <f>IF(AND(C1064=""),"",IF(AND(Y1057=""),"",ROUND(C1064*Master!C$5%,0)))</f>
        <v/>
      </c>
      <c r="E1064" s="9" t="str">
        <f>IF(AND(C1064=""),"",IF(AND(Y1057=""),"",ROUND(C1064*Master!H$5%,0)))</f>
        <v/>
      </c>
      <c r="F1064" s="9" t="str">
        <f t="shared" ref="F1064" si="868">IF(AND(C1064=""),"",SUM(C1064:E1064))</f>
        <v/>
      </c>
      <c r="G1064" s="9" t="str">
        <f>IF(AND(Y1057=""),"",G1063)</f>
        <v/>
      </c>
      <c r="H1064" s="9" t="str">
        <f>IF(AND(G1064=""),"",IF(AND(Y1057=""),"",ROUND(G1064*Master!C$4%,0)))</f>
        <v/>
      </c>
      <c r="I1064" s="9" t="str">
        <f>IF(AND(G1064=""),"",IF(AND(Y1057=""),"",ROUND(G1064*Master!H$4%,0)))</f>
        <v/>
      </c>
      <c r="J1064" s="9" t="str">
        <f>IF(AND(C1064=""),"",SUM(G1064:I1064))</f>
        <v/>
      </c>
      <c r="K1064" s="9" t="str">
        <f t="shared" si="862"/>
        <v/>
      </c>
      <c r="L1064" s="9" t="str">
        <f t="shared" si="863"/>
        <v/>
      </c>
      <c r="M1064" s="9" t="str">
        <f>IF(AND(E1064=""),"",IF(AND(I1064=""),"",E1064-I1064))</f>
        <v/>
      </c>
      <c r="N1064" s="9" t="str">
        <f>IF(AND(F1064=""),"",IF(AND(J1064=""),"",F1064-J1064))</f>
        <v/>
      </c>
      <c r="O1064" s="9" t="str">
        <f t="shared" si="866"/>
        <v/>
      </c>
      <c r="P1064" s="9" t="str">
        <f>IF(AND(Y1057=""),"",IF(AND(N1064=""),"",ROUND(N1064*AA$1%,0)))</f>
        <v/>
      </c>
      <c r="Q1064" s="9" t="str">
        <f>IF(AND(Y1057=""),"",IF(AND(C1064=""),"",IF(AND(O1064=""),"",SUM(O1064,P1064))))</f>
        <v/>
      </c>
      <c r="R1064" s="9" t="str">
        <f t="shared" si="867"/>
        <v/>
      </c>
      <c r="S1064" s="20"/>
    </row>
    <row r="1065" spans="1:25" ht="23.25" customHeight="1">
      <c r="A1065" s="108" t="s">
        <v>9</v>
      </c>
      <c r="B1065" s="109"/>
      <c r="C1065" s="64">
        <f>IF(AND(Y1057=""),"",SUM(C1062:C1064))</f>
        <v>0</v>
      </c>
      <c r="D1065" s="64">
        <f>IF(AND(Y1057=""),"",SUM(D1062:D1064))</f>
        <v>0</v>
      </c>
      <c r="E1065" s="64">
        <f>IF(AND(Y1057=""),"",SUM(E1062:E1064))</f>
        <v>0</v>
      </c>
      <c r="F1065" s="64">
        <f>IF(AND(Y1057=""),"",SUM(F1062:F1064))</f>
        <v>0</v>
      </c>
      <c r="G1065" s="64">
        <f>IF(AND(Y1057=""),"",SUM(G1062:G1064))</f>
        <v>0</v>
      </c>
      <c r="H1065" s="64">
        <f>IF(AND(Y1057=""),"",SUM(H1062:H1064))</f>
        <v>0</v>
      </c>
      <c r="I1065" s="64">
        <f>IF(AND(Y1057=""),"",SUM(I1062:I1064))</f>
        <v>0</v>
      </c>
      <c r="J1065" s="64">
        <f>IF(AND(Y1057=""),"",SUM(J1062:J1064))</f>
        <v>0</v>
      </c>
      <c r="K1065" s="64">
        <f>IF(AND(Y1057=""),"",SUM(K1062:K1064))</f>
        <v>0</v>
      </c>
      <c r="L1065" s="64">
        <f>IF(AND(Y1057=""),"",SUM(L1062:L1064))</f>
        <v>0</v>
      </c>
      <c r="M1065" s="64">
        <f>IF(AND(Y1057=""),"",SUM(M1062:M1064))</f>
        <v>0</v>
      </c>
      <c r="N1065" s="64">
        <f>IF(AND(Y1057=""),"",SUM(N1062:N1064))</f>
        <v>0</v>
      </c>
      <c r="O1065" s="64">
        <f>IF(AND(Y1057=""),"",SUM(O1062:O1064))</f>
        <v>0</v>
      </c>
      <c r="P1065" s="64">
        <f>IF(AND(Y1057=""),"",SUM(P1062:P1064))</f>
        <v>0</v>
      </c>
      <c r="Q1065" s="64">
        <f>IF(AND(Y1057=""),"",SUM(Q1062:Q1064))</f>
        <v>0</v>
      </c>
      <c r="R1065" s="64">
        <f>IF(AND(Y1057=""),"",SUM(R1062:R1064))</f>
        <v>0</v>
      </c>
      <c r="S1065" s="50"/>
    </row>
    <row r="1066" spans="1:25" ht="10.5" customHeight="1">
      <c r="A1066" s="75"/>
      <c r="B1066" s="75"/>
      <c r="C1066" s="76"/>
      <c r="D1066" s="76"/>
      <c r="E1066" s="76"/>
      <c r="F1066" s="76"/>
      <c r="G1066" s="76"/>
      <c r="H1066" s="76"/>
      <c r="I1066" s="76"/>
      <c r="J1066" s="76"/>
      <c r="K1066" s="76"/>
      <c r="L1066" s="76"/>
      <c r="M1066" s="76"/>
      <c r="N1066" s="76"/>
      <c r="O1066" s="76"/>
      <c r="P1066" s="76"/>
      <c r="Q1066" s="76"/>
      <c r="R1066" s="76"/>
      <c r="S1066" s="77"/>
    </row>
    <row r="1067" spans="1:25" ht="23.25" customHeight="1">
      <c r="E1067" s="116" t="s">
        <v>10</v>
      </c>
      <c r="F1067" s="116"/>
      <c r="G1067" s="116"/>
      <c r="H1067" s="116"/>
      <c r="I1067" s="116"/>
      <c r="J1067" s="115" t="str">
        <f>IF(ISNA(VLOOKUP(Y1069,Master!A$8:N$127,2,FALSE)),"",VLOOKUP(Y1069,Master!A$8:AH$127,2,FALSE))</f>
        <v/>
      </c>
      <c r="K1067" s="115"/>
      <c r="L1067" s="115"/>
      <c r="M1067" s="115"/>
      <c r="N1067" s="115"/>
      <c r="O1067" s="61" t="s">
        <v>31</v>
      </c>
      <c r="P1067" s="115" t="str">
        <f>IF(ISNA(VLOOKUP(Y1069,Master!A$8:N$127,3,FALSE)),"",VLOOKUP(Y1069,Master!A$8:AH$127,3,FALSE))</f>
        <v/>
      </c>
      <c r="Q1067" s="115"/>
      <c r="R1067" s="115"/>
      <c r="S1067" s="115"/>
    </row>
    <row r="1068" spans="1:25" ht="9" customHeight="1">
      <c r="E1068" s="19"/>
      <c r="F1068" s="53"/>
      <c r="G1068" s="22"/>
      <c r="H1068" s="22"/>
      <c r="I1068" s="22"/>
      <c r="J1068" s="5"/>
      <c r="K1068" s="5"/>
      <c r="L1068" s="5"/>
      <c r="M1068" s="5"/>
      <c r="N1068" s="5"/>
      <c r="O1068" s="6"/>
      <c r="P1068" s="6"/>
    </row>
    <row r="1069" spans="1:25" ht="21" customHeight="1">
      <c r="A1069" s="8">
        <v>1</v>
      </c>
      <c r="B1069" s="23">
        <v>44562</v>
      </c>
      <c r="C1069" s="9" t="str">
        <f>IF(ISNA(VLOOKUP(Y1069,Master!A$8:N$127,5,FALSE)),"",VLOOKUP(Y1069,Master!A$8:AH$127,5,FALSE))</f>
        <v/>
      </c>
      <c r="D1069" s="9" t="str">
        <f>IF(AND(C1069=""),"",IF(AND(Y1069=""),"",ROUND(C1069*Master!C$5%,0)))</f>
        <v/>
      </c>
      <c r="E1069" s="9" t="str">
        <f>IF(AND(C1069=""),"",IF(AND(Y1069=""),"",ROUND(C1069*Master!H$5%,0)))</f>
        <v/>
      </c>
      <c r="F1069" s="9" t="str">
        <f t="shared" ref="F1069:F1070" si="869">IF(AND(C1069=""),"",SUM(C1069:E1069))</f>
        <v/>
      </c>
      <c r="G1069" s="9" t="str">
        <f>IF(ISNA(VLOOKUP(Y1069,Master!A$8:N$127,5,FALSE)),"",VLOOKUP(Y1069,Master!A$8:AH$127,5,FALSE))</f>
        <v/>
      </c>
      <c r="H1069" s="9" t="str">
        <f>IF(AND(G1069=""),"",IF(AND(Y1069=""),"",ROUND(G1069*Master!C$4%,0)))</f>
        <v/>
      </c>
      <c r="I1069" s="9" t="str">
        <f>IF(AND(G1069=""),"",IF(AND(Y1069=""),"",ROUND(G1069*Master!H$4%,0)))</f>
        <v/>
      </c>
      <c r="J1069" s="9" t="str">
        <f t="shared" ref="J1069:J1071" si="870">IF(AND(C1069=""),"",SUM(G1069:I1069))</f>
        <v/>
      </c>
      <c r="K1069" s="9" t="str">
        <f t="shared" ref="K1069" si="871">IF(AND(C1069=""),"",IF(AND(G1069=""),"",C1069-G1069))</f>
        <v/>
      </c>
      <c r="L1069" s="9" t="str">
        <f>IF(AND(D1069=""),"",IF(AND(H1069=""),"",D1069-H1069))</f>
        <v/>
      </c>
      <c r="M1069" s="9" t="str">
        <f t="shared" ref="M1069:M1071" si="872">IF(AND(E1069=""),"",IF(AND(I1069=""),"",E1069-I1069))</f>
        <v/>
      </c>
      <c r="N1069" s="9" t="str">
        <f t="shared" ref="N1069" si="873">IF(AND(F1069=""),"",IF(AND(J1069=""),"",F1069-J1069))</f>
        <v/>
      </c>
      <c r="O1069" s="9" t="str">
        <f>IF(AND(C1069=""),"",N1069-P1069)</f>
        <v/>
      </c>
      <c r="P1069" s="9" t="str">
        <f>IF(AND(Y1069=""),"",IF(AND(N1069=""),"",ROUND(N1069*X$16%,0)))</f>
        <v/>
      </c>
      <c r="Q1069" s="9" t="str">
        <f>IF(AND(Y1069=""),"",IF(AND(C1069=""),"",IF(AND(O1069=""),"",SUM(O1069,P1069))))</f>
        <v/>
      </c>
      <c r="R1069" s="9" t="str">
        <f>IF(AND(N1069=""),"",IF(AND(Q1069=""),"",N1069-Q1069))</f>
        <v/>
      </c>
      <c r="S1069" s="20"/>
      <c r="X1069" s="62" t="s">
        <v>62</v>
      </c>
      <c r="Y1069" s="65">
        <v>95</v>
      </c>
    </row>
    <row r="1070" spans="1:25" ht="21" customHeight="1">
      <c r="A1070" s="8">
        <v>2</v>
      </c>
      <c r="B1070" s="23">
        <v>44593</v>
      </c>
      <c r="C1070" s="9" t="str">
        <f>IF(AND(Y1069=""),"",C1069)</f>
        <v/>
      </c>
      <c r="D1070" s="9" t="str">
        <f>IF(AND(C1070=""),"",IF(AND(Y1069=""),"",ROUND(C1070*Master!C$5%,0)))</f>
        <v/>
      </c>
      <c r="E1070" s="9" t="str">
        <f>IF(AND(C1070=""),"",IF(AND(Y1069=""),"",ROUND(C1070*Master!H$5%,0)))</f>
        <v/>
      </c>
      <c r="F1070" s="9" t="str">
        <f t="shared" si="869"/>
        <v/>
      </c>
      <c r="G1070" s="9" t="str">
        <f>IF(AND(Y1069=""),"",G1069)</f>
        <v/>
      </c>
      <c r="H1070" s="9" t="str">
        <f>IF(AND(G1070=""),"",IF(AND(Y1069=""),"",ROUND(G1070*Master!C$4%,0)))</f>
        <v/>
      </c>
      <c r="I1070" s="9" t="str">
        <f>IF(AND(G1070=""),"",IF(AND(Y1069=""),"",ROUND(G1070*Master!H$4%,0)))</f>
        <v/>
      </c>
      <c r="J1070" s="9" t="str">
        <f t="shared" si="870"/>
        <v/>
      </c>
      <c r="K1070" s="9" t="str">
        <f>IF(AND(C1070=""),"",IF(AND(G1070=""),"",C1070-G1070))</f>
        <v/>
      </c>
      <c r="L1070" s="9" t="str">
        <f t="shared" ref="L1070:L1071" si="874">IF(AND(D1070=""),"",IF(AND(H1070=""),"",D1070-H1070))</f>
        <v/>
      </c>
      <c r="M1070" s="9" t="str">
        <f t="shared" si="872"/>
        <v/>
      </c>
      <c r="N1070" s="9" t="str">
        <f>IF(AND(F1070=""),"",IF(AND(J1070=""),"",F1070-J1070))</f>
        <v/>
      </c>
      <c r="O1070" s="9" t="str">
        <f t="shared" ref="O1070:O1071" si="875">IF(AND(C1070=""),"",N1070-P1070)</f>
        <v/>
      </c>
      <c r="P1070" s="9" t="str">
        <f>IF(AND(Y1069=""),"",IF(AND(N1070=""),"",ROUND(N1070*X$16%,0)))</f>
        <v/>
      </c>
      <c r="Q1070" s="9" t="str">
        <f>IF(AND(Y1069=""),"",IF(AND(C1070=""),"",IF(AND(O1070=""),"",SUM(O1070,P1070))))</f>
        <v/>
      </c>
      <c r="R1070" s="9" t="str">
        <f t="shared" ref="R1070:R1071" si="876">IF(AND(N1070=""),"",IF(AND(Q1070=""),"",N1070-Q1070))</f>
        <v/>
      </c>
      <c r="S1070" s="20"/>
      <c r="X1070" s="4" t="str">
        <f>IF(ISNA(VLOOKUP(Y1069,Master!A$8:N$127,7,FALSE)),"",VLOOKUP(Y1069,Master!A$8:AH$127,7,FALSE))</f>
        <v/>
      </c>
    </row>
    <row r="1071" spans="1:25" ht="21" customHeight="1">
      <c r="A1071" s="8">
        <v>3</v>
      </c>
      <c r="B1071" s="23">
        <v>44621</v>
      </c>
      <c r="C1071" s="9" t="str">
        <f>IF(AND(Y1069=""),"",C1070)</f>
        <v/>
      </c>
      <c r="D1071" s="9" t="str">
        <f>IF(AND(C1071=""),"",IF(AND(Y1069=""),"",ROUND(C1071*Master!C$5%,0)))</f>
        <v/>
      </c>
      <c r="E1071" s="9" t="str">
        <f>IF(AND(C1071=""),"",IF(AND(Y1069=""),"",ROUND(C1071*Master!H$5%,0)))</f>
        <v/>
      </c>
      <c r="F1071" s="9" t="str">
        <f>IF(AND(C1071=""),"",SUM(C1071:E1071))</f>
        <v/>
      </c>
      <c r="G1071" s="9" t="str">
        <f>IF(AND(Y1069=""),"",G1070)</f>
        <v/>
      </c>
      <c r="H1071" s="9" t="str">
        <f>IF(AND(G1071=""),"",IF(AND(Y1069=""),"",ROUND(G1071*Master!C$4%,0)))</f>
        <v/>
      </c>
      <c r="I1071" s="9" t="str">
        <f>IF(AND(G1071=""),"",IF(AND(Y1069=""),"",ROUND(G1071*Master!H$4%,0)))</f>
        <v/>
      </c>
      <c r="J1071" s="9" t="str">
        <f t="shared" si="870"/>
        <v/>
      </c>
      <c r="K1071" s="9" t="str">
        <f t="shared" ref="K1071" si="877">IF(AND(C1071=""),"",IF(AND(G1071=""),"",C1071-G1071))</f>
        <v/>
      </c>
      <c r="L1071" s="9" t="str">
        <f t="shared" si="874"/>
        <v/>
      </c>
      <c r="M1071" s="9" t="str">
        <f t="shared" si="872"/>
        <v/>
      </c>
      <c r="N1071" s="9" t="str">
        <f t="shared" ref="N1071" si="878">IF(AND(F1071=""),"",IF(AND(J1071=""),"",F1071-J1071))</f>
        <v/>
      </c>
      <c r="O1071" s="9" t="str">
        <f t="shared" si="875"/>
        <v/>
      </c>
      <c r="P1071" s="9" t="str">
        <f>IF(AND(Y1069=""),"",IF(AND(N1071=""),"",ROUND(N1071*X$16%,0)))</f>
        <v/>
      </c>
      <c r="Q1071" s="9" t="str">
        <f>IF(AND(Y1069=""),"",IF(AND(C1071=""),"",IF(AND(O1071=""),"",SUM(O1071,P1071))))</f>
        <v/>
      </c>
      <c r="R1071" s="9" t="str">
        <f t="shared" si="876"/>
        <v/>
      </c>
      <c r="S1071" s="20"/>
    </row>
    <row r="1072" spans="1:25" ht="30.75" customHeight="1">
      <c r="A1072" s="108" t="s">
        <v>9</v>
      </c>
      <c r="B1072" s="109"/>
      <c r="C1072" s="64">
        <f>IF(AND(Y1069=""),"",SUM(C1069:C1071))</f>
        <v>0</v>
      </c>
      <c r="D1072" s="64">
        <f>IF(AND(Y1069=""),"",SUM(D1069:D1071))</f>
        <v>0</v>
      </c>
      <c r="E1072" s="64">
        <f>IF(AND(Y1069=""),"",SUM(E1069:E1071))</f>
        <v>0</v>
      </c>
      <c r="F1072" s="64">
        <f>IF(AND(Y1069=""),"",SUM(F1069:F1071))</f>
        <v>0</v>
      </c>
      <c r="G1072" s="64">
        <f>IF(AND(Y1069=""),"",SUM(G1069:G1071))</f>
        <v>0</v>
      </c>
      <c r="H1072" s="64">
        <f>IF(AND(Y1069=""),"",SUM(H1069:H1071))</f>
        <v>0</v>
      </c>
      <c r="I1072" s="64">
        <f>IF(AND(Y1069=""),"",SUM(I1069:I1071))</f>
        <v>0</v>
      </c>
      <c r="J1072" s="64">
        <f>IF(AND(Y1069=""),"",SUM(J1069:J1071))</f>
        <v>0</v>
      </c>
      <c r="K1072" s="64">
        <f>IF(AND(Y1069=""),"",SUM(K1069:K1071))</f>
        <v>0</v>
      </c>
      <c r="L1072" s="64">
        <f>IF(AND(Y1069=""),"",SUM(L1069:L1071))</f>
        <v>0</v>
      </c>
      <c r="M1072" s="64">
        <f>IF(AND(Y1069=""),"",SUM(M1069:M1071))</f>
        <v>0</v>
      </c>
      <c r="N1072" s="64">
        <f>IF(AND(Y1069=""),"",SUM(N1069:N1071))</f>
        <v>0</v>
      </c>
      <c r="O1072" s="64">
        <f>IF(AND(Y1069=""),"",SUM(O1069:O1071))</f>
        <v>0</v>
      </c>
      <c r="P1072" s="64">
        <f>IF(AND(Y1069=""),"",SUM(P1069:P1071))</f>
        <v>0</v>
      </c>
      <c r="Q1072" s="64">
        <f>IF(AND(Y1069=""),"",SUM(Q1069:Q1071))</f>
        <v>0</v>
      </c>
      <c r="R1072" s="64">
        <f>IF(AND(Y1069=""),"",SUM(R1069:R1071))</f>
        <v>0</v>
      </c>
      <c r="S1072" s="50"/>
    </row>
    <row r="1073" spans="1:25" ht="11.25" customHeight="1">
      <c r="A1073" s="75"/>
      <c r="B1073" s="75"/>
      <c r="C1073" s="76"/>
      <c r="D1073" s="76"/>
      <c r="E1073" s="76"/>
      <c r="F1073" s="76"/>
      <c r="G1073" s="76"/>
      <c r="H1073" s="76"/>
      <c r="I1073" s="76"/>
      <c r="J1073" s="76"/>
      <c r="K1073" s="76"/>
      <c r="L1073" s="76"/>
      <c r="M1073" s="76"/>
      <c r="N1073" s="76"/>
      <c r="O1073" s="76"/>
      <c r="P1073" s="76"/>
      <c r="Q1073" s="76"/>
      <c r="R1073" s="76"/>
      <c r="S1073" s="77"/>
    </row>
    <row r="1074" spans="1:25" ht="23.25" customHeight="1">
      <c r="E1074" s="116" t="s">
        <v>10</v>
      </c>
      <c r="F1074" s="116"/>
      <c r="G1074" s="116"/>
      <c r="H1074" s="116"/>
      <c r="I1074" s="116"/>
      <c r="J1074" s="115" t="str">
        <f>IF(ISNA(VLOOKUP(Y1076,Master!A$8:N$127,2,FALSE)),"",VLOOKUP(Y1076,Master!A$8:AH$127,2,FALSE))</f>
        <v/>
      </c>
      <c r="K1074" s="115"/>
      <c r="L1074" s="115"/>
      <c r="M1074" s="115"/>
      <c r="N1074" s="115"/>
      <c r="O1074" s="61" t="s">
        <v>31</v>
      </c>
      <c r="P1074" s="115" t="str">
        <f>IF(ISNA(VLOOKUP($Y$396,Master!A$8:N$127,3,FALSE)),"",VLOOKUP($Y$396,Master!A$8:AH$127,3,FALSE))</f>
        <v/>
      </c>
      <c r="Q1074" s="115"/>
      <c r="R1074" s="115"/>
      <c r="S1074" s="115"/>
    </row>
    <row r="1075" spans="1:25" ht="9" customHeight="1">
      <c r="E1075" s="19"/>
      <c r="F1075" s="53"/>
      <c r="G1075" s="22"/>
      <c r="H1075" s="22"/>
      <c r="I1075" s="22"/>
      <c r="J1075" s="5"/>
      <c r="K1075" s="5"/>
      <c r="L1075" s="5"/>
      <c r="M1075" s="5"/>
      <c r="N1075" s="5"/>
      <c r="O1075" s="6"/>
      <c r="P1075" s="6"/>
    </row>
    <row r="1076" spans="1:25" ht="21" customHeight="1">
      <c r="A1076" s="8">
        <v>1</v>
      </c>
      <c r="B1076" s="23">
        <v>44562</v>
      </c>
      <c r="C1076" s="9" t="str">
        <f>IF(ISNA(VLOOKUP(Y1076,Master!A$8:N$127,5,FALSE)),"",VLOOKUP(Y1076,Master!A$8:AH$127,5,FALSE))</f>
        <v/>
      </c>
      <c r="D1076" s="9" t="str">
        <f>IF(AND(C1076=""),"",IF(AND(Y1076=""),"",ROUND(C1076*Master!C$5%,0)))</f>
        <v/>
      </c>
      <c r="E1076" s="9" t="str">
        <f>IF(AND(C1076=""),"",IF(AND(Y1076=""),"",ROUND(C1076*Master!H$5%,0)))</f>
        <v/>
      </c>
      <c r="F1076" s="9" t="str">
        <f t="shared" ref="F1076:F1078" si="879">IF(AND(C1076=""),"",SUM(C1076:E1076))</f>
        <v/>
      </c>
      <c r="G1076" s="9" t="str">
        <f>IF(ISNA(VLOOKUP(Y1076,Master!A$8:N$127,5,FALSE)),"",VLOOKUP(Y1076,Master!A$8:AH$127,5,FALSE))</f>
        <v/>
      </c>
      <c r="H1076" s="9" t="str">
        <f>IF(AND(G1076=""),"",IF(AND(Y1076=""),"",ROUND(G1076*Master!C$4%,0)))</f>
        <v/>
      </c>
      <c r="I1076" s="9" t="str">
        <f>IF(AND(G1076=""),"",IF(AND(Y1076=""),"",ROUND(G1076*Master!H$4%,0)))</f>
        <v/>
      </c>
      <c r="J1076" s="9" t="str">
        <f t="shared" ref="J1076:J1078" si="880">IF(AND(C1076=""),"",SUM(G1076:I1076))</f>
        <v/>
      </c>
      <c r="K1076" s="9" t="str">
        <f t="shared" ref="K1076:K1078" si="881">IF(AND(C1076=""),"",IF(AND(G1076=""),"",C1076-G1076))</f>
        <v/>
      </c>
      <c r="L1076" s="9" t="str">
        <f t="shared" ref="L1076:L1078" si="882">IF(AND(D1076=""),"",IF(AND(H1076=""),"",D1076-H1076))</f>
        <v/>
      </c>
      <c r="M1076" s="9" t="str">
        <f t="shared" ref="M1076:M1078" si="883">IF(AND(E1076=""),"",IF(AND(I1076=""),"",E1076-I1076))</f>
        <v/>
      </c>
      <c r="N1076" s="9" t="str">
        <f t="shared" ref="N1076:N1078" si="884">IF(AND(F1076=""),"",IF(AND(J1076=""),"",F1076-J1076))</f>
        <v/>
      </c>
      <c r="O1076" s="9" t="str">
        <f>IF(AND(C1076=""),"",N1076-P1076)</f>
        <v/>
      </c>
      <c r="P1076" s="9" t="str">
        <f>IF(AND(Y1076=""),"",IF(AND(N1076=""),"",ROUND(N1076*AA$1%,0)))</f>
        <v/>
      </c>
      <c r="Q1076" s="9" t="str">
        <f>IF(AND(Y1076=""),"",IF(AND(C1076=""),"",IF(AND(O1076=""),"",SUM(O1076,P1076))))</f>
        <v/>
      </c>
      <c r="R1076" s="9" t="str">
        <f>IF(AND(N1076=""),"",IF(AND(Q1076=""),"",N1076-Q1076))</f>
        <v/>
      </c>
      <c r="S1076" s="20"/>
      <c r="X1076" s="62" t="s">
        <v>62</v>
      </c>
      <c r="Y1076" s="65">
        <v>96</v>
      </c>
    </row>
    <row r="1077" spans="1:25" ht="21" customHeight="1">
      <c r="A1077" s="8">
        <v>2</v>
      </c>
      <c r="B1077" s="23">
        <v>44593</v>
      </c>
      <c r="C1077" s="9" t="str">
        <f>IF(AND(Y1076=""),"",C1076)</f>
        <v/>
      </c>
      <c r="D1077" s="9" t="str">
        <f>IF(AND(C1077=""),"",IF(AND(Y1076=""),"",ROUND(C1077*Master!C$5%,0)))</f>
        <v/>
      </c>
      <c r="E1077" s="9" t="str">
        <f>IF(AND(C1077=""),"",IF(AND(Y1076=""),"",ROUND(C1077*Master!H$5%,0)))</f>
        <v/>
      </c>
      <c r="F1077" s="9" t="str">
        <f t="shared" si="879"/>
        <v/>
      </c>
      <c r="G1077" s="9" t="str">
        <f>IF(AND(Y1076=""),"",G1076)</f>
        <v/>
      </c>
      <c r="H1077" s="9" t="str">
        <f>IF(AND(G1077=""),"",IF(AND(Y1076=""),"",ROUND(G1077*Master!C$4%,0)))</f>
        <v/>
      </c>
      <c r="I1077" s="9" t="str">
        <f>IF(AND(G1077=""),"",IF(AND(Y1076=""),"",ROUND(G1077*Master!H$4%,0)))</f>
        <v/>
      </c>
      <c r="J1077" s="9" t="str">
        <f t="shared" si="880"/>
        <v/>
      </c>
      <c r="K1077" s="9" t="str">
        <f t="shared" si="881"/>
        <v/>
      </c>
      <c r="L1077" s="9" t="str">
        <f t="shared" si="882"/>
        <v/>
      </c>
      <c r="M1077" s="9" t="str">
        <f t="shared" si="883"/>
        <v/>
      </c>
      <c r="N1077" s="9" t="str">
        <f t="shared" si="884"/>
        <v/>
      </c>
      <c r="O1077" s="9" t="str">
        <f t="shared" ref="O1077:O1078" si="885">IF(AND(C1077=""),"",N1077-P1077)</f>
        <v/>
      </c>
      <c r="P1077" s="9" t="str">
        <f>IF(AND(Y1076=""),"",IF(AND(N1077=""),"",ROUND(N1077*AA$1%,0)))</f>
        <v/>
      </c>
      <c r="Q1077" s="9" t="str">
        <f>IF(AND(Y1076=""),"",IF(AND(C1077=""),"",IF(AND(O1077=""),"",SUM(O1077,P1077))))</f>
        <v/>
      </c>
      <c r="R1077" s="9" t="str">
        <f t="shared" ref="R1077:R1078" si="886">IF(AND(N1077=""),"",IF(AND(Q1077=""),"",N1077-Q1077))</f>
        <v/>
      </c>
      <c r="S1077" s="20"/>
      <c r="X1077" s="4" t="str">
        <f>IF(ISNA(VLOOKUP(Y1076,Master!A$8:N$127,7,FALSE)),"",VLOOKUP(Y1076,Master!A$8:AH$127,7,FALSE))</f>
        <v/>
      </c>
    </row>
    <row r="1078" spans="1:25" ht="21" customHeight="1">
      <c r="A1078" s="8">
        <v>3</v>
      </c>
      <c r="B1078" s="23">
        <v>44621</v>
      </c>
      <c r="C1078" s="9" t="str">
        <f>IF(AND(Y1076=""),"",C1077)</f>
        <v/>
      </c>
      <c r="D1078" s="9" t="str">
        <f>IF(AND(C1078=""),"",IF(AND(Y1076=""),"",ROUND(C1078*Master!C$5%,0)))</f>
        <v/>
      </c>
      <c r="E1078" s="9" t="str">
        <f>IF(AND(C1078=""),"",IF(AND(Y1076=""),"",ROUND(C1078*Master!H$5%,0)))</f>
        <v/>
      </c>
      <c r="F1078" s="9" t="str">
        <f t="shared" si="879"/>
        <v/>
      </c>
      <c r="G1078" s="9" t="str">
        <f>IF(AND(Y1076=""),"",G1077)</f>
        <v/>
      </c>
      <c r="H1078" s="9" t="str">
        <f>IF(AND(G1078=""),"",IF(AND(Y1076=""),"",ROUND(G1078*Master!C$4%,0)))</f>
        <v/>
      </c>
      <c r="I1078" s="9" t="str">
        <f>IF(AND(G1078=""),"",IF(AND(Y1076=""),"",ROUND(G1078*Master!H$4%,0)))</f>
        <v/>
      </c>
      <c r="J1078" s="9" t="str">
        <f t="shared" si="880"/>
        <v/>
      </c>
      <c r="K1078" s="9" t="str">
        <f t="shared" si="881"/>
        <v/>
      </c>
      <c r="L1078" s="9" t="str">
        <f t="shared" si="882"/>
        <v/>
      </c>
      <c r="M1078" s="9" t="str">
        <f t="shared" si="883"/>
        <v/>
      </c>
      <c r="N1078" s="9" t="str">
        <f t="shared" si="884"/>
        <v/>
      </c>
      <c r="O1078" s="9" t="str">
        <f t="shared" si="885"/>
        <v/>
      </c>
      <c r="P1078" s="9" t="str">
        <f>IF(AND(Y1076=""),"",IF(AND(N1078=""),"",ROUND(N1078*AA$1%,0)))</f>
        <v/>
      </c>
      <c r="Q1078" s="9" t="str">
        <f>IF(AND(Y1076=""),"",IF(AND(C1078=""),"",IF(AND(O1078=""),"",SUM(O1078,P1078))))</f>
        <v/>
      </c>
      <c r="R1078" s="9" t="str">
        <f t="shared" si="886"/>
        <v/>
      </c>
      <c r="S1078" s="20"/>
    </row>
    <row r="1079" spans="1:25" ht="30.75" customHeight="1">
      <c r="A1079" s="108" t="s">
        <v>9</v>
      </c>
      <c r="B1079" s="109"/>
      <c r="C1079" s="64">
        <f>IF(AND(Y1076=""),"",SUM(C1076:C1078))</f>
        <v>0</v>
      </c>
      <c r="D1079" s="64">
        <f>IF(AND(Y1076=""),"",SUM(D1076:D1078))</f>
        <v>0</v>
      </c>
      <c r="E1079" s="64">
        <f>IF(AND(Y1076=""),"",SUM(E1076:E1078))</f>
        <v>0</v>
      </c>
      <c r="F1079" s="64">
        <f>IF(AND(Y1076=""),"",SUM(F1076:F1078))</f>
        <v>0</v>
      </c>
      <c r="G1079" s="64">
        <f>IF(AND(Y1076=""),"",SUM(G1076:G1078))</f>
        <v>0</v>
      </c>
      <c r="H1079" s="64">
        <f>IF(AND(Y1076=""),"",SUM(H1076:H1078))</f>
        <v>0</v>
      </c>
      <c r="I1079" s="64">
        <f>IF(AND(Y1076=""),"",SUM(I1076:I1078))</f>
        <v>0</v>
      </c>
      <c r="J1079" s="64">
        <f>IF(AND(Y1076=""),"",SUM(J1076:J1078))</f>
        <v>0</v>
      </c>
      <c r="K1079" s="64">
        <f>IF(AND(Y1076=""),"",SUM(K1076:K1078))</f>
        <v>0</v>
      </c>
      <c r="L1079" s="64">
        <f>IF(AND(Y1076=""),"",SUM(L1076:L1078))</f>
        <v>0</v>
      </c>
      <c r="M1079" s="64">
        <f>IF(AND(Y1076=""),"",SUM(M1076:M1078))</f>
        <v>0</v>
      </c>
      <c r="N1079" s="64">
        <f>IF(AND(Y1076=""),"",SUM(N1076:N1078))</f>
        <v>0</v>
      </c>
      <c r="O1079" s="64">
        <f>IF(AND(Y1076=""),"",SUM(O1076:O1078))</f>
        <v>0</v>
      </c>
      <c r="P1079" s="64">
        <f>IF(AND(Y1076=""),"",SUM(P1076:P1078))</f>
        <v>0</v>
      </c>
      <c r="Q1079" s="64">
        <f>IF(AND(Y1076=""),"",SUM(Q1076:Q1078))</f>
        <v>0</v>
      </c>
      <c r="R1079" s="64">
        <f>IF(AND(Y1076=""),"",SUM(R1076:R1078))</f>
        <v>0</v>
      </c>
      <c r="S1079" s="50"/>
    </row>
    <row r="1080" spans="1:25" ht="30.75" customHeight="1">
      <c r="A1080" s="75"/>
      <c r="B1080" s="75"/>
      <c r="C1080" s="76"/>
      <c r="D1080" s="76"/>
      <c r="E1080" s="76"/>
      <c r="F1080" s="76"/>
      <c r="G1080" s="76"/>
      <c r="H1080" s="76"/>
      <c r="I1080" s="76"/>
      <c r="J1080" s="76"/>
      <c r="K1080" s="76"/>
      <c r="L1080" s="76"/>
      <c r="M1080" s="76"/>
      <c r="N1080" s="76"/>
      <c r="O1080" s="76"/>
      <c r="P1080" s="76"/>
      <c r="Q1080" s="76"/>
      <c r="R1080" s="76"/>
      <c r="S1080" s="77"/>
    </row>
    <row r="1081" spans="1:25" ht="18.75">
      <c r="A1081" s="21"/>
      <c r="B1081" s="59"/>
      <c r="C1081" s="59"/>
      <c r="D1081" s="59"/>
      <c r="E1081" s="59"/>
      <c r="F1081" s="59"/>
      <c r="G1081" s="59"/>
      <c r="H1081" s="60"/>
      <c r="I1081" s="60"/>
      <c r="J1081" s="60"/>
      <c r="K1081" s="68"/>
      <c r="L1081" s="68"/>
      <c r="M1081" s="68"/>
      <c r="N1081" s="68"/>
      <c r="O1081" s="107" t="s">
        <v>55</v>
      </c>
      <c r="P1081" s="107"/>
      <c r="Q1081" s="107"/>
      <c r="R1081" s="107"/>
      <c r="S1081" s="107"/>
    </row>
    <row r="1082" spans="1:25" ht="18.75">
      <c r="A1082" s="1"/>
      <c r="B1082" s="24" t="s">
        <v>19</v>
      </c>
      <c r="C1082" s="118"/>
      <c r="D1082" s="118"/>
      <c r="E1082" s="118"/>
      <c r="F1082" s="118"/>
      <c r="G1082" s="118"/>
      <c r="H1082" s="25"/>
      <c r="I1082" s="121" t="s">
        <v>20</v>
      </c>
      <c r="J1082" s="121"/>
      <c r="K1082" s="120"/>
      <c r="L1082" s="120"/>
      <c r="M1082" s="120"/>
      <c r="O1082" s="107"/>
      <c r="P1082" s="107"/>
      <c r="Q1082" s="107"/>
      <c r="R1082" s="107"/>
      <c r="S1082" s="107"/>
    </row>
    <row r="1083" spans="1:25" ht="18.75">
      <c r="A1083" s="1"/>
      <c r="B1083" s="119" t="s">
        <v>21</v>
      </c>
      <c r="C1083" s="119"/>
      <c r="D1083" s="119"/>
      <c r="E1083" s="119"/>
      <c r="F1083" s="119"/>
      <c r="G1083" s="119"/>
      <c r="H1083" s="119"/>
      <c r="I1083" s="27"/>
      <c r="J1083" s="26"/>
      <c r="K1083" s="26"/>
      <c r="L1083" s="26"/>
      <c r="M1083" s="26"/>
    </row>
    <row r="1084" spans="1:25" ht="18.75">
      <c r="A1084" s="22">
        <v>1</v>
      </c>
      <c r="B1084" s="117" t="s">
        <v>22</v>
      </c>
      <c r="C1084" s="117"/>
      <c r="D1084" s="117"/>
      <c r="E1084" s="117"/>
      <c r="F1084" s="117"/>
      <c r="G1084" s="117"/>
      <c r="H1084" s="117"/>
      <c r="I1084" s="28"/>
      <c r="J1084" s="26"/>
      <c r="K1084" s="26"/>
      <c r="L1084" s="26"/>
      <c r="M1084" s="26"/>
    </row>
    <row r="1085" spans="1:25" ht="18.75">
      <c r="A1085" s="2">
        <v>2</v>
      </c>
      <c r="B1085" s="117" t="s">
        <v>23</v>
      </c>
      <c r="C1085" s="117"/>
      <c r="D1085" s="117"/>
      <c r="E1085" s="117"/>
      <c r="F1085" s="117"/>
      <c r="G1085" s="115"/>
      <c r="H1085" s="115"/>
      <c r="I1085" s="115"/>
      <c r="J1085" s="115"/>
      <c r="K1085" s="115"/>
      <c r="L1085" s="115"/>
      <c r="M1085" s="115"/>
    </row>
    <row r="1086" spans="1:25" ht="18.75">
      <c r="A1086" s="3">
        <v>3</v>
      </c>
      <c r="B1086" s="117" t="s">
        <v>24</v>
      </c>
      <c r="C1086" s="117"/>
      <c r="D1086" s="117"/>
      <c r="E1086" s="29"/>
      <c r="F1086" s="28"/>
      <c r="G1086" s="28"/>
      <c r="H1086" s="30"/>
      <c r="I1086" s="31"/>
      <c r="J1086" s="26"/>
      <c r="K1086" s="26"/>
      <c r="L1086" s="26"/>
      <c r="M1086" s="26"/>
    </row>
    <row r="1087" spans="1:25" ht="15.75">
      <c r="O1087" s="107" t="s">
        <v>55</v>
      </c>
      <c r="P1087" s="107"/>
      <c r="Q1087" s="107"/>
      <c r="R1087" s="107"/>
      <c r="S1087" s="107"/>
    </row>
    <row r="1089" spans="1:27" ht="18" customHeight="1">
      <c r="A1089" s="122" t="str">
        <f>A1055</f>
        <v xml:space="preserve">DA (38%) Drawn Statement  </v>
      </c>
      <c r="B1089" s="122"/>
      <c r="C1089" s="122"/>
      <c r="D1089" s="122"/>
      <c r="E1089" s="122"/>
      <c r="F1089" s="122"/>
      <c r="G1089" s="122"/>
      <c r="H1089" s="122"/>
      <c r="I1089" s="122"/>
      <c r="J1089" s="122"/>
      <c r="K1089" s="122"/>
      <c r="L1089" s="122"/>
      <c r="M1089" s="122"/>
      <c r="N1089" s="122"/>
      <c r="O1089" s="122"/>
      <c r="P1089" s="122"/>
      <c r="Q1089" s="122"/>
      <c r="R1089" s="122"/>
      <c r="S1089" s="122"/>
      <c r="W1089" s="4">
        <f>IF(ISNA(VLOOKUP($Y$3,Master!A$8:N$127,4,FALSE)),"",VLOOKUP($Y$3,Master!A$8:AH$127,4,FALSE))</f>
        <v>3</v>
      </c>
      <c r="X1089" s="4" t="str">
        <f>IF(ISNA(VLOOKUP($Y$3,Master!A$8:N$127,6,FALSE)),"",VLOOKUP($Y$3,Master!A$8:AH$127,6,FALSE))</f>
        <v>GPF</v>
      </c>
      <c r="Y1089" s="4" t="s">
        <v>58</v>
      </c>
      <c r="Z1089" s="4" t="s">
        <v>18</v>
      </c>
      <c r="AA1089" s="4" t="str">
        <f>IF(ISNA(VLOOKUP(Y1091,Master!A$8:N$127,7,FALSE)),"",VLOOKUP(Y1091,Master!A$8:AH$127,7,FALSE))</f>
        <v/>
      </c>
    </row>
    <row r="1090" spans="1:27" ht="18">
      <c r="A1090" s="114" t="str">
        <f>IF(AND(Master!C1091=""),"",CONCATENATE("Office Of  ",Master!C1091))</f>
        <v/>
      </c>
      <c r="B1090" s="114"/>
      <c r="C1090" s="114"/>
      <c r="D1090" s="114"/>
      <c r="E1090" s="114"/>
      <c r="F1090" s="114"/>
      <c r="G1090" s="114"/>
      <c r="H1090" s="114"/>
      <c r="I1090" s="114"/>
      <c r="J1090" s="114"/>
      <c r="K1090" s="114"/>
      <c r="L1090" s="114"/>
      <c r="M1090" s="114"/>
      <c r="N1090" s="114"/>
      <c r="O1090" s="114"/>
      <c r="P1090" s="114"/>
      <c r="Q1090" s="114"/>
      <c r="R1090" s="114"/>
      <c r="S1090" s="114"/>
      <c r="X1090" s="4">
        <f>IF(ISNA(VLOOKUP($Y$3,Master!A$8:N$127,8,FALSE)),"",VLOOKUP($Y$3,Master!A$8:AH$127,8,FALSE))</f>
        <v>44743</v>
      </c>
      <c r="Y1090" s="4" t="s">
        <v>56</v>
      </c>
    </row>
    <row r="1091" spans="1:27" ht="18.75">
      <c r="E1091" s="116" t="s">
        <v>10</v>
      </c>
      <c r="F1091" s="116"/>
      <c r="G1091" s="116"/>
      <c r="H1091" s="116"/>
      <c r="I1091" s="116"/>
      <c r="J1091" s="115" t="str">
        <f>IF(ISNA(VLOOKUP(Y1091,Master!A$8:N$127,2,FALSE)),"",VLOOKUP(Y1091,Master!A$8:AH$127,2,FALSE))</f>
        <v/>
      </c>
      <c r="K1091" s="115"/>
      <c r="L1091" s="115"/>
      <c r="M1091" s="115"/>
      <c r="N1091" s="115"/>
      <c r="O1091" s="61" t="s">
        <v>31</v>
      </c>
      <c r="P1091" s="115" t="str">
        <f>IF(ISNA(VLOOKUP(Y1091,Master!A$8:N$127,3,FALSE)),"",VLOOKUP(Y1091,Master!A$8:AH$127,3,FALSE))</f>
        <v/>
      </c>
      <c r="Q1091" s="115"/>
      <c r="R1091" s="115"/>
      <c r="S1091" s="115"/>
      <c r="X1091" s="62" t="s">
        <v>62</v>
      </c>
      <c r="Y1091" s="65">
        <v>97</v>
      </c>
    </row>
    <row r="1092" spans="1:27" ht="8.25" customHeight="1">
      <c r="E1092" s="19"/>
      <c r="F1092" s="53"/>
      <c r="G1092" s="22"/>
      <c r="H1092" s="22"/>
      <c r="I1092" s="22"/>
      <c r="J1092" s="5"/>
      <c r="K1092" s="5"/>
      <c r="L1092" s="5"/>
      <c r="M1092" s="5"/>
      <c r="N1092" s="5"/>
      <c r="O1092" s="6"/>
      <c r="P1092" s="6"/>
    </row>
    <row r="1093" spans="1:27" ht="24.75" customHeight="1">
      <c r="A1093" s="110" t="s">
        <v>0</v>
      </c>
      <c r="B1093" s="111" t="s">
        <v>3</v>
      </c>
      <c r="C1093" s="112" t="s">
        <v>5</v>
      </c>
      <c r="D1093" s="112"/>
      <c r="E1093" s="112"/>
      <c r="F1093" s="112"/>
      <c r="G1093" s="112" t="s">
        <v>6</v>
      </c>
      <c r="H1093" s="112"/>
      <c r="I1093" s="112"/>
      <c r="J1093" s="112"/>
      <c r="K1093" s="112" t="s">
        <v>7</v>
      </c>
      <c r="L1093" s="112"/>
      <c r="M1093" s="112"/>
      <c r="N1093" s="112"/>
      <c r="O1093" s="97" t="s">
        <v>8</v>
      </c>
      <c r="P1093" s="98"/>
      <c r="Q1093" s="99"/>
      <c r="R1093" s="105" t="s">
        <v>67</v>
      </c>
      <c r="S1093" s="105" t="s">
        <v>50</v>
      </c>
    </row>
    <row r="1094" spans="1:27" ht="69" customHeight="1">
      <c r="A1094" s="110"/>
      <c r="B1094" s="111"/>
      <c r="C1094" s="55" t="s">
        <v>29</v>
      </c>
      <c r="D1094" s="56" t="s">
        <v>1</v>
      </c>
      <c r="E1094" s="57" t="s">
        <v>2</v>
      </c>
      <c r="F1094" s="55" t="s">
        <v>59</v>
      </c>
      <c r="G1094" s="55" t="s">
        <v>29</v>
      </c>
      <c r="H1094" s="56" t="s">
        <v>1</v>
      </c>
      <c r="I1094" s="57" t="s">
        <v>2</v>
      </c>
      <c r="J1094" s="55" t="s">
        <v>60</v>
      </c>
      <c r="K1094" s="55" t="s">
        <v>4</v>
      </c>
      <c r="L1094" s="56" t="s">
        <v>1</v>
      </c>
      <c r="M1094" s="57" t="s">
        <v>2</v>
      </c>
      <c r="N1094" s="58" t="s">
        <v>61</v>
      </c>
      <c r="O1094" s="54" t="s">
        <v>83</v>
      </c>
      <c r="P1094" s="67" t="s">
        <v>51</v>
      </c>
      <c r="Q1094" s="58" t="s">
        <v>66</v>
      </c>
      <c r="R1094" s="105"/>
      <c r="S1094" s="105"/>
    </row>
    <row r="1095" spans="1:27" ht="18" customHeight="1">
      <c r="A1095" s="7">
        <v>1</v>
      </c>
      <c r="B1095" s="7">
        <v>2</v>
      </c>
      <c r="C1095" s="7">
        <v>3</v>
      </c>
      <c r="D1095" s="7">
        <v>4</v>
      </c>
      <c r="E1095" s="7">
        <v>5</v>
      </c>
      <c r="F1095" s="7">
        <v>6</v>
      </c>
      <c r="G1095" s="7">
        <v>7</v>
      </c>
      <c r="H1095" s="7">
        <v>8</v>
      </c>
      <c r="I1095" s="7">
        <v>9</v>
      </c>
      <c r="J1095" s="7">
        <v>10</v>
      </c>
      <c r="K1095" s="7">
        <v>11</v>
      </c>
      <c r="L1095" s="7">
        <v>12</v>
      </c>
      <c r="M1095" s="7">
        <v>13</v>
      </c>
      <c r="N1095" s="7">
        <v>14</v>
      </c>
      <c r="O1095" s="7">
        <v>15</v>
      </c>
      <c r="P1095" s="7">
        <v>17</v>
      </c>
      <c r="Q1095" s="7">
        <v>18</v>
      </c>
      <c r="R1095" s="7">
        <v>19</v>
      </c>
      <c r="S1095" s="7">
        <v>20</v>
      </c>
    </row>
    <row r="1096" spans="1:27" ht="21" customHeight="1">
      <c r="A1096" s="8">
        <v>1</v>
      </c>
      <c r="B1096" s="23">
        <v>44562</v>
      </c>
      <c r="C1096" s="9" t="str">
        <f>IF(ISNA(VLOOKUP(Y1091,Master!A$8:N$127,5,FALSE)),"",VLOOKUP(Y1091,Master!A$8:AH$127,5,FALSE))</f>
        <v/>
      </c>
      <c r="D1096" s="9" t="str">
        <f>IF(AND(C1096=""),"",IF(AND(Y1091=""),"",ROUND(C1096*Master!C$5%,0)))</f>
        <v/>
      </c>
      <c r="E1096" s="9" t="str">
        <f>IF(AND(C1096=""),"",IF(AND(Y1091=""),"",ROUND(C1096*Master!H$5%,0)))</f>
        <v/>
      </c>
      <c r="F1096" s="9" t="str">
        <f t="shared" ref="F1096" si="887">IF(AND(C1096=""),"",SUM(C1096:E1096))</f>
        <v/>
      </c>
      <c r="G1096" s="9" t="str">
        <f>IF(ISNA(VLOOKUP(Y1091,Master!A$8:N$127,5,FALSE)),"",VLOOKUP(Y1091,Master!A$8:AH$127,5,FALSE))</f>
        <v/>
      </c>
      <c r="H1096" s="9" t="str">
        <f>IF(AND(G1096=""),"",IF(AND(Y1091=""),"",ROUND(G1096*Master!C$4%,0)))</f>
        <v/>
      </c>
      <c r="I1096" s="9" t="str">
        <f>IF(AND(G1096=""),"",IF(AND(Y1091=""),"",ROUND(G1096*Master!H$4%,0)))</f>
        <v/>
      </c>
      <c r="J1096" s="9" t="str">
        <f t="shared" ref="J1096:J1097" si="888">IF(AND(C1096=""),"",SUM(G1096:I1096))</f>
        <v/>
      </c>
      <c r="K1096" s="9" t="str">
        <f t="shared" ref="K1096:K1098" si="889">IF(AND(C1096=""),"",IF(AND(G1096=""),"",C1096-G1096))</f>
        <v/>
      </c>
      <c r="L1096" s="9" t="str">
        <f t="shared" ref="L1096:L1098" si="890">IF(AND(D1096=""),"",IF(AND(H1096=""),"",D1096-H1096))</f>
        <v/>
      </c>
      <c r="M1096" s="9" t="str">
        <f t="shared" ref="M1096:M1097" si="891">IF(AND(E1096=""),"",IF(AND(I1096=""),"",E1096-I1096))</f>
        <v/>
      </c>
      <c r="N1096" s="9" t="str">
        <f t="shared" ref="N1096:N1097" si="892">IF(AND(F1096=""),"",IF(AND(J1096=""),"",F1096-J1096))</f>
        <v/>
      </c>
      <c r="O1096" s="9" t="str">
        <f>IF(AND(C1096=""),"",N1096-P1096)</f>
        <v/>
      </c>
      <c r="P1096" s="9" t="str">
        <f>IF(AND(Y1091=""),"",IF(AND(N1096=""),"",ROUND(N1096*AA$1%,0)))</f>
        <v/>
      </c>
      <c r="Q1096" s="9" t="str">
        <f>IF(AND(Y1091=""),"",IF(AND(C1096=""),"",IF(AND(O1096=""),"",SUM(O1096,P1096))))</f>
        <v/>
      </c>
      <c r="R1096" s="9" t="str">
        <f>IF(AND(N1096=""),"",IF(AND(Q1096=""),"",N1096-Q1096))</f>
        <v/>
      </c>
      <c r="S1096" s="20"/>
    </row>
    <row r="1097" spans="1:27" ht="21" customHeight="1">
      <c r="A1097" s="8">
        <v>2</v>
      </c>
      <c r="B1097" s="23">
        <v>44593</v>
      </c>
      <c r="C1097" s="9" t="str">
        <f>IF(AND(Y1091=""),"",C1096)</f>
        <v/>
      </c>
      <c r="D1097" s="9" t="str">
        <f>IF(AND(C1097=""),"",IF(AND(Y1091=""),"",ROUND(C1097*Master!C$5%,0)))</f>
        <v/>
      </c>
      <c r="E1097" s="9" t="str">
        <f>IF(AND(C1097=""),"",IF(AND(Y1091=""),"",ROUND(C1097*Master!H$5%,0)))</f>
        <v/>
      </c>
      <c r="F1097" s="9" t="str">
        <f>IF(AND(C1097=""),"",SUM(C1097:E1097))</f>
        <v/>
      </c>
      <c r="G1097" s="9" t="str">
        <f>IF(AND(Y1091=""),"",G1096)</f>
        <v/>
      </c>
      <c r="H1097" s="9" t="str">
        <f>IF(AND(G1097=""),"",IF(AND(Y1091=""),"",ROUND(G1097*Master!C$4%,0)))</f>
        <v/>
      </c>
      <c r="I1097" s="9" t="str">
        <f>IF(AND(G1097=""),"",IF(AND(Y1091=""),"",ROUND(G1097*Master!H$4%,0)))</f>
        <v/>
      </c>
      <c r="J1097" s="9" t="str">
        <f t="shared" si="888"/>
        <v/>
      </c>
      <c r="K1097" s="9" t="str">
        <f t="shared" si="889"/>
        <v/>
      </c>
      <c r="L1097" s="9" t="str">
        <f t="shared" si="890"/>
        <v/>
      </c>
      <c r="M1097" s="9" t="str">
        <f t="shared" si="891"/>
        <v/>
      </c>
      <c r="N1097" s="9" t="str">
        <f t="shared" si="892"/>
        <v/>
      </c>
      <c r="O1097" s="9" t="str">
        <f t="shared" ref="O1097:O1098" si="893">IF(AND(C1097=""),"",N1097-P1097)</f>
        <v/>
      </c>
      <c r="P1097" s="9" t="str">
        <f>IF(AND(Y1091=""),"",IF(AND(N1097=""),"",ROUND(N1097*AA$1%,0)))</f>
        <v/>
      </c>
      <c r="Q1097" s="9" t="str">
        <f>IF(AND(Y1091=""),"",IF(AND(C1097=""),"",IF(AND(O1097=""),"",SUM(O1097,P1097))))</f>
        <v/>
      </c>
      <c r="R1097" s="9" t="str">
        <f t="shared" ref="R1097:R1098" si="894">IF(AND(N1097=""),"",IF(AND(Q1097=""),"",N1097-Q1097))</f>
        <v/>
      </c>
      <c r="S1097" s="20"/>
    </row>
    <row r="1098" spans="1:27" ht="21" customHeight="1">
      <c r="A1098" s="8">
        <v>3</v>
      </c>
      <c r="B1098" s="23">
        <v>44621</v>
      </c>
      <c r="C1098" s="9" t="str">
        <f>IF(AND(Y1091=""),"",C1097)</f>
        <v/>
      </c>
      <c r="D1098" s="9" t="str">
        <f>IF(AND(C1098=""),"",IF(AND(Y1091=""),"",ROUND(C1098*Master!C$5%,0)))</f>
        <v/>
      </c>
      <c r="E1098" s="9" t="str">
        <f>IF(AND(C1098=""),"",IF(AND(Y1091=""),"",ROUND(C1098*Master!H$5%,0)))</f>
        <v/>
      </c>
      <c r="F1098" s="9" t="str">
        <f t="shared" ref="F1098" si="895">IF(AND(C1098=""),"",SUM(C1098:E1098))</f>
        <v/>
      </c>
      <c r="G1098" s="9" t="str">
        <f>IF(AND(Y1091=""),"",G1097)</f>
        <v/>
      </c>
      <c r="H1098" s="9" t="str">
        <f>IF(AND(G1098=""),"",IF(AND(Y1091=""),"",ROUND(G1098*Master!C$4%,0)))</f>
        <v/>
      </c>
      <c r="I1098" s="9" t="str">
        <f>IF(AND(G1098=""),"",IF(AND(Y1091=""),"",ROUND(G1098*Master!H$4%,0)))</f>
        <v/>
      </c>
      <c r="J1098" s="9" t="str">
        <f>IF(AND(C1098=""),"",SUM(G1098:I1098))</f>
        <v/>
      </c>
      <c r="K1098" s="9" t="str">
        <f t="shared" si="889"/>
        <v/>
      </c>
      <c r="L1098" s="9" t="str">
        <f t="shared" si="890"/>
        <v/>
      </c>
      <c r="M1098" s="9" t="str">
        <f>IF(AND(E1098=""),"",IF(AND(I1098=""),"",E1098-I1098))</f>
        <v/>
      </c>
      <c r="N1098" s="9" t="str">
        <f>IF(AND(F1098=""),"",IF(AND(J1098=""),"",F1098-J1098))</f>
        <v/>
      </c>
      <c r="O1098" s="9" t="str">
        <f t="shared" si="893"/>
        <v/>
      </c>
      <c r="P1098" s="9" t="str">
        <f>IF(AND(Y1091=""),"",IF(AND(N1098=""),"",ROUND(N1098*AA$1%,0)))</f>
        <v/>
      </c>
      <c r="Q1098" s="9" t="str">
        <f>IF(AND(Y1091=""),"",IF(AND(C1098=""),"",IF(AND(O1098=""),"",SUM(O1098,P1098))))</f>
        <v/>
      </c>
      <c r="R1098" s="9" t="str">
        <f t="shared" si="894"/>
        <v/>
      </c>
      <c r="S1098" s="20"/>
    </row>
    <row r="1099" spans="1:27" ht="23.25" customHeight="1">
      <c r="A1099" s="108" t="s">
        <v>9</v>
      </c>
      <c r="B1099" s="109"/>
      <c r="C1099" s="64">
        <f>IF(AND(Y1091=""),"",SUM(C1096:C1098))</f>
        <v>0</v>
      </c>
      <c r="D1099" s="64">
        <f>IF(AND(Y1091=""),"",SUM(D1096:D1098))</f>
        <v>0</v>
      </c>
      <c r="E1099" s="64">
        <f>IF(AND(Y1091=""),"",SUM(E1096:E1098))</f>
        <v>0</v>
      </c>
      <c r="F1099" s="64">
        <f>IF(AND(Y1091=""),"",SUM(F1096:F1098))</f>
        <v>0</v>
      </c>
      <c r="G1099" s="64">
        <f>IF(AND(Y1091=""),"",SUM(G1096:G1098))</f>
        <v>0</v>
      </c>
      <c r="H1099" s="64">
        <f>IF(AND(Y1091=""),"",SUM(H1096:H1098))</f>
        <v>0</v>
      </c>
      <c r="I1099" s="64">
        <f>IF(AND(Y1091=""),"",SUM(I1096:I1098))</f>
        <v>0</v>
      </c>
      <c r="J1099" s="64">
        <f>IF(AND(Y1091=""),"",SUM(J1096:J1098))</f>
        <v>0</v>
      </c>
      <c r="K1099" s="64">
        <f>IF(AND(Y1091=""),"",SUM(K1096:K1098))</f>
        <v>0</v>
      </c>
      <c r="L1099" s="64">
        <f>IF(AND(Y1091=""),"",SUM(L1096:L1098))</f>
        <v>0</v>
      </c>
      <c r="M1099" s="64">
        <f>IF(AND(Y1091=""),"",SUM(M1096:M1098))</f>
        <v>0</v>
      </c>
      <c r="N1099" s="64">
        <f>IF(AND(Y1091=""),"",SUM(N1096:N1098))</f>
        <v>0</v>
      </c>
      <c r="O1099" s="64">
        <f>IF(AND(Y1091=""),"",SUM(O1096:O1098))</f>
        <v>0</v>
      </c>
      <c r="P1099" s="64">
        <f>IF(AND(Y1091=""),"",SUM(P1096:P1098))</f>
        <v>0</v>
      </c>
      <c r="Q1099" s="64">
        <f>IF(AND(Y1091=""),"",SUM(Q1096:Q1098))</f>
        <v>0</v>
      </c>
      <c r="R1099" s="64">
        <f>IF(AND(Y1091=""),"",SUM(R1096:R1098))</f>
        <v>0</v>
      </c>
      <c r="S1099" s="50"/>
    </row>
    <row r="1100" spans="1:27" ht="10.5" customHeight="1">
      <c r="A1100" s="75"/>
      <c r="B1100" s="75"/>
      <c r="C1100" s="76"/>
      <c r="D1100" s="76"/>
      <c r="E1100" s="76"/>
      <c r="F1100" s="76"/>
      <c r="G1100" s="76"/>
      <c r="H1100" s="76"/>
      <c r="I1100" s="76"/>
      <c r="J1100" s="76"/>
      <c r="K1100" s="76"/>
      <c r="L1100" s="76"/>
      <c r="M1100" s="76"/>
      <c r="N1100" s="76"/>
      <c r="O1100" s="76"/>
      <c r="P1100" s="76"/>
      <c r="Q1100" s="76"/>
      <c r="R1100" s="76"/>
      <c r="S1100" s="77"/>
    </row>
    <row r="1101" spans="1:27" ht="23.25" customHeight="1">
      <c r="E1101" s="116" t="s">
        <v>10</v>
      </c>
      <c r="F1101" s="116"/>
      <c r="G1101" s="116"/>
      <c r="H1101" s="116"/>
      <c r="I1101" s="116"/>
      <c r="J1101" s="115" t="str">
        <f>IF(ISNA(VLOOKUP(Y1103,Master!A$8:N$127,2,FALSE)),"",VLOOKUP(Y1103,Master!A$8:AH$127,2,FALSE))</f>
        <v/>
      </c>
      <c r="K1101" s="115"/>
      <c r="L1101" s="115"/>
      <c r="M1101" s="115"/>
      <c r="N1101" s="115"/>
      <c r="O1101" s="61" t="s">
        <v>31</v>
      </c>
      <c r="P1101" s="115" t="str">
        <f>IF(ISNA(VLOOKUP(Y1103,Master!A$8:N$127,3,FALSE)),"",VLOOKUP(Y1103,Master!A$8:AH$127,3,FALSE))</f>
        <v/>
      </c>
      <c r="Q1101" s="115"/>
      <c r="R1101" s="115"/>
      <c r="S1101" s="115"/>
    </row>
    <row r="1102" spans="1:27" ht="9" customHeight="1">
      <c r="E1102" s="19"/>
      <c r="F1102" s="53"/>
      <c r="G1102" s="22"/>
      <c r="H1102" s="22"/>
      <c r="I1102" s="22"/>
      <c r="J1102" s="5"/>
      <c r="K1102" s="5"/>
      <c r="L1102" s="5"/>
      <c r="M1102" s="5"/>
      <c r="N1102" s="5"/>
      <c r="O1102" s="6"/>
      <c r="P1102" s="6"/>
    </row>
    <row r="1103" spans="1:27" ht="21" customHeight="1">
      <c r="A1103" s="8">
        <v>1</v>
      </c>
      <c r="B1103" s="23">
        <v>44562</v>
      </c>
      <c r="C1103" s="9" t="str">
        <f>IF(ISNA(VLOOKUP(Y1103,Master!A$8:N$127,5,FALSE)),"",VLOOKUP(Y1103,Master!A$8:AH$127,5,FALSE))</f>
        <v/>
      </c>
      <c r="D1103" s="9" t="str">
        <f>IF(AND(C1103=""),"",IF(AND(Y1103=""),"",ROUND(C1103*Master!C$5%,0)))</f>
        <v/>
      </c>
      <c r="E1103" s="9" t="str">
        <f>IF(AND(C1103=""),"",IF(AND(Y1103=""),"",ROUND(C1103*Master!H$5%,0)))</f>
        <v/>
      </c>
      <c r="F1103" s="9" t="str">
        <f t="shared" ref="F1103:F1104" si="896">IF(AND(C1103=""),"",SUM(C1103:E1103))</f>
        <v/>
      </c>
      <c r="G1103" s="9" t="str">
        <f>IF(ISNA(VLOOKUP(Y1103,Master!A$8:N$127,5,FALSE)),"",VLOOKUP(Y1103,Master!A$8:AH$127,5,FALSE))</f>
        <v/>
      </c>
      <c r="H1103" s="9" t="str">
        <f>IF(AND(G1103=""),"",IF(AND(Y1103=""),"",ROUND(G1103*Master!C$4%,0)))</f>
        <v/>
      </c>
      <c r="I1103" s="9" t="str">
        <f>IF(AND(G1103=""),"",IF(AND(Y1103=""),"",ROUND(G1103*Master!H$4%,0)))</f>
        <v/>
      </c>
      <c r="J1103" s="9" t="str">
        <f t="shared" ref="J1103:J1105" si="897">IF(AND(C1103=""),"",SUM(G1103:I1103))</f>
        <v/>
      </c>
      <c r="K1103" s="9" t="str">
        <f t="shared" ref="K1103" si="898">IF(AND(C1103=""),"",IF(AND(G1103=""),"",C1103-G1103))</f>
        <v/>
      </c>
      <c r="L1103" s="9" t="str">
        <f>IF(AND(D1103=""),"",IF(AND(H1103=""),"",D1103-H1103))</f>
        <v/>
      </c>
      <c r="M1103" s="9" t="str">
        <f t="shared" ref="M1103:M1105" si="899">IF(AND(E1103=""),"",IF(AND(I1103=""),"",E1103-I1103))</f>
        <v/>
      </c>
      <c r="N1103" s="9" t="str">
        <f t="shared" ref="N1103" si="900">IF(AND(F1103=""),"",IF(AND(J1103=""),"",F1103-J1103))</f>
        <v/>
      </c>
      <c r="O1103" s="9" t="str">
        <f>IF(AND(C1103=""),"",N1103-P1103)</f>
        <v/>
      </c>
      <c r="P1103" s="9" t="str">
        <f>IF(AND(Y1103=""),"",IF(AND(N1103=""),"",ROUND(N1103*X$16%,0)))</f>
        <v/>
      </c>
      <c r="Q1103" s="9" t="str">
        <f>IF(AND(Y1103=""),"",IF(AND(C1103=""),"",IF(AND(O1103=""),"",SUM(O1103,P1103))))</f>
        <v/>
      </c>
      <c r="R1103" s="9" t="str">
        <f>IF(AND(N1103=""),"",IF(AND(Q1103=""),"",N1103-Q1103))</f>
        <v/>
      </c>
      <c r="S1103" s="20"/>
      <c r="X1103" s="62" t="s">
        <v>62</v>
      </c>
      <c r="Y1103" s="65">
        <v>98</v>
      </c>
    </row>
    <row r="1104" spans="1:27" ht="21" customHeight="1">
      <c r="A1104" s="8">
        <v>2</v>
      </c>
      <c r="B1104" s="23">
        <v>44593</v>
      </c>
      <c r="C1104" s="9" t="str">
        <f>IF(AND(Y1103=""),"",C1103)</f>
        <v/>
      </c>
      <c r="D1104" s="9" t="str">
        <f>IF(AND(C1104=""),"",IF(AND(Y1103=""),"",ROUND(C1104*Master!C$5%,0)))</f>
        <v/>
      </c>
      <c r="E1104" s="9" t="str">
        <f>IF(AND(C1104=""),"",IF(AND(Y1103=""),"",ROUND(C1104*Master!H$5%,0)))</f>
        <v/>
      </c>
      <c r="F1104" s="9" t="str">
        <f t="shared" si="896"/>
        <v/>
      </c>
      <c r="G1104" s="9" t="str">
        <f>IF(AND(Y1103=""),"",G1103)</f>
        <v/>
      </c>
      <c r="H1104" s="9" t="str">
        <f>IF(AND(G1104=""),"",IF(AND(Y1103=""),"",ROUND(G1104*Master!C$4%,0)))</f>
        <v/>
      </c>
      <c r="I1104" s="9" t="str">
        <f>IF(AND(G1104=""),"",IF(AND(Y1103=""),"",ROUND(G1104*Master!H$4%,0)))</f>
        <v/>
      </c>
      <c r="J1104" s="9" t="str">
        <f t="shared" si="897"/>
        <v/>
      </c>
      <c r="K1104" s="9" t="str">
        <f>IF(AND(C1104=""),"",IF(AND(G1104=""),"",C1104-G1104))</f>
        <v/>
      </c>
      <c r="L1104" s="9" t="str">
        <f t="shared" ref="L1104:L1105" si="901">IF(AND(D1104=""),"",IF(AND(H1104=""),"",D1104-H1104))</f>
        <v/>
      </c>
      <c r="M1104" s="9" t="str">
        <f t="shared" si="899"/>
        <v/>
      </c>
      <c r="N1104" s="9" t="str">
        <f>IF(AND(F1104=""),"",IF(AND(J1104=""),"",F1104-J1104))</f>
        <v/>
      </c>
      <c r="O1104" s="9" t="str">
        <f t="shared" ref="O1104:O1105" si="902">IF(AND(C1104=""),"",N1104-P1104)</f>
        <v/>
      </c>
      <c r="P1104" s="9" t="str">
        <f>IF(AND(Y1103=""),"",IF(AND(N1104=""),"",ROUND(N1104*X$16%,0)))</f>
        <v/>
      </c>
      <c r="Q1104" s="9" t="str">
        <f>IF(AND(Y1103=""),"",IF(AND(C1104=""),"",IF(AND(O1104=""),"",SUM(O1104,P1104))))</f>
        <v/>
      </c>
      <c r="R1104" s="9" t="str">
        <f t="shared" ref="R1104:R1105" si="903">IF(AND(N1104=""),"",IF(AND(Q1104=""),"",N1104-Q1104))</f>
        <v/>
      </c>
      <c r="S1104" s="20"/>
      <c r="X1104" s="4" t="str">
        <f>IF(ISNA(VLOOKUP(Y1103,Master!A$8:N$127,7,FALSE)),"",VLOOKUP(Y1103,Master!A$8:AH$127,7,FALSE))</f>
        <v/>
      </c>
    </row>
    <row r="1105" spans="1:25" ht="21" customHeight="1">
      <c r="A1105" s="8">
        <v>3</v>
      </c>
      <c r="B1105" s="23">
        <v>44621</v>
      </c>
      <c r="C1105" s="9" t="str">
        <f>IF(AND(Y1103=""),"",C1104)</f>
        <v/>
      </c>
      <c r="D1105" s="9" t="str">
        <f>IF(AND(C1105=""),"",IF(AND(Y1103=""),"",ROUND(C1105*Master!C$5%,0)))</f>
        <v/>
      </c>
      <c r="E1105" s="9" t="str">
        <f>IF(AND(C1105=""),"",IF(AND(Y1103=""),"",ROUND(C1105*Master!H$5%,0)))</f>
        <v/>
      </c>
      <c r="F1105" s="9" t="str">
        <f>IF(AND(C1105=""),"",SUM(C1105:E1105))</f>
        <v/>
      </c>
      <c r="G1105" s="9" t="str">
        <f>IF(AND(Y1103=""),"",G1104)</f>
        <v/>
      </c>
      <c r="H1105" s="9" t="str">
        <f>IF(AND(G1105=""),"",IF(AND(Y1103=""),"",ROUND(G1105*Master!C$4%,0)))</f>
        <v/>
      </c>
      <c r="I1105" s="9" t="str">
        <f>IF(AND(G1105=""),"",IF(AND(Y1103=""),"",ROUND(G1105*Master!H$4%,0)))</f>
        <v/>
      </c>
      <c r="J1105" s="9" t="str">
        <f t="shared" si="897"/>
        <v/>
      </c>
      <c r="K1105" s="9" t="str">
        <f t="shared" ref="K1105" si="904">IF(AND(C1105=""),"",IF(AND(G1105=""),"",C1105-G1105))</f>
        <v/>
      </c>
      <c r="L1105" s="9" t="str">
        <f t="shared" si="901"/>
        <v/>
      </c>
      <c r="M1105" s="9" t="str">
        <f t="shared" si="899"/>
        <v/>
      </c>
      <c r="N1105" s="9" t="str">
        <f t="shared" ref="N1105" si="905">IF(AND(F1105=""),"",IF(AND(J1105=""),"",F1105-J1105))</f>
        <v/>
      </c>
      <c r="O1105" s="9" t="str">
        <f t="shared" si="902"/>
        <v/>
      </c>
      <c r="P1105" s="9" t="str">
        <f>IF(AND(Y1103=""),"",IF(AND(N1105=""),"",ROUND(N1105*X$16%,0)))</f>
        <v/>
      </c>
      <c r="Q1105" s="9" t="str">
        <f>IF(AND(Y1103=""),"",IF(AND(C1105=""),"",IF(AND(O1105=""),"",SUM(O1105,P1105))))</f>
        <v/>
      </c>
      <c r="R1105" s="9" t="str">
        <f t="shared" si="903"/>
        <v/>
      </c>
      <c r="S1105" s="20"/>
    </row>
    <row r="1106" spans="1:25" ht="30.75" customHeight="1">
      <c r="A1106" s="108" t="s">
        <v>9</v>
      </c>
      <c r="B1106" s="109"/>
      <c r="C1106" s="64">
        <f>IF(AND(Y1103=""),"",SUM(C1103:C1105))</f>
        <v>0</v>
      </c>
      <c r="D1106" s="64">
        <f>IF(AND(Y1103=""),"",SUM(D1103:D1105))</f>
        <v>0</v>
      </c>
      <c r="E1106" s="64">
        <f>IF(AND(Y1103=""),"",SUM(E1103:E1105))</f>
        <v>0</v>
      </c>
      <c r="F1106" s="64">
        <f>IF(AND(Y1103=""),"",SUM(F1103:F1105))</f>
        <v>0</v>
      </c>
      <c r="G1106" s="64">
        <f>IF(AND(Y1103=""),"",SUM(G1103:G1105))</f>
        <v>0</v>
      </c>
      <c r="H1106" s="64">
        <f>IF(AND(Y1103=""),"",SUM(H1103:H1105))</f>
        <v>0</v>
      </c>
      <c r="I1106" s="64">
        <f>IF(AND(Y1103=""),"",SUM(I1103:I1105))</f>
        <v>0</v>
      </c>
      <c r="J1106" s="64">
        <f>IF(AND(Y1103=""),"",SUM(J1103:J1105))</f>
        <v>0</v>
      </c>
      <c r="K1106" s="64">
        <f>IF(AND(Y1103=""),"",SUM(K1103:K1105))</f>
        <v>0</v>
      </c>
      <c r="L1106" s="64">
        <f>IF(AND(Y1103=""),"",SUM(L1103:L1105))</f>
        <v>0</v>
      </c>
      <c r="M1106" s="64">
        <f>IF(AND(Y1103=""),"",SUM(M1103:M1105))</f>
        <v>0</v>
      </c>
      <c r="N1106" s="64">
        <f>IF(AND(Y1103=""),"",SUM(N1103:N1105))</f>
        <v>0</v>
      </c>
      <c r="O1106" s="64">
        <f>IF(AND(Y1103=""),"",SUM(O1103:O1105))</f>
        <v>0</v>
      </c>
      <c r="P1106" s="64">
        <f>IF(AND(Y1103=""),"",SUM(P1103:P1105))</f>
        <v>0</v>
      </c>
      <c r="Q1106" s="64">
        <f>IF(AND(Y1103=""),"",SUM(Q1103:Q1105))</f>
        <v>0</v>
      </c>
      <c r="R1106" s="64">
        <f>IF(AND(Y1103=""),"",SUM(R1103:R1105))</f>
        <v>0</v>
      </c>
      <c r="S1106" s="50"/>
    </row>
    <row r="1107" spans="1:25" ht="11.25" customHeight="1">
      <c r="A1107" s="75"/>
      <c r="B1107" s="75"/>
      <c r="C1107" s="76"/>
      <c r="D1107" s="76"/>
      <c r="E1107" s="76"/>
      <c r="F1107" s="76"/>
      <c r="G1107" s="76"/>
      <c r="H1107" s="76"/>
      <c r="I1107" s="76"/>
      <c r="J1107" s="76"/>
      <c r="K1107" s="76"/>
      <c r="L1107" s="76"/>
      <c r="M1107" s="76"/>
      <c r="N1107" s="76"/>
      <c r="O1107" s="76"/>
      <c r="P1107" s="76"/>
      <c r="Q1107" s="76"/>
      <c r="R1107" s="76"/>
      <c r="S1107" s="77"/>
    </row>
    <row r="1108" spans="1:25" ht="23.25" customHeight="1">
      <c r="E1108" s="116" t="s">
        <v>10</v>
      </c>
      <c r="F1108" s="116"/>
      <c r="G1108" s="116"/>
      <c r="H1108" s="116"/>
      <c r="I1108" s="116"/>
      <c r="J1108" s="115" t="str">
        <f>IF(ISNA(VLOOKUP(Y1110,Master!A$8:N$127,2,FALSE)),"",VLOOKUP(Y1110,Master!A$8:AH$127,2,FALSE))</f>
        <v/>
      </c>
      <c r="K1108" s="115"/>
      <c r="L1108" s="115"/>
      <c r="M1108" s="115"/>
      <c r="N1108" s="115"/>
      <c r="O1108" s="61" t="s">
        <v>31</v>
      </c>
      <c r="P1108" s="115" t="str">
        <f>IF(ISNA(VLOOKUP($Y$396,Master!A$8:N$127,3,FALSE)),"",VLOOKUP($Y$396,Master!A$8:AH$127,3,FALSE))</f>
        <v/>
      </c>
      <c r="Q1108" s="115"/>
      <c r="R1108" s="115"/>
      <c r="S1108" s="115"/>
    </row>
    <row r="1109" spans="1:25" ht="9" customHeight="1">
      <c r="E1109" s="19"/>
      <c r="F1109" s="53"/>
      <c r="G1109" s="22"/>
      <c r="H1109" s="22"/>
      <c r="I1109" s="22"/>
      <c r="J1109" s="5"/>
      <c r="K1109" s="5"/>
      <c r="L1109" s="5"/>
      <c r="M1109" s="5"/>
      <c r="N1109" s="5"/>
      <c r="O1109" s="6"/>
      <c r="P1109" s="6"/>
    </row>
    <row r="1110" spans="1:25" ht="21" customHeight="1">
      <c r="A1110" s="8">
        <v>1</v>
      </c>
      <c r="B1110" s="23">
        <v>44562</v>
      </c>
      <c r="C1110" s="9" t="str">
        <f>IF(ISNA(VLOOKUP(Y1110,Master!A$8:N$127,5,FALSE)),"",VLOOKUP(Y1110,Master!A$8:AH$127,5,FALSE))</f>
        <v/>
      </c>
      <c r="D1110" s="9" t="str">
        <f>IF(AND(C1110=""),"",IF(AND(Y1110=""),"",ROUND(C1110*Master!C$5%,0)))</f>
        <v/>
      </c>
      <c r="E1110" s="9" t="str">
        <f>IF(AND(C1110=""),"",IF(AND(Y1110=""),"",ROUND(C1110*Master!H$5%,0)))</f>
        <v/>
      </c>
      <c r="F1110" s="9" t="str">
        <f t="shared" ref="F1110:F1112" si="906">IF(AND(C1110=""),"",SUM(C1110:E1110))</f>
        <v/>
      </c>
      <c r="G1110" s="9" t="str">
        <f>IF(ISNA(VLOOKUP(Y1110,Master!A$8:N$127,5,FALSE)),"",VLOOKUP(Y1110,Master!A$8:AH$127,5,FALSE))</f>
        <v/>
      </c>
      <c r="H1110" s="9" t="str">
        <f>IF(AND(G1110=""),"",IF(AND(Y1110=""),"",ROUND(G1110*Master!C$4%,0)))</f>
        <v/>
      </c>
      <c r="I1110" s="9" t="str">
        <f>IF(AND(G1110=""),"",IF(AND(Y1110=""),"",ROUND(G1110*Master!H$4%,0)))</f>
        <v/>
      </c>
      <c r="J1110" s="9" t="str">
        <f t="shared" ref="J1110:J1112" si="907">IF(AND(C1110=""),"",SUM(G1110:I1110))</f>
        <v/>
      </c>
      <c r="K1110" s="9" t="str">
        <f t="shared" ref="K1110:K1112" si="908">IF(AND(C1110=""),"",IF(AND(G1110=""),"",C1110-G1110))</f>
        <v/>
      </c>
      <c r="L1110" s="9" t="str">
        <f t="shared" ref="L1110:L1112" si="909">IF(AND(D1110=""),"",IF(AND(H1110=""),"",D1110-H1110))</f>
        <v/>
      </c>
      <c r="M1110" s="9" t="str">
        <f t="shared" ref="M1110:M1112" si="910">IF(AND(E1110=""),"",IF(AND(I1110=""),"",E1110-I1110))</f>
        <v/>
      </c>
      <c r="N1110" s="9" t="str">
        <f t="shared" ref="N1110:N1112" si="911">IF(AND(F1110=""),"",IF(AND(J1110=""),"",F1110-J1110))</f>
        <v/>
      </c>
      <c r="O1110" s="9" t="str">
        <f>IF(AND(C1110=""),"",N1110-P1110)</f>
        <v/>
      </c>
      <c r="P1110" s="9" t="str">
        <f>IF(AND(Y1110=""),"",IF(AND(N1110=""),"",ROUND(N1110*AA$1%,0)))</f>
        <v/>
      </c>
      <c r="Q1110" s="9" t="str">
        <f>IF(AND(Y1110=""),"",IF(AND(C1110=""),"",IF(AND(O1110=""),"",SUM(O1110,P1110))))</f>
        <v/>
      </c>
      <c r="R1110" s="9" t="str">
        <f>IF(AND(N1110=""),"",IF(AND(Q1110=""),"",N1110-Q1110))</f>
        <v/>
      </c>
      <c r="S1110" s="20"/>
      <c r="X1110" s="62" t="s">
        <v>62</v>
      </c>
      <c r="Y1110" s="65">
        <v>99</v>
      </c>
    </row>
    <row r="1111" spans="1:25" ht="21" customHeight="1">
      <c r="A1111" s="8">
        <v>2</v>
      </c>
      <c r="B1111" s="23">
        <v>44593</v>
      </c>
      <c r="C1111" s="9" t="str">
        <f>IF(AND(Y1110=""),"",C1110)</f>
        <v/>
      </c>
      <c r="D1111" s="9" t="str">
        <f>IF(AND(C1111=""),"",IF(AND(Y1110=""),"",ROUND(C1111*Master!C$5%,0)))</f>
        <v/>
      </c>
      <c r="E1111" s="9" t="str">
        <f>IF(AND(C1111=""),"",IF(AND(Y1110=""),"",ROUND(C1111*Master!H$5%,0)))</f>
        <v/>
      </c>
      <c r="F1111" s="9" t="str">
        <f t="shared" si="906"/>
        <v/>
      </c>
      <c r="G1111" s="9" t="str">
        <f>IF(AND(Y1110=""),"",G1110)</f>
        <v/>
      </c>
      <c r="H1111" s="9" t="str">
        <f>IF(AND(G1111=""),"",IF(AND(Y1110=""),"",ROUND(G1111*Master!C$4%,0)))</f>
        <v/>
      </c>
      <c r="I1111" s="9" t="str">
        <f>IF(AND(G1111=""),"",IF(AND(Y1110=""),"",ROUND(G1111*Master!H$4%,0)))</f>
        <v/>
      </c>
      <c r="J1111" s="9" t="str">
        <f t="shared" si="907"/>
        <v/>
      </c>
      <c r="K1111" s="9" t="str">
        <f t="shared" si="908"/>
        <v/>
      </c>
      <c r="L1111" s="9" t="str">
        <f t="shared" si="909"/>
        <v/>
      </c>
      <c r="M1111" s="9" t="str">
        <f t="shared" si="910"/>
        <v/>
      </c>
      <c r="N1111" s="9" t="str">
        <f t="shared" si="911"/>
        <v/>
      </c>
      <c r="O1111" s="9" t="str">
        <f t="shared" ref="O1111:O1112" si="912">IF(AND(C1111=""),"",N1111-P1111)</f>
        <v/>
      </c>
      <c r="P1111" s="9" t="str">
        <f>IF(AND(Y1110=""),"",IF(AND(N1111=""),"",ROUND(N1111*AA$1%,0)))</f>
        <v/>
      </c>
      <c r="Q1111" s="9" t="str">
        <f>IF(AND(Y1110=""),"",IF(AND(C1111=""),"",IF(AND(O1111=""),"",SUM(O1111,P1111))))</f>
        <v/>
      </c>
      <c r="R1111" s="9" t="str">
        <f t="shared" ref="R1111:R1112" si="913">IF(AND(N1111=""),"",IF(AND(Q1111=""),"",N1111-Q1111))</f>
        <v/>
      </c>
      <c r="S1111" s="20"/>
      <c r="X1111" s="4" t="str">
        <f>IF(ISNA(VLOOKUP(Y1110,Master!A$8:N$127,7,FALSE)),"",VLOOKUP(Y1110,Master!A$8:AH$127,7,FALSE))</f>
        <v/>
      </c>
    </row>
    <row r="1112" spans="1:25" ht="21" customHeight="1">
      <c r="A1112" s="8">
        <v>3</v>
      </c>
      <c r="B1112" s="23">
        <v>44621</v>
      </c>
      <c r="C1112" s="9" t="str">
        <f>IF(AND(Y1110=""),"",C1111)</f>
        <v/>
      </c>
      <c r="D1112" s="9" t="str">
        <f>IF(AND(C1112=""),"",IF(AND(Y1110=""),"",ROUND(C1112*Master!C$5%,0)))</f>
        <v/>
      </c>
      <c r="E1112" s="9" t="str">
        <f>IF(AND(C1112=""),"",IF(AND(Y1110=""),"",ROUND(C1112*Master!H$5%,0)))</f>
        <v/>
      </c>
      <c r="F1112" s="9" t="str">
        <f t="shared" si="906"/>
        <v/>
      </c>
      <c r="G1112" s="9" t="str">
        <f>IF(AND(Y1110=""),"",G1111)</f>
        <v/>
      </c>
      <c r="H1112" s="9" t="str">
        <f>IF(AND(G1112=""),"",IF(AND(Y1110=""),"",ROUND(G1112*Master!C$4%,0)))</f>
        <v/>
      </c>
      <c r="I1112" s="9" t="str">
        <f>IF(AND(G1112=""),"",IF(AND(Y1110=""),"",ROUND(G1112*Master!H$4%,0)))</f>
        <v/>
      </c>
      <c r="J1112" s="9" t="str">
        <f t="shared" si="907"/>
        <v/>
      </c>
      <c r="K1112" s="9" t="str">
        <f t="shared" si="908"/>
        <v/>
      </c>
      <c r="L1112" s="9" t="str">
        <f t="shared" si="909"/>
        <v/>
      </c>
      <c r="M1112" s="9" t="str">
        <f t="shared" si="910"/>
        <v/>
      </c>
      <c r="N1112" s="9" t="str">
        <f t="shared" si="911"/>
        <v/>
      </c>
      <c r="O1112" s="9" t="str">
        <f t="shared" si="912"/>
        <v/>
      </c>
      <c r="P1112" s="9" t="str">
        <f>IF(AND(Y1110=""),"",IF(AND(N1112=""),"",ROUND(N1112*AA$1%,0)))</f>
        <v/>
      </c>
      <c r="Q1112" s="9" t="str">
        <f>IF(AND(Y1110=""),"",IF(AND(C1112=""),"",IF(AND(O1112=""),"",SUM(O1112,P1112))))</f>
        <v/>
      </c>
      <c r="R1112" s="9" t="str">
        <f t="shared" si="913"/>
        <v/>
      </c>
      <c r="S1112" s="20"/>
    </row>
    <row r="1113" spans="1:25" ht="30.75" customHeight="1">
      <c r="A1113" s="108" t="s">
        <v>9</v>
      </c>
      <c r="B1113" s="109"/>
      <c r="C1113" s="64">
        <f>IF(AND(Y1110=""),"",SUM(C1110:C1112))</f>
        <v>0</v>
      </c>
      <c r="D1113" s="64">
        <f>IF(AND(Y1110=""),"",SUM(D1110:D1112))</f>
        <v>0</v>
      </c>
      <c r="E1113" s="64">
        <f>IF(AND(Y1110=""),"",SUM(E1110:E1112))</f>
        <v>0</v>
      </c>
      <c r="F1113" s="64">
        <f>IF(AND(Y1110=""),"",SUM(F1110:F1112))</f>
        <v>0</v>
      </c>
      <c r="G1113" s="64">
        <f>IF(AND(Y1110=""),"",SUM(G1110:G1112))</f>
        <v>0</v>
      </c>
      <c r="H1113" s="64">
        <f>IF(AND(Y1110=""),"",SUM(H1110:H1112))</f>
        <v>0</v>
      </c>
      <c r="I1113" s="64">
        <f>IF(AND(Y1110=""),"",SUM(I1110:I1112))</f>
        <v>0</v>
      </c>
      <c r="J1113" s="64">
        <f>IF(AND(Y1110=""),"",SUM(J1110:J1112))</f>
        <v>0</v>
      </c>
      <c r="K1113" s="64">
        <f>IF(AND(Y1110=""),"",SUM(K1110:K1112))</f>
        <v>0</v>
      </c>
      <c r="L1113" s="64">
        <f>IF(AND(Y1110=""),"",SUM(L1110:L1112))</f>
        <v>0</v>
      </c>
      <c r="M1113" s="64">
        <f>IF(AND(Y1110=""),"",SUM(M1110:M1112))</f>
        <v>0</v>
      </c>
      <c r="N1113" s="64">
        <f>IF(AND(Y1110=""),"",SUM(N1110:N1112))</f>
        <v>0</v>
      </c>
      <c r="O1113" s="64">
        <f>IF(AND(Y1110=""),"",SUM(O1110:O1112))</f>
        <v>0</v>
      </c>
      <c r="P1113" s="64">
        <f>IF(AND(Y1110=""),"",SUM(P1110:P1112))</f>
        <v>0</v>
      </c>
      <c r="Q1113" s="64">
        <f>IF(AND(Y1110=""),"",SUM(Q1110:Q1112))</f>
        <v>0</v>
      </c>
      <c r="R1113" s="64">
        <f>IF(AND(Y1110=""),"",SUM(R1110:R1112))</f>
        <v>0</v>
      </c>
      <c r="S1113" s="50"/>
    </row>
    <row r="1114" spans="1:25" ht="30.75" customHeight="1">
      <c r="A1114" s="75"/>
      <c r="B1114" s="75"/>
      <c r="C1114" s="76"/>
      <c r="D1114" s="76"/>
      <c r="E1114" s="76"/>
      <c r="F1114" s="76"/>
      <c r="G1114" s="76"/>
      <c r="H1114" s="76"/>
      <c r="I1114" s="76"/>
      <c r="J1114" s="76"/>
      <c r="K1114" s="76"/>
      <c r="L1114" s="76"/>
      <c r="M1114" s="76"/>
      <c r="N1114" s="76"/>
      <c r="O1114" s="76"/>
      <c r="P1114" s="76"/>
      <c r="Q1114" s="76"/>
      <c r="R1114" s="76"/>
      <c r="S1114" s="77"/>
    </row>
    <row r="1115" spans="1:25" ht="18.75">
      <c r="A1115" s="21"/>
      <c r="B1115" s="59"/>
      <c r="C1115" s="59"/>
      <c r="D1115" s="59"/>
      <c r="E1115" s="59"/>
      <c r="F1115" s="59"/>
      <c r="G1115" s="59"/>
      <c r="H1115" s="60"/>
      <c r="I1115" s="60"/>
      <c r="J1115" s="60"/>
      <c r="K1115" s="68"/>
      <c r="L1115" s="68"/>
      <c r="M1115" s="68"/>
      <c r="N1115" s="68"/>
      <c r="O1115" s="107" t="s">
        <v>55</v>
      </c>
      <c r="P1115" s="107"/>
      <c r="Q1115" s="107"/>
      <c r="R1115" s="107"/>
      <c r="S1115" s="107"/>
    </row>
    <row r="1116" spans="1:25" ht="18.75">
      <c r="A1116" s="1"/>
      <c r="B1116" s="24" t="s">
        <v>19</v>
      </c>
      <c r="C1116" s="118"/>
      <c r="D1116" s="118"/>
      <c r="E1116" s="118"/>
      <c r="F1116" s="118"/>
      <c r="G1116" s="118"/>
      <c r="H1116" s="25"/>
      <c r="I1116" s="121" t="s">
        <v>20</v>
      </c>
      <c r="J1116" s="121"/>
      <c r="K1116" s="120"/>
      <c r="L1116" s="120"/>
      <c r="M1116" s="120"/>
      <c r="O1116" s="107"/>
      <c r="P1116" s="107"/>
      <c r="Q1116" s="107"/>
      <c r="R1116" s="107"/>
      <c r="S1116" s="107"/>
    </row>
    <row r="1117" spans="1:25" ht="18.75">
      <c r="A1117" s="1"/>
      <c r="B1117" s="119" t="s">
        <v>21</v>
      </c>
      <c r="C1117" s="119"/>
      <c r="D1117" s="119"/>
      <c r="E1117" s="119"/>
      <c r="F1117" s="119"/>
      <c r="G1117" s="119"/>
      <c r="H1117" s="119"/>
      <c r="I1117" s="27"/>
      <c r="J1117" s="26"/>
      <c r="K1117" s="26"/>
      <c r="L1117" s="26"/>
      <c r="M1117" s="26"/>
    </row>
    <row r="1118" spans="1:25" ht="18.75">
      <c r="A1118" s="22">
        <v>1</v>
      </c>
      <c r="B1118" s="117" t="s">
        <v>22</v>
      </c>
      <c r="C1118" s="117"/>
      <c r="D1118" s="117"/>
      <c r="E1118" s="117"/>
      <c r="F1118" s="117"/>
      <c r="G1118" s="117"/>
      <c r="H1118" s="117"/>
      <c r="I1118" s="28"/>
      <c r="J1118" s="26"/>
      <c r="K1118" s="26"/>
      <c r="L1118" s="26"/>
      <c r="M1118" s="26"/>
    </row>
    <row r="1119" spans="1:25" ht="18.75">
      <c r="A1119" s="2">
        <v>2</v>
      </c>
      <c r="B1119" s="117" t="s">
        <v>23</v>
      </c>
      <c r="C1119" s="117"/>
      <c r="D1119" s="117"/>
      <c r="E1119" s="117"/>
      <c r="F1119" s="117"/>
      <c r="G1119" s="115"/>
      <c r="H1119" s="115"/>
      <c r="I1119" s="115"/>
      <c r="J1119" s="115"/>
      <c r="K1119" s="115"/>
      <c r="L1119" s="115"/>
      <c r="M1119" s="115"/>
    </row>
    <row r="1120" spans="1:25" ht="18.75">
      <c r="A1120" s="3">
        <v>3</v>
      </c>
      <c r="B1120" s="117" t="s">
        <v>24</v>
      </c>
      <c r="C1120" s="117"/>
      <c r="D1120" s="117"/>
      <c r="E1120" s="29"/>
      <c r="F1120" s="28"/>
      <c r="G1120" s="28"/>
      <c r="H1120" s="30"/>
      <c r="I1120" s="31"/>
      <c r="J1120" s="26"/>
      <c r="K1120" s="26"/>
      <c r="L1120" s="26"/>
      <c r="M1120" s="26"/>
    </row>
    <row r="1121" spans="1:27" ht="15.75">
      <c r="O1121" s="107" t="s">
        <v>55</v>
      </c>
      <c r="P1121" s="107"/>
      <c r="Q1121" s="107"/>
      <c r="R1121" s="107"/>
      <c r="S1121" s="107"/>
    </row>
    <row r="1123" spans="1:27" ht="18" customHeight="1">
      <c r="A1123" s="122" t="str">
        <f>A1089</f>
        <v xml:space="preserve">DA (38%) Drawn Statement  </v>
      </c>
      <c r="B1123" s="122"/>
      <c r="C1123" s="122"/>
      <c r="D1123" s="122"/>
      <c r="E1123" s="122"/>
      <c r="F1123" s="122"/>
      <c r="G1123" s="122"/>
      <c r="H1123" s="122"/>
      <c r="I1123" s="122"/>
      <c r="J1123" s="122"/>
      <c r="K1123" s="122"/>
      <c r="L1123" s="122"/>
      <c r="M1123" s="122"/>
      <c r="N1123" s="122"/>
      <c r="O1123" s="122"/>
      <c r="P1123" s="122"/>
      <c r="Q1123" s="122"/>
      <c r="R1123" s="122"/>
      <c r="S1123" s="122"/>
      <c r="W1123" s="4">
        <f>IF(ISNA(VLOOKUP($Y$3,Master!A$8:N$127,4,FALSE)),"",VLOOKUP($Y$3,Master!A$8:AH$127,4,FALSE))</f>
        <v>3</v>
      </c>
      <c r="X1123" s="4" t="str">
        <f>IF(ISNA(VLOOKUP($Y$3,Master!A$8:N$127,6,FALSE)),"",VLOOKUP($Y$3,Master!A$8:AH$127,6,FALSE))</f>
        <v>GPF</v>
      </c>
      <c r="Y1123" s="4" t="s">
        <v>58</v>
      </c>
      <c r="Z1123" s="4" t="s">
        <v>18</v>
      </c>
      <c r="AA1123" s="4" t="str">
        <f>IF(ISNA(VLOOKUP(Y1125,Master!A$8:N$127,7,FALSE)),"",VLOOKUP(Y1125,Master!A$8:AH$127,7,FALSE))</f>
        <v/>
      </c>
    </row>
    <row r="1124" spans="1:27" ht="18">
      <c r="A1124" s="114" t="str">
        <f>IF(AND(Master!C1125=""),"",CONCATENATE("Office Of  ",Master!C1125))</f>
        <v/>
      </c>
      <c r="B1124" s="114"/>
      <c r="C1124" s="114"/>
      <c r="D1124" s="114"/>
      <c r="E1124" s="114"/>
      <c r="F1124" s="114"/>
      <c r="G1124" s="114"/>
      <c r="H1124" s="114"/>
      <c r="I1124" s="114"/>
      <c r="J1124" s="114"/>
      <c r="K1124" s="114"/>
      <c r="L1124" s="114"/>
      <c r="M1124" s="114"/>
      <c r="N1124" s="114"/>
      <c r="O1124" s="114"/>
      <c r="P1124" s="114"/>
      <c r="Q1124" s="114"/>
      <c r="R1124" s="114"/>
      <c r="S1124" s="114"/>
      <c r="X1124" s="4">
        <f>IF(ISNA(VLOOKUP($Y$3,Master!A$8:N$127,8,FALSE)),"",VLOOKUP($Y$3,Master!A$8:AH$127,8,FALSE))</f>
        <v>44743</v>
      </c>
      <c r="Y1124" s="4" t="s">
        <v>56</v>
      </c>
    </row>
    <row r="1125" spans="1:27" ht="18.75">
      <c r="E1125" s="116" t="s">
        <v>10</v>
      </c>
      <c r="F1125" s="116"/>
      <c r="G1125" s="116"/>
      <c r="H1125" s="116"/>
      <c r="I1125" s="116"/>
      <c r="J1125" s="115" t="str">
        <f>IF(ISNA(VLOOKUP(Y1125,Master!A$8:N$127,2,FALSE)),"",VLOOKUP(Y1125,Master!A$8:AH$127,2,FALSE))</f>
        <v/>
      </c>
      <c r="K1125" s="115"/>
      <c r="L1125" s="115"/>
      <c r="M1125" s="115"/>
      <c r="N1125" s="115"/>
      <c r="O1125" s="61" t="s">
        <v>31</v>
      </c>
      <c r="P1125" s="115" t="str">
        <f>IF(ISNA(VLOOKUP(Y1125,Master!A$8:N$127,3,FALSE)),"",VLOOKUP(Y1125,Master!A$8:AH$127,3,FALSE))</f>
        <v/>
      </c>
      <c r="Q1125" s="115"/>
      <c r="R1125" s="115"/>
      <c r="S1125" s="115"/>
      <c r="X1125" s="62" t="s">
        <v>62</v>
      </c>
      <c r="Y1125" s="65">
        <v>100</v>
      </c>
    </row>
    <row r="1126" spans="1:27" ht="8.25" customHeight="1">
      <c r="E1126" s="19"/>
      <c r="F1126" s="53"/>
      <c r="G1126" s="22"/>
      <c r="H1126" s="22"/>
      <c r="I1126" s="22"/>
      <c r="J1126" s="5"/>
      <c r="K1126" s="5"/>
      <c r="L1126" s="5"/>
      <c r="M1126" s="5"/>
      <c r="N1126" s="5"/>
      <c r="O1126" s="6"/>
      <c r="P1126" s="6"/>
    </row>
    <row r="1127" spans="1:27" ht="24.75" customHeight="1">
      <c r="A1127" s="110" t="s">
        <v>0</v>
      </c>
      <c r="B1127" s="111" t="s">
        <v>3</v>
      </c>
      <c r="C1127" s="112" t="s">
        <v>5</v>
      </c>
      <c r="D1127" s="112"/>
      <c r="E1127" s="112"/>
      <c r="F1127" s="112"/>
      <c r="G1127" s="112" t="s">
        <v>6</v>
      </c>
      <c r="H1127" s="112"/>
      <c r="I1127" s="112"/>
      <c r="J1127" s="112"/>
      <c r="K1127" s="112" t="s">
        <v>7</v>
      </c>
      <c r="L1127" s="112"/>
      <c r="M1127" s="112"/>
      <c r="N1127" s="112"/>
      <c r="O1127" s="97" t="s">
        <v>8</v>
      </c>
      <c r="P1127" s="98"/>
      <c r="Q1127" s="99"/>
      <c r="R1127" s="105" t="s">
        <v>67</v>
      </c>
      <c r="S1127" s="105" t="s">
        <v>50</v>
      </c>
    </row>
    <row r="1128" spans="1:27" ht="69" customHeight="1">
      <c r="A1128" s="110"/>
      <c r="B1128" s="111"/>
      <c r="C1128" s="55" t="s">
        <v>29</v>
      </c>
      <c r="D1128" s="56" t="s">
        <v>1</v>
      </c>
      <c r="E1128" s="57" t="s">
        <v>2</v>
      </c>
      <c r="F1128" s="55" t="s">
        <v>59</v>
      </c>
      <c r="G1128" s="55" t="s">
        <v>29</v>
      </c>
      <c r="H1128" s="56" t="s">
        <v>1</v>
      </c>
      <c r="I1128" s="57" t="s">
        <v>2</v>
      </c>
      <c r="J1128" s="55" t="s">
        <v>60</v>
      </c>
      <c r="K1128" s="55" t="s">
        <v>4</v>
      </c>
      <c r="L1128" s="56" t="s">
        <v>1</v>
      </c>
      <c r="M1128" s="57" t="s">
        <v>2</v>
      </c>
      <c r="N1128" s="58" t="s">
        <v>61</v>
      </c>
      <c r="O1128" s="54" t="s">
        <v>83</v>
      </c>
      <c r="P1128" s="67" t="s">
        <v>51</v>
      </c>
      <c r="Q1128" s="58" t="s">
        <v>66</v>
      </c>
      <c r="R1128" s="105"/>
      <c r="S1128" s="105"/>
    </row>
    <row r="1129" spans="1:27" ht="18" customHeight="1">
      <c r="A1129" s="7">
        <v>1</v>
      </c>
      <c r="B1129" s="7">
        <v>2</v>
      </c>
      <c r="C1129" s="7">
        <v>3</v>
      </c>
      <c r="D1129" s="7">
        <v>4</v>
      </c>
      <c r="E1129" s="7">
        <v>5</v>
      </c>
      <c r="F1129" s="7">
        <v>6</v>
      </c>
      <c r="G1129" s="7">
        <v>7</v>
      </c>
      <c r="H1129" s="7">
        <v>8</v>
      </c>
      <c r="I1129" s="7">
        <v>9</v>
      </c>
      <c r="J1129" s="7">
        <v>10</v>
      </c>
      <c r="K1129" s="7">
        <v>11</v>
      </c>
      <c r="L1129" s="7">
        <v>12</v>
      </c>
      <c r="M1129" s="7">
        <v>13</v>
      </c>
      <c r="N1129" s="7">
        <v>14</v>
      </c>
      <c r="O1129" s="7">
        <v>15</v>
      </c>
      <c r="P1129" s="7">
        <v>17</v>
      </c>
      <c r="Q1129" s="7">
        <v>18</v>
      </c>
      <c r="R1129" s="7">
        <v>19</v>
      </c>
      <c r="S1129" s="7">
        <v>20</v>
      </c>
    </row>
    <row r="1130" spans="1:27" ht="21" customHeight="1">
      <c r="A1130" s="8">
        <v>1</v>
      </c>
      <c r="B1130" s="23">
        <v>44562</v>
      </c>
      <c r="C1130" s="9" t="str">
        <f>IF(ISNA(VLOOKUP(Y1125,Master!A$8:N$127,5,FALSE)),"",VLOOKUP(Y1125,Master!A$8:AH$127,5,FALSE))</f>
        <v/>
      </c>
      <c r="D1130" s="9" t="str">
        <f>IF(AND(C1130=""),"",IF(AND(Y1125=""),"",ROUND(C1130*Master!C$5%,0)))</f>
        <v/>
      </c>
      <c r="E1130" s="9" t="str">
        <f>IF(AND(C1130=""),"",IF(AND(Y1125=""),"",ROUND(C1130*Master!H$5%,0)))</f>
        <v/>
      </c>
      <c r="F1130" s="9" t="str">
        <f t="shared" ref="F1130" si="914">IF(AND(C1130=""),"",SUM(C1130:E1130))</f>
        <v/>
      </c>
      <c r="G1130" s="9" t="str">
        <f>IF(ISNA(VLOOKUP(Y1125,Master!A$8:N$127,5,FALSE)),"",VLOOKUP(Y1125,Master!A$8:AH$127,5,FALSE))</f>
        <v/>
      </c>
      <c r="H1130" s="9" t="str">
        <f>IF(AND(G1130=""),"",IF(AND(Y1125=""),"",ROUND(G1130*Master!C$4%,0)))</f>
        <v/>
      </c>
      <c r="I1130" s="9" t="str">
        <f>IF(AND(G1130=""),"",IF(AND(Y1125=""),"",ROUND(G1130*Master!H$4%,0)))</f>
        <v/>
      </c>
      <c r="J1130" s="9" t="str">
        <f t="shared" ref="J1130:J1131" si="915">IF(AND(C1130=""),"",SUM(G1130:I1130))</f>
        <v/>
      </c>
      <c r="K1130" s="9" t="str">
        <f t="shared" ref="K1130:K1132" si="916">IF(AND(C1130=""),"",IF(AND(G1130=""),"",C1130-G1130))</f>
        <v/>
      </c>
      <c r="L1130" s="9" t="str">
        <f t="shared" ref="L1130:L1132" si="917">IF(AND(D1130=""),"",IF(AND(H1130=""),"",D1130-H1130))</f>
        <v/>
      </c>
      <c r="M1130" s="9" t="str">
        <f t="shared" ref="M1130:M1131" si="918">IF(AND(E1130=""),"",IF(AND(I1130=""),"",E1130-I1130))</f>
        <v/>
      </c>
      <c r="N1130" s="9" t="str">
        <f t="shared" ref="N1130:N1131" si="919">IF(AND(F1130=""),"",IF(AND(J1130=""),"",F1130-J1130))</f>
        <v/>
      </c>
      <c r="O1130" s="9" t="str">
        <f>IF(AND(C1130=""),"",N1130-P1130)</f>
        <v/>
      </c>
      <c r="P1130" s="9" t="str">
        <f>IF(AND(Y1125=""),"",IF(AND(N1130=""),"",ROUND(N1130*AA$1%,0)))</f>
        <v/>
      </c>
      <c r="Q1130" s="9" t="str">
        <f>IF(AND(Y1125=""),"",IF(AND(C1130=""),"",IF(AND(O1130=""),"",SUM(O1130,P1130))))</f>
        <v/>
      </c>
      <c r="R1130" s="9" t="str">
        <f>IF(AND(N1130=""),"",IF(AND(Q1130=""),"",N1130-Q1130))</f>
        <v/>
      </c>
      <c r="S1130" s="20"/>
    </row>
    <row r="1131" spans="1:27" ht="21" customHeight="1">
      <c r="A1131" s="8">
        <v>2</v>
      </c>
      <c r="B1131" s="23">
        <v>44593</v>
      </c>
      <c r="C1131" s="9" t="str">
        <f>IF(AND(Y1125=""),"",C1130)</f>
        <v/>
      </c>
      <c r="D1131" s="9" t="str">
        <f>IF(AND(C1131=""),"",IF(AND(Y1125=""),"",ROUND(C1131*Master!C$5%,0)))</f>
        <v/>
      </c>
      <c r="E1131" s="9" t="str">
        <f>IF(AND(C1131=""),"",IF(AND(Y1125=""),"",ROUND(C1131*Master!H$5%,0)))</f>
        <v/>
      </c>
      <c r="F1131" s="9" t="str">
        <f>IF(AND(C1131=""),"",SUM(C1131:E1131))</f>
        <v/>
      </c>
      <c r="G1131" s="9" t="str">
        <f>IF(AND(Y1125=""),"",G1130)</f>
        <v/>
      </c>
      <c r="H1131" s="9" t="str">
        <f>IF(AND(G1131=""),"",IF(AND(Y1125=""),"",ROUND(G1131*Master!C$4%,0)))</f>
        <v/>
      </c>
      <c r="I1131" s="9" t="str">
        <f>IF(AND(G1131=""),"",IF(AND(Y1125=""),"",ROUND(G1131*Master!H$4%,0)))</f>
        <v/>
      </c>
      <c r="J1131" s="9" t="str">
        <f t="shared" si="915"/>
        <v/>
      </c>
      <c r="K1131" s="9" t="str">
        <f t="shared" si="916"/>
        <v/>
      </c>
      <c r="L1131" s="9" t="str">
        <f t="shared" si="917"/>
        <v/>
      </c>
      <c r="M1131" s="9" t="str">
        <f t="shared" si="918"/>
        <v/>
      </c>
      <c r="N1131" s="9" t="str">
        <f t="shared" si="919"/>
        <v/>
      </c>
      <c r="O1131" s="9" t="str">
        <f t="shared" ref="O1131:O1132" si="920">IF(AND(C1131=""),"",N1131-P1131)</f>
        <v/>
      </c>
      <c r="P1131" s="9" t="str">
        <f>IF(AND(Y1125=""),"",IF(AND(N1131=""),"",ROUND(N1131*AA$1%,0)))</f>
        <v/>
      </c>
      <c r="Q1131" s="9" t="str">
        <f>IF(AND(Y1125=""),"",IF(AND(C1131=""),"",IF(AND(O1131=""),"",SUM(O1131,P1131))))</f>
        <v/>
      </c>
      <c r="R1131" s="9" t="str">
        <f t="shared" ref="R1131:R1132" si="921">IF(AND(N1131=""),"",IF(AND(Q1131=""),"",N1131-Q1131))</f>
        <v/>
      </c>
      <c r="S1131" s="20"/>
    </row>
    <row r="1132" spans="1:27" ht="21" customHeight="1">
      <c r="A1132" s="8">
        <v>3</v>
      </c>
      <c r="B1132" s="23">
        <v>44621</v>
      </c>
      <c r="C1132" s="9" t="str">
        <f>IF(AND(Y1125=""),"",C1131)</f>
        <v/>
      </c>
      <c r="D1132" s="9" t="str">
        <f>IF(AND(C1132=""),"",IF(AND(Y1125=""),"",ROUND(C1132*Master!C$5%,0)))</f>
        <v/>
      </c>
      <c r="E1132" s="9" t="str">
        <f>IF(AND(C1132=""),"",IF(AND(Y1125=""),"",ROUND(C1132*Master!H$5%,0)))</f>
        <v/>
      </c>
      <c r="F1132" s="9" t="str">
        <f t="shared" ref="F1132" si="922">IF(AND(C1132=""),"",SUM(C1132:E1132))</f>
        <v/>
      </c>
      <c r="G1132" s="9" t="str">
        <f>IF(AND(Y1125=""),"",G1131)</f>
        <v/>
      </c>
      <c r="H1132" s="9" t="str">
        <f>IF(AND(G1132=""),"",IF(AND(Y1125=""),"",ROUND(G1132*Master!C$4%,0)))</f>
        <v/>
      </c>
      <c r="I1132" s="9" t="str">
        <f>IF(AND(G1132=""),"",IF(AND(Y1125=""),"",ROUND(G1132*Master!H$4%,0)))</f>
        <v/>
      </c>
      <c r="J1132" s="9" t="str">
        <f>IF(AND(C1132=""),"",SUM(G1132:I1132))</f>
        <v/>
      </c>
      <c r="K1132" s="9" t="str">
        <f t="shared" si="916"/>
        <v/>
      </c>
      <c r="L1132" s="9" t="str">
        <f t="shared" si="917"/>
        <v/>
      </c>
      <c r="M1132" s="9" t="str">
        <f>IF(AND(E1132=""),"",IF(AND(I1132=""),"",E1132-I1132))</f>
        <v/>
      </c>
      <c r="N1132" s="9" t="str">
        <f>IF(AND(F1132=""),"",IF(AND(J1132=""),"",F1132-J1132))</f>
        <v/>
      </c>
      <c r="O1132" s="9" t="str">
        <f t="shared" si="920"/>
        <v/>
      </c>
      <c r="P1132" s="9" t="str">
        <f>IF(AND(Y1125=""),"",IF(AND(N1132=""),"",ROUND(N1132*AA$1%,0)))</f>
        <v/>
      </c>
      <c r="Q1132" s="9" t="str">
        <f>IF(AND(Y1125=""),"",IF(AND(C1132=""),"",IF(AND(O1132=""),"",SUM(O1132,P1132))))</f>
        <v/>
      </c>
      <c r="R1132" s="9" t="str">
        <f t="shared" si="921"/>
        <v/>
      </c>
      <c r="S1132" s="20"/>
    </row>
    <row r="1133" spans="1:27" ht="23.25" customHeight="1">
      <c r="A1133" s="108" t="s">
        <v>9</v>
      </c>
      <c r="B1133" s="109"/>
      <c r="C1133" s="64">
        <f>IF(AND(Y1125=""),"",SUM(C1130:C1132))</f>
        <v>0</v>
      </c>
      <c r="D1133" s="64">
        <f>IF(AND(Y1125=""),"",SUM(D1130:D1132))</f>
        <v>0</v>
      </c>
      <c r="E1133" s="64">
        <f>IF(AND(Y1125=""),"",SUM(E1130:E1132))</f>
        <v>0</v>
      </c>
      <c r="F1133" s="64">
        <f>IF(AND(Y1125=""),"",SUM(F1130:F1132))</f>
        <v>0</v>
      </c>
      <c r="G1133" s="64">
        <f>IF(AND(Y1125=""),"",SUM(G1130:G1132))</f>
        <v>0</v>
      </c>
      <c r="H1133" s="64">
        <f>IF(AND(Y1125=""),"",SUM(H1130:H1132))</f>
        <v>0</v>
      </c>
      <c r="I1133" s="64">
        <f>IF(AND(Y1125=""),"",SUM(I1130:I1132))</f>
        <v>0</v>
      </c>
      <c r="J1133" s="64">
        <f>IF(AND(Y1125=""),"",SUM(J1130:J1132))</f>
        <v>0</v>
      </c>
      <c r="K1133" s="64">
        <f>IF(AND(Y1125=""),"",SUM(K1130:K1132))</f>
        <v>0</v>
      </c>
      <c r="L1133" s="64">
        <f>IF(AND(Y1125=""),"",SUM(L1130:L1132))</f>
        <v>0</v>
      </c>
      <c r="M1133" s="64">
        <f>IF(AND(Y1125=""),"",SUM(M1130:M1132))</f>
        <v>0</v>
      </c>
      <c r="N1133" s="64">
        <f>IF(AND(Y1125=""),"",SUM(N1130:N1132))</f>
        <v>0</v>
      </c>
      <c r="O1133" s="64">
        <f>IF(AND(Y1125=""),"",SUM(O1130:O1132))</f>
        <v>0</v>
      </c>
      <c r="P1133" s="64">
        <f>IF(AND(Y1125=""),"",SUM(P1130:P1132))</f>
        <v>0</v>
      </c>
      <c r="Q1133" s="64">
        <f>IF(AND(Y1125=""),"",SUM(Q1130:Q1132))</f>
        <v>0</v>
      </c>
      <c r="R1133" s="64">
        <f>IF(AND(Y1125=""),"",SUM(R1130:R1132))</f>
        <v>0</v>
      </c>
      <c r="S1133" s="50"/>
    </row>
    <row r="1134" spans="1:27" ht="10.5" customHeight="1">
      <c r="A1134" s="75"/>
      <c r="B1134" s="75"/>
      <c r="C1134" s="76"/>
      <c r="D1134" s="76"/>
      <c r="E1134" s="76"/>
      <c r="F1134" s="76"/>
      <c r="G1134" s="76"/>
      <c r="H1134" s="76"/>
      <c r="I1134" s="76"/>
      <c r="J1134" s="76"/>
      <c r="K1134" s="76"/>
      <c r="L1134" s="76"/>
      <c r="M1134" s="76"/>
      <c r="N1134" s="76"/>
      <c r="O1134" s="76"/>
      <c r="P1134" s="76"/>
      <c r="Q1134" s="76"/>
      <c r="R1134" s="76"/>
      <c r="S1134" s="77"/>
    </row>
    <row r="1135" spans="1:27" ht="23.25" customHeight="1">
      <c r="E1135" s="116" t="s">
        <v>10</v>
      </c>
      <c r="F1135" s="116"/>
      <c r="G1135" s="116"/>
      <c r="H1135" s="116"/>
      <c r="I1135" s="116"/>
      <c r="J1135" s="115" t="str">
        <f>IF(ISNA(VLOOKUP(Y1137,Master!A$8:N$127,2,FALSE)),"",VLOOKUP(Y1137,Master!A$8:AH$127,2,FALSE))</f>
        <v/>
      </c>
      <c r="K1135" s="115"/>
      <c r="L1135" s="115"/>
      <c r="M1135" s="115"/>
      <c r="N1135" s="115"/>
      <c r="O1135" s="61" t="s">
        <v>31</v>
      </c>
      <c r="P1135" s="115" t="str">
        <f>IF(ISNA(VLOOKUP(Y1137,Master!A$8:N$127,3,FALSE)),"",VLOOKUP(Y1137,Master!A$8:AH$127,3,FALSE))</f>
        <v/>
      </c>
      <c r="Q1135" s="115"/>
      <c r="R1135" s="115"/>
      <c r="S1135" s="115"/>
    </row>
    <row r="1136" spans="1:27" ht="9" customHeight="1">
      <c r="E1136" s="19"/>
      <c r="F1136" s="53"/>
      <c r="G1136" s="22"/>
      <c r="H1136" s="22"/>
      <c r="I1136" s="22"/>
      <c r="J1136" s="5"/>
      <c r="K1136" s="5"/>
      <c r="L1136" s="5"/>
      <c r="M1136" s="5"/>
      <c r="N1136" s="5"/>
      <c r="O1136" s="6"/>
      <c r="P1136" s="6"/>
    </row>
    <row r="1137" spans="1:25" ht="21" customHeight="1">
      <c r="A1137" s="8">
        <v>1</v>
      </c>
      <c r="B1137" s="23">
        <v>44562</v>
      </c>
      <c r="C1137" s="9" t="str">
        <f>IF(ISNA(VLOOKUP(Y1137,Master!A$8:N$127,5,FALSE)),"",VLOOKUP(Y1137,Master!A$8:AH$127,5,FALSE))</f>
        <v/>
      </c>
      <c r="D1137" s="9" t="str">
        <f>IF(AND(C1137=""),"",IF(AND(Y1137=""),"",ROUND(C1137*Master!C$5%,0)))</f>
        <v/>
      </c>
      <c r="E1137" s="9" t="str">
        <f>IF(AND(C1137=""),"",IF(AND(Y1137=""),"",ROUND(C1137*Master!H$5%,0)))</f>
        <v/>
      </c>
      <c r="F1137" s="9" t="str">
        <f t="shared" ref="F1137:F1138" si="923">IF(AND(C1137=""),"",SUM(C1137:E1137))</f>
        <v/>
      </c>
      <c r="G1137" s="9" t="str">
        <f>IF(ISNA(VLOOKUP(Y1137,Master!A$8:N$127,5,FALSE)),"",VLOOKUP(Y1137,Master!A$8:AH$127,5,FALSE))</f>
        <v/>
      </c>
      <c r="H1137" s="9" t="str">
        <f>IF(AND(G1137=""),"",IF(AND(Y1137=""),"",ROUND(G1137*Master!C$4%,0)))</f>
        <v/>
      </c>
      <c r="I1137" s="9" t="str">
        <f>IF(AND(G1137=""),"",IF(AND(Y1137=""),"",ROUND(G1137*Master!H$4%,0)))</f>
        <v/>
      </c>
      <c r="J1137" s="9" t="str">
        <f t="shared" ref="J1137:J1139" si="924">IF(AND(C1137=""),"",SUM(G1137:I1137))</f>
        <v/>
      </c>
      <c r="K1137" s="9" t="str">
        <f t="shared" ref="K1137" si="925">IF(AND(C1137=""),"",IF(AND(G1137=""),"",C1137-G1137))</f>
        <v/>
      </c>
      <c r="L1137" s="9" t="str">
        <f>IF(AND(D1137=""),"",IF(AND(H1137=""),"",D1137-H1137))</f>
        <v/>
      </c>
      <c r="M1137" s="9" t="str">
        <f t="shared" ref="M1137:M1139" si="926">IF(AND(E1137=""),"",IF(AND(I1137=""),"",E1137-I1137))</f>
        <v/>
      </c>
      <c r="N1137" s="9" t="str">
        <f t="shared" ref="N1137" si="927">IF(AND(F1137=""),"",IF(AND(J1137=""),"",F1137-J1137))</f>
        <v/>
      </c>
      <c r="O1137" s="9" t="str">
        <f>IF(AND(C1137=""),"",N1137-P1137)</f>
        <v/>
      </c>
      <c r="P1137" s="9" t="str">
        <f>IF(AND(Y1137=""),"",IF(AND(N1137=""),"",ROUND(N1137*X$16%,0)))</f>
        <v/>
      </c>
      <c r="Q1137" s="9" t="str">
        <f>IF(AND(Y1137=""),"",IF(AND(C1137=""),"",IF(AND(O1137=""),"",SUM(O1137,P1137))))</f>
        <v/>
      </c>
      <c r="R1137" s="9" t="str">
        <f>IF(AND(N1137=""),"",IF(AND(Q1137=""),"",N1137-Q1137))</f>
        <v/>
      </c>
      <c r="S1137" s="20"/>
      <c r="X1137" s="62" t="s">
        <v>62</v>
      </c>
      <c r="Y1137" s="65">
        <v>101</v>
      </c>
    </row>
    <row r="1138" spans="1:25" ht="21" customHeight="1">
      <c r="A1138" s="8">
        <v>2</v>
      </c>
      <c r="B1138" s="23">
        <v>44593</v>
      </c>
      <c r="C1138" s="9" t="str">
        <f>IF(AND(Y1137=""),"",C1137)</f>
        <v/>
      </c>
      <c r="D1138" s="9" t="str">
        <f>IF(AND(C1138=""),"",IF(AND(Y1137=""),"",ROUND(C1138*Master!C$5%,0)))</f>
        <v/>
      </c>
      <c r="E1138" s="9" t="str">
        <f>IF(AND(C1138=""),"",IF(AND(Y1137=""),"",ROUND(C1138*Master!H$5%,0)))</f>
        <v/>
      </c>
      <c r="F1138" s="9" t="str">
        <f t="shared" si="923"/>
        <v/>
      </c>
      <c r="G1138" s="9" t="str">
        <f>IF(AND(Y1137=""),"",G1137)</f>
        <v/>
      </c>
      <c r="H1138" s="9" t="str">
        <f>IF(AND(G1138=""),"",IF(AND(Y1137=""),"",ROUND(G1138*Master!C$4%,0)))</f>
        <v/>
      </c>
      <c r="I1138" s="9" t="str">
        <f>IF(AND(G1138=""),"",IF(AND(Y1137=""),"",ROUND(G1138*Master!H$4%,0)))</f>
        <v/>
      </c>
      <c r="J1138" s="9" t="str">
        <f t="shared" si="924"/>
        <v/>
      </c>
      <c r="K1138" s="9" t="str">
        <f>IF(AND(C1138=""),"",IF(AND(G1138=""),"",C1138-G1138))</f>
        <v/>
      </c>
      <c r="L1138" s="9" t="str">
        <f t="shared" ref="L1138:L1139" si="928">IF(AND(D1138=""),"",IF(AND(H1138=""),"",D1138-H1138))</f>
        <v/>
      </c>
      <c r="M1138" s="9" t="str">
        <f t="shared" si="926"/>
        <v/>
      </c>
      <c r="N1138" s="9" t="str">
        <f>IF(AND(F1138=""),"",IF(AND(J1138=""),"",F1138-J1138))</f>
        <v/>
      </c>
      <c r="O1138" s="9" t="str">
        <f t="shared" ref="O1138:O1139" si="929">IF(AND(C1138=""),"",N1138-P1138)</f>
        <v/>
      </c>
      <c r="P1138" s="9" t="str">
        <f>IF(AND(Y1137=""),"",IF(AND(N1138=""),"",ROUND(N1138*X$16%,0)))</f>
        <v/>
      </c>
      <c r="Q1138" s="9" t="str">
        <f>IF(AND(Y1137=""),"",IF(AND(C1138=""),"",IF(AND(O1138=""),"",SUM(O1138,P1138))))</f>
        <v/>
      </c>
      <c r="R1138" s="9" t="str">
        <f t="shared" ref="R1138:R1139" si="930">IF(AND(N1138=""),"",IF(AND(Q1138=""),"",N1138-Q1138))</f>
        <v/>
      </c>
      <c r="S1138" s="20"/>
      <c r="X1138" s="4" t="str">
        <f>IF(ISNA(VLOOKUP(Y1137,Master!A$8:N$127,7,FALSE)),"",VLOOKUP(Y1137,Master!A$8:AH$127,7,FALSE))</f>
        <v/>
      </c>
    </row>
    <row r="1139" spans="1:25" ht="21" customHeight="1">
      <c r="A1139" s="8">
        <v>3</v>
      </c>
      <c r="B1139" s="23">
        <v>44621</v>
      </c>
      <c r="C1139" s="9" t="str">
        <f>IF(AND(Y1137=""),"",C1138)</f>
        <v/>
      </c>
      <c r="D1139" s="9" t="str">
        <f>IF(AND(C1139=""),"",IF(AND(Y1137=""),"",ROUND(C1139*Master!C$5%,0)))</f>
        <v/>
      </c>
      <c r="E1139" s="9" t="str">
        <f>IF(AND(C1139=""),"",IF(AND(Y1137=""),"",ROUND(C1139*Master!H$5%,0)))</f>
        <v/>
      </c>
      <c r="F1139" s="9" t="str">
        <f>IF(AND(C1139=""),"",SUM(C1139:E1139))</f>
        <v/>
      </c>
      <c r="G1139" s="9" t="str">
        <f>IF(AND(Y1137=""),"",G1138)</f>
        <v/>
      </c>
      <c r="H1139" s="9" t="str">
        <f>IF(AND(G1139=""),"",IF(AND(Y1137=""),"",ROUND(G1139*Master!C$4%,0)))</f>
        <v/>
      </c>
      <c r="I1139" s="9" t="str">
        <f>IF(AND(G1139=""),"",IF(AND(Y1137=""),"",ROUND(G1139*Master!H$4%,0)))</f>
        <v/>
      </c>
      <c r="J1139" s="9" t="str">
        <f t="shared" si="924"/>
        <v/>
      </c>
      <c r="K1139" s="9" t="str">
        <f t="shared" ref="K1139" si="931">IF(AND(C1139=""),"",IF(AND(G1139=""),"",C1139-G1139))</f>
        <v/>
      </c>
      <c r="L1139" s="9" t="str">
        <f t="shared" si="928"/>
        <v/>
      </c>
      <c r="M1139" s="9" t="str">
        <f t="shared" si="926"/>
        <v/>
      </c>
      <c r="N1139" s="9" t="str">
        <f t="shared" ref="N1139" si="932">IF(AND(F1139=""),"",IF(AND(J1139=""),"",F1139-J1139))</f>
        <v/>
      </c>
      <c r="O1139" s="9" t="str">
        <f t="shared" si="929"/>
        <v/>
      </c>
      <c r="P1139" s="9" t="str">
        <f>IF(AND(Y1137=""),"",IF(AND(N1139=""),"",ROUND(N1139*X$16%,0)))</f>
        <v/>
      </c>
      <c r="Q1139" s="9" t="str">
        <f>IF(AND(Y1137=""),"",IF(AND(C1139=""),"",IF(AND(O1139=""),"",SUM(O1139,P1139))))</f>
        <v/>
      </c>
      <c r="R1139" s="9" t="str">
        <f t="shared" si="930"/>
        <v/>
      </c>
      <c r="S1139" s="20"/>
    </row>
    <row r="1140" spans="1:25" ht="30.75" customHeight="1">
      <c r="A1140" s="108" t="s">
        <v>9</v>
      </c>
      <c r="B1140" s="109"/>
      <c r="C1140" s="64">
        <f>IF(AND(Y1137=""),"",SUM(C1137:C1139))</f>
        <v>0</v>
      </c>
      <c r="D1140" s="64">
        <f>IF(AND(Y1137=""),"",SUM(D1137:D1139))</f>
        <v>0</v>
      </c>
      <c r="E1140" s="64">
        <f>IF(AND(Y1137=""),"",SUM(E1137:E1139))</f>
        <v>0</v>
      </c>
      <c r="F1140" s="64">
        <f>IF(AND(Y1137=""),"",SUM(F1137:F1139))</f>
        <v>0</v>
      </c>
      <c r="G1140" s="64">
        <f>IF(AND(Y1137=""),"",SUM(G1137:G1139))</f>
        <v>0</v>
      </c>
      <c r="H1140" s="64">
        <f>IF(AND(Y1137=""),"",SUM(H1137:H1139))</f>
        <v>0</v>
      </c>
      <c r="I1140" s="64">
        <f>IF(AND(Y1137=""),"",SUM(I1137:I1139))</f>
        <v>0</v>
      </c>
      <c r="J1140" s="64">
        <f>IF(AND(Y1137=""),"",SUM(J1137:J1139))</f>
        <v>0</v>
      </c>
      <c r="K1140" s="64">
        <f>IF(AND(Y1137=""),"",SUM(K1137:K1139))</f>
        <v>0</v>
      </c>
      <c r="L1140" s="64">
        <f>IF(AND(Y1137=""),"",SUM(L1137:L1139))</f>
        <v>0</v>
      </c>
      <c r="M1140" s="64">
        <f>IF(AND(Y1137=""),"",SUM(M1137:M1139))</f>
        <v>0</v>
      </c>
      <c r="N1140" s="64">
        <f>IF(AND(Y1137=""),"",SUM(N1137:N1139))</f>
        <v>0</v>
      </c>
      <c r="O1140" s="64">
        <f>IF(AND(Y1137=""),"",SUM(O1137:O1139))</f>
        <v>0</v>
      </c>
      <c r="P1140" s="64">
        <f>IF(AND(Y1137=""),"",SUM(P1137:P1139))</f>
        <v>0</v>
      </c>
      <c r="Q1140" s="64">
        <f>IF(AND(Y1137=""),"",SUM(Q1137:Q1139))</f>
        <v>0</v>
      </c>
      <c r="R1140" s="64">
        <f>IF(AND(Y1137=""),"",SUM(R1137:R1139))</f>
        <v>0</v>
      </c>
      <c r="S1140" s="50"/>
    </row>
    <row r="1141" spans="1:25" ht="11.25" customHeight="1">
      <c r="A1141" s="75"/>
      <c r="B1141" s="75"/>
      <c r="C1141" s="76"/>
      <c r="D1141" s="76"/>
      <c r="E1141" s="76"/>
      <c r="F1141" s="76"/>
      <c r="G1141" s="76"/>
      <c r="H1141" s="76"/>
      <c r="I1141" s="76"/>
      <c r="J1141" s="76"/>
      <c r="K1141" s="76"/>
      <c r="L1141" s="76"/>
      <c r="M1141" s="76"/>
      <c r="N1141" s="76"/>
      <c r="O1141" s="76"/>
      <c r="P1141" s="76"/>
      <c r="Q1141" s="76"/>
      <c r="R1141" s="76"/>
      <c r="S1141" s="77"/>
    </row>
    <row r="1142" spans="1:25" ht="23.25" customHeight="1">
      <c r="E1142" s="116" t="s">
        <v>10</v>
      </c>
      <c r="F1142" s="116"/>
      <c r="G1142" s="116"/>
      <c r="H1142" s="116"/>
      <c r="I1142" s="116"/>
      <c r="J1142" s="115" t="str">
        <f>IF(ISNA(VLOOKUP(Y1144,Master!A$8:N$127,2,FALSE)),"",VLOOKUP(Y1144,Master!A$8:AH$127,2,FALSE))</f>
        <v/>
      </c>
      <c r="K1142" s="115"/>
      <c r="L1142" s="115"/>
      <c r="M1142" s="115"/>
      <c r="N1142" s="115"/>
      <c r="O1142" s="61" t="s">
        <v>31</v>
      </c>
      <c r="P1142" s="115" t="str">
        <f>IF(ISNA(VLOOKUP($Y$396,Master!A$8:N$127,3,FALSE)),"",VLOOKUP($Y$396,Master!A$8:AH$127,3,FALSE))</f>
        <v/>
      </c>
      <c r="Q1142" s="115"/>
      <c r="R1142" s="115"/>
      <c r="S1142" s="115"/>
    </row>
    <row r="1143" spans="1:25" ht="9" customHeight="1">
      <c r="E1143" s="19"/>
      <c r="F1143" s="53"/>
      <c r="G1143" s="22"/>
      <c r="H1143" s="22"/>
      <c r="I1143" s="22"/>
      <c r="J1143" s="5"/>
      <c r="K1143" s="5"/>
      <c r="L1143" s="5"/>
      <c r="M1143" s="5"/>
      <c r="N1143" s="5"/>
      <c r="O1143" s="6"/>
      <c r="P1143" s="6"/>
    </row>
    <row r="1144" spans="1:25" ht="21" customHeight="1">
      <c r="A1144" s="8">
        <v>1</v>
      </c>
      <c r="B1144" s="23">
        <v>44562</v>
      </c>
      <c r="C1144" s="9" t="str">
        <f>IF(ISNA(VLOOKUP(Y1144,Master!A$8:N$127,5,FALSE)),"",VLOOKUP(Y1144,Master!A$8:AH$127,5,FALSE))</f>
        <v/>
      </c>
      <c r="D1144" s="9" t="str">
        <f>IF(AND(C1144=""),"",IF(AND(Y1144=""),"",ROUND(C1144*Master!C$5%,0)))</f>
        <v/>
      </c>
      <c r="E1144" s="9" t="str">
        <f>IF(AND(C1144=""),"",IF(AND(Y1144=""),"",ROUND(C1144*Master!H$5%,0)))</f>
        <v/>
      </c>
      <c r="F1144" s="9" t="str">
        <f t="shared" ref="F1144:F1146" si="933">IF(AND(C1144=""),"",SUM(C1144:E1144))</f>
        <v/>
      </c>
      <c r="G1144" s="9" t="str">
        <f>IF(ISNA(VLOOKUP(Y1144,Master!A$8:N$127,5,FALSE)),"",VLOOKUP(Y1144,Master!A$8:AH$127,5,FALSE))</f>
        <v/>
      </c>
      <c r="H1144" s="9" t="str">
        <f>IF(AND(G1144=""),"",IF(AND(Y1144=""),"",ROUND(G1144*Master!C$4%,0)))</f>
        <v/>
      </c>
      <c r="I1144" s="9" t="str">
        <f>IF(AND(G1144=""),"",IF(AND(Y1144=""),"",ROUND(G1144*Master!H$4%,0)))</f>
        <v/>
      </c>
      <c r="J1144" s="9" t="str">
        <f t="shared" ref="J1144:J1146" si="934">IF(AND(C1144=""),"",SUM(G1144:I1144))</f>
        <v/>
      </c>
      <c r="K1144" s="9" t="str">
        <f t="shared" ref="K1144:K1146" si="935">IF(AND(C1144=""),"",IF(AND(G1144=""),"",C1144-G1144))</f>
        <v/>
      </c>
      <c r="L1144" s="9" t="str">
        <f t="shared" ref="L1144:L1146" si="936">IF(AND(D1144=""),"",IF(AND(H1144=""),"",D1144-H1144))</f>
        <v/>
      </c>
      <c r="M1144" s="9" t="str">
        <f t="shared" ref="M1144:M1146" si="937">IF(AND(E1144=""),"",IF(AND(I1144=""),"",E1144-I1144))</f>
        <v/>
      </c>
      <c r="N1144" s="9" t="str">
        <f t="shared" ref="N1144:N1146" si="938">IF(AND(F1144=""),"",IF(AND(J1144=""),"",F1144-J1144))</f>
        <v/>
      </c>
      <c r="O1144" s="9" t="str">
        <f>IF(AND(C1144=""),"",N1144-P1144)</f>
        <v/>
      </c>
      <c r="P1144" s="9" t="str">
        <f>IF(AND(Y1144=""),"",IF(AND(N1144=""),"",ROUND(N1144*AA$1%,0)))</f>
        <v/>
      </c>
      <c r="Q1144" s="9" t="str">
        <f>IF(AND(Y1144=""),"",IF(AND(C1144=""),"",IF(AND(O1144=""),"",SUM(O1144,P1144))))</f>
        <v/>
      </c>
      <c r="R1144" s="9" t="str">
        <f>IF(AND(N1144=""),"",IF(AND(Q1144=""),"",N1144-Q1144))</f>
        <v/>
      </c>
      <c r="S1144" s="20"/>
      <c r="X1144" s="62" t="s">
        <v>62</v>
      </c>
      <c r="Y1144" s="65">
        <v>102</v>
      </c>
    </row>
    <row r="1145" spans="1:25" ht="21" customHeight="1">
      <c r="A1145" s="8">
        <v>2</v>
      </c>
      <c r="B1145" s="23">
        <v>44593</v>
      </c>
      <c r="C1145" s="9" t="str">
        <f>IF(AND(Y1144=""),"",C1144)</f>
        <v/>
      </c>
      <c r="D1145" s="9" t="str">
        <f>IF(AND(C1145=""),"",IF(AND(Y1144=""),"",ROUND(C1145*Master!C$5%,0)))</f>
        <v/>
      </c>
      <c r="E1145" s="9" t="str">
        <f>IF(AND(C1145=""),"",IF(AND(Y1144=""),"",ROUND(C1145*Master!H$5%,0)))</f>
        <v/>
      </c>
      <c r="F1145" s="9" t="str">
        <f t="shared" si="933"/>
        <v/>
      </c>
      <c r="G1145" s="9" t="str">
        <f>IF(AND(Y1144=""),"",G1144)</f>
        <v/>
      </c>
      <c r="H1145" s="9" t="str">
        <f>IF(AND(G1145=""),"",IF(AND(Y1144=""),"",ROUND(G1145*Master!C$4%,0)))</f>
        <v/>
      </c>
      <c r="I1145" s="9" t="str">
        <f>IF(AND(G1145=""),"",IF(AND(Y1144=""),"",ROUND(G1145*Master!H$4%,0)))</f>
        <v/>
      </c>
      <c r="J1145" s="9" t="str">
        <f t="shared" si="934"/>
        <v/>
      </c>
      <c r="K1145" s="9" t="str">
        <f t="shared" si="935"/>
        <v/>
      </c>
      <c r="L1145" s="9" t="str">
        <f t="shared" si="936"/>
        <v/>
      </c>
      <c r="M1145" s="9" t="str">
        <f t="shared" si="937"/>
        <v/>
      </c>
      <c r="N1145" s="9" t="str">
        <f t="shared" si="938"/>
        <v/>
      </c>
      <c r="O1145" s="9" t="str">
        <f t="shared" ref="O1145:O1146" si="939">IF(AND(C1145=""),"",N1145-P1145)</f>
        <v/>
      </c>
      <c r="P1145" s="9" t="str">
        <f>IF(AND(Y1144=""),"",IF(AND(N1145=""),"",ROUND(N1145*AA$1%,0)))</f>
        <v/>
      </c>
      <c r="Q1145" s="9" t="str">
        <f>IF(AND(Y1144=""),"",IF(AND(C1145=""),"",IF(AND(O1145=""),"",SUM(O1145,P1145))))</f>
        <v/>
      </c>
      <c r="R1145" s="9" t="str">
        <f t="shared" ref="R1145:R1146" si="940">IF(AND(N1145=""),"",IF(AND(Q1145=""),"",N1145-Q1145))</f>
        <v/>
      </c>
      <c r="S1145" s="20"/>
      <c r="X1145" s="4" t="str">
        <f>IF(ISNA(VLOOKUP(Y1144,Master!A$8:N$127,7,FALSE)),"",VLOOKUP(Y1144,Master!A$8:AH$127,7,FALSE))</f>
        <v/>
      </c>
    </row>
    <row r="1146" spans="1:25" ht="21" customHeight="1">
      <c r="A1146" s="8">
        <v>3</v>
      </c>
      <c r="B1146" s="23">
        <v>44621</v>
      </c>
      <c r="C1146" s="9" t="str">
        <f>IF(AND(Y1144=""),"",C1145)</f>
        <v/>
      </c>
      <c r="D1146" s="9" t="str">
        <f>IF(AND(C1146=""),"",IF(AND(Y1144=""),"",ROUND(C1146*Master!C$5%,0)))</f>
        <v/>
      </c>
      <c r="E1146" s="9" t="str">
        <f>IF(AND(C1146=""),"",IF(AND(Y1144=""),"",ROUND(C1146*Master!H$5%,0)))</f>
        <v/>
      </c>
      <c r="F1146" s="9" t="str">
        <f t="shared" si="933"/>
        <v/>
      </c>
      <c r="G1146" s="9" t="str">
        <f>IF(AND(Y1144=""),"",G1145)</f>
        <v/>
      </c>
      <c r="H1146" s="9" t="str">
        <f>IF(AND(G1146=""),"",IF(AND(Y1144=""),"",ROUND(G1146*Master!C$4%,0)))</f>
        <v/>
      </c>
      <c r="I1146" s="9" t="str">
        <f>IF(AND(G1146=""),"",IF(AND(Y1144=""),"",ROUND(G1146*Master!H$4%,0)))</f>
        <v/>
      </c>
      <c r="J1146" s="9" t="str">
        <f t="shared" si="934"/>
        <v/>
      </c>
      <c r="K1146" s="9" t="str">
        <f t="shared" si="935"/>
        <v/>
      </c>
      <c r="L1146" s="9" t="str">
        <f t="shared" si="936"/>
        <v/>
      </c>
      <c r="M1146" s="9" t="str">
        <f t="shared" si="937"/>
        <v/>
      </c>
      <c r="N1146" s="9" t="str">
        <f t="shared" si="938"/>
        <v/>
      </c>
      <c r="O1146" s="9" t="str">
        <f t="shared" si="939"/>
        <v/>
      </c>
      <c r="P1146" s="9" t="str">
        <f>IF(AND(Y1144=""),"",IF(AND(N1146=""),"",ROUND(N1146*AA$1%,0)))</f>
        <v/>
      </c>
      <c r="Q1146" s="9" t="str">
        <f>IF(AND(Y1144=""),"",IF(AND(C1146=""),"",IF(AND(O1146=""),"",SUM(O1146,P1146))))</f>
        <v/>
      </c>
      <c r="R1146" s="9" t="str">
        <f t="shared" si="940"/>
        <v/>
      </c>
      <c r="S1146" s="20"/>
    </row>
    <row r="1147" spans="1:25" ht="30.75" customHeight="1">
      <c r="A1147" s="108" t="s">
        <v>9</v>
      </c>
      <c r="B1147" s="109"/>
      <c r="C1147" s="64">
        <f>IF(AND(Y1144=""),"",SUM(C1144:C1146))</f>
        <v>0</v>
      </c>
      <c r="D1147" s="64">
        <f>IF(AND(Y1144=""),"",SUM(D1144:D1146))</f>
        <v>0</v>
      </c>
      <c r="E1147" s="64">
        <f>IF(AND(Y1144=""),"",SUM(E1144:E1146))</f>
        <v>0</v>
      </c>
      <c r="F1147" s="64">
        <f>IF(AND(Y1144=""),"",SUM(F1144:F1146))</f>
        <v>0</v>
      </c>
      <c r="G1147" s="64">
        <f>IF(AND(Y1144=""),"",SUM(G1144:G1146))</f>
        <v>0</v>
      </c>
      <c r="H1147" s="64">
        <f>IF(AND(Y1144=""),"",SUM(H1144:H1146))</f>
        <v>0</v>
      </c>
      <c r="I1147" s="64">
        <f>IF(AND(Y1144=""),"",SUM(I1144:I1146))</f>
        <v>0</v>
      </c>
      <c r="J1147" s="64">
        <f>IF(AND(Y1144=""),"",SUM(J1144:J1146))</f>
        <v>0</v>
      </c>
      <c r="K1147" s="64">
        <f>IF(AND(Y1144=""),"",SUM(K1144:K1146))</f>
        <v>0</v>
      </c>
      <c r="L1147" s="64">
        <f>IF(AND(Y1144=""),"",SUM(L1144:L1146))</f>
        <v>0</v>
      </c>
      <c r="M1147" s="64">
        <f>IF(AND(Y1144=""),"",SUM(M1144:M1146))</f>
        <v>0</v>
      </c>
      <c r="N1147" s="64">
        <f>IF(AND(Y1144=""),"",SUM(N1144:N1146))</f>
        <v>0</v>
      </c>
      <c r="O1147" s="64">
        <f>IF(AND(Y1144=""),"",SUM(O1144:O1146))</f>
        <v>0</v>
      </c>
      <c r="P1147" s="64">
        <f>IF(AND(Y1144=""),"",SUM(P1144:P1146))</f>
        <v>0</v>
      </c>
      <c r="Q1147" s="64">
        <f>IF(AND(Y1144=""),"",SUM(Q1144:Q1146))</f>
        <v>0</v>
      </c>
      <c r="R1147" s="64">
        <f>IF(AND(Y1144=""),"",SUM(R1144:R1146))</f>
        <v>0</v>
      </c>
      <c r="S1147" s="50"/>
    </row>
    <row r="1148" spans="1:25" ht="30.75" customHeight="1">
      <c r="A1148" s="75"/>
      <c r="B1148" s="75"/>
      <c r="C1148" s="76"/>
      <c r="D1148" s="76"/>
      <c r="E1148" s="76"/>
      <c r="F1148" s="76"/>
      <c r="G1148" s="76"/>
      <c r="H1148" s="76"/>
      <c r="I1148" s="76"/>
      <c r="J1148" s="76"/>
      <c r="K1148" s="76"/>
      <c r="L1148" s="76"/>
      <c r="M1148" s="76"/>
      <c r="N1148" s="76"/>
      <c r="O1148" s="76"/>
      <c r="P1148" s="76"/>
      <c r="Q1148" s="76"/>
      <c r="R1148" s="76"/>
      <c r="S1148" s="77"/>
    </row>
    <row r="1149" spans="1:25" ht="18.75">
      <c r="A1149" s="21"/>
      <c r="B1149" s="59"/>
      <c r="C1149" s="59"/>
      <c r="D1149" s="59"/>
      <c r="E1149" s="59"/>
      <c r="F1149" s="59"/>
      <c r="G1149" s="59"/>
      <c r="H1149" s="60"/>
      <c r="I1149" s="60"/>
      <c r="J1149" s="60"/>
      <c r="K1149" s="68"/>
      <c r="L1149" s="68"/>
      <c r="M1149" s="68"/>
      <c r="N1149" s="68"/>
      <c r="O1149" s="107" t="s">
        <v>55</v>
      </c>
      <c r="P1149" s="107"/>
      <c r="Q1149" s="107"/>
      <c r="R1149" s="107"/>
      <c r="S1149" s="107"/>
    </row>
    <row r="1150" spans="1:25" ht="18.75">
      <c r="A1150" s="1"/>
      <c r="B1150" s="24" t="s">
        <v>19</v>
      </c>
      <c r="C1150" s="118"/>
      <c r="D1150" s="118"/>
      <c r="E1150" s="118"/>
      <c r="F1150" s="118"/>
      <c r="G1150" s="118"/>
      <c r="H1150" s="25"/>
      <c r="I1150" s="121" t="s">
        <v>20</v>
      </c>
      <c r="J1150" s="121"/>
      <c r="K1150" s="120"/>
      <c r="L1150" s="120"/>
      <c r="M1150" s="120"/>
      <c r="O1150" s="107"/>
      <c r="P1150" s="107"/>
      <c r="Q1150" s="107"/>
      <c r="R1150" s="107"/>
      <c r="S1150" s="107"/>
    </row>
    <row r="1151" spans="1:25" ht="18.75">
      <c r="A1151" s="1"/>
      <c r="B1151" s="119" t="s">
        <v>21</v>
      </c>
      <c r="C1151" s="119"/>
      <c r="D1151" s="119"/>
      <c r="E1151" s="119"/>
      <c r="F1151" s="119"/>
      <c r="G1151" s="119"/>
      <c r="H1151" s="119"/>
      <c r="I1151" s="27"/>
      <c r="J1151" s="26"/>
      <c r="K1151" s="26"/>
      <c r="L1151" s="26"/>
      <c r="M1151" s="26"/>
    </row>
    <row r="1152" spans="1:25" ht="18.75">
      <c r="A1152" s="22">
        <v>1</v>
      </c>
      <c r="B1152" s="117" t="s">
        <v>22</v>
      </c>
      <c r="C1152" s="117"/>
      <c r="D1152" s="117"/>
      <c r="E1152" s="117"/>
      <c r="F1152" s="117"/>
      <c r="G1152" s="117"/>
      <c r="H1152" s="117"/>
      <c r="I1152" s="28"/>
      <c r="J1152" s="26"/>
      <c r="K1152" s="26"/>
      <c r="L1152" s="26"/>
      <c r="M1152" s="26"/>
    </row>
    <row r="1153" spans="1:19" ht="18.75">
      <c r="A1153" s="2">
        <v>2</v>
      </c>
      <c r="B1153" s="117" t="s">
        <v>23</v>
      </c>
      <c r="C1153" s="117"/>
      <c r="D1153" s="117"/>
      <c r="E1153" s="117"/>
      <c r="F1153" s="117"/>
      <c r="G1153" s="115"/>
      <c r="H1153" s="115"/>
      <c r="I1153" s="115"/>
      <c r="J1153" s="115"/>
      <c r="K1153" s="115"/>
      <c r="L1153" s="115"/>
      <c r="M1153" s="115"/>
    </row>
    <row r="1154" spans="1:19" ht="18.75">
      <c r="A1154" s="3">
        <v>3</v>
      </c>
      <c r="B1154" s="117" t="s">
        <v>24</v>
      </c>
      <c r="C1154" s="117"/>
      <c r="D1154" s="117"/>
      <c r="E1154" s="29"/>
      <c r="F1154" s="28"/>
      <c r="G1154" s="28"/>
      <c r="H1154" s="30"/>
      <c r="I1154" s="31"/>
      <c r="J1154" s="26"/>
      <c r="K1154" s="26"/>
      <c r="L1154" s="26"/>
      <c r="M1154" s="26"/>
    </row>
    <row r="1155" spans="1:19" ht="15.75">
      <c r="O1155" s="107" t="s">
        <v>55</v>
      </c>
      <c r="P1155" s="107"/>
      <c r="Q1155" s="107"/>
      <c r="R1155" s="107"/>
      <c r="S1155" s="107"/>
    </row>
  </sheetData>
  <sheetProtection password="A167" sheet="1" objects="1" scenarios="1" formatColumns="0" formatRows="0"/>
  <mergeCells count="1122">
    <mergeCell ref="B1153:F1153"/>
    <mergeCell ref="G1153:M1153"/>
    <mergeCell ref="B1154:D1154"/>
    <mergeCell ref="O1155:S1155"/>
    <mergeCell ref="C1150:G1150"/>
    <mergeCell ref="I1150:J1150"/>
    <mergeCell ref="K1150:M1150"/>
    <mergeCell ref="O1150:S1150"/>
    <mergeCell ref="B1151:H1151"/>
    <mergeCell ref="B1152:H1152"/>
    <mergeCell ref="A1140:B1140"/>
    <mergeCell ref="E1142:I1142"/>
    <mergeCell ref="J1142:N1142"/>
    <mergeCell ref="P1142:S1142"/>
    <mergeCell ref="A1147:B1147"/>
    <mergeCell ref="O1149:S1149"/>
    <mergeCell ref="O1127:Q1127"/>
    <mergeCell ref="R1127:R1128"/>
    <mergeCell ref="S1127:S1128"/>
    <mergeCell ref="A1133:B1133"/>
    <mergeCell ref="E1135:I1135"/>
    <mergeCell ref="J1135:N1135"/>
    <mergeCell ref="P1135:S1135"/>
    <mergeCell ref="A1123:S1123"/>
    <mergeCell ref="A1124:S1124"/>
    <mergeCell ref="E1125:I1125"/>
    <mergeCell ref="J1125:N1125"/>
    <mergeCell ref="P1125:S1125"/>
    <mergeCell ref="A1127:A1128"/>
    <mergeCell ref="B1127:B1128"/>
    <mergeCell ref="C1127:F1127"/>
    <mergeCell ref="G1127:J1127"/>
    <mergeCell ref="K1127:N1127"/>
    <mergeCell ref="B1117:H1117"/>
    <mergeCell ref="B1118:H1118"/>
    <mergeCell ref="B1119:F1119"/>
    <mergeCell ref="G1119:M1119"/>
    <mergeCell ref="B1120:D1120"/>
    <mergeCell ref="O1121:S1121"/>
    <mergeCell ref="E1108:I1108"/>
    <mergeCell ref="J1108:N1108"/>
    <mergeCell ref="P1108:S1108"/>
    <mergeCell ref="A1113:B1113"/>
    <mergeCell ref="O1115:S1115"/>
    <mergeCell ref="C1116:G1116"/>
    <mergeCell ref="I1116:J1116"/>
    <mergeCell ref="K1116:M1116"/>
    <mergeCell ref="O1116:S1116"/>
    <mergeCell ref="S1093:S1094"/>
    <mergeCell ref="A1099:B1099"/>
    <mergeCell ref="E1101:I1101"/>
    <mergeCell ref="J1101:N1101"/>
    <mergeCell ref="P1101:S1101"/>
    <mergeCell ref="A1106:B1106"/>
    <mergeCell ref="E1091:I1091"/>
    <mergeCell ref="J1091:N1091"/>
    <mergeCell ref="P1091:S1091"/>
    <mergeCell ref="A1093:A1094"/>
    <mergeCell ref="B1093:B1094"/>
    <mergeCell ref="C1093:F1093"/>
    <mergeCell ref="G1093:J1093"/>
    <mergeCell ref="K1093:N1093"/>
    <mergeCell ref="O1093:Q1093"/>
    <mergeCell ref="R1093:R1094"/>
    <mergeCell ref="B1085:F1085"/>
    <mergeCell ref="G1085:M1085"/>
    <mergeCell ref="B1086:D1086"/>
    <mergeCell ref="O1087:S1087"/>
    <mergeCell ref="A1089:S1089"/>
    <mergeCell ref="A1090:S1090"/>
    <mergeCell ref="C1082:G1082"/>
    <mergeCell ref="I1082:J1082"/>
    <mergeCell ref="K1082:M1082"/>
    <mergeCell ref="O1082:S1082"/>
    <mergeCell ref="B1083:H1083"/>
    <mergeCell ref="B1084:H1084"/>
    <mergeCell ref="A1072:B1072"/>
    <mergeCell ref="E1074:I1074"/>
    <mergeCell ref="J1074:N1074"/>
    <mergeCell ref="P1074:S1074"/>
    <mergeCell ref="A1079:B1079"/>
    <mergeCell ref="O1081:S1081"/>
    <mergeCell ref="O1059:Q1059"/>
    <mergeCell ref="R1059:R1060"/>
    <mergeCell ref="S1059:S1060"/>
    <mergeCell ref="A1065:B1065"/>
    <mergeCell ref="E1067:I1067"/>
    <mergeCell ref="J1067:N1067"/>
    <mergeCell ref="P1067:S1067"/>
    <mergeCell ref="A1055:S1055"/>
    <mergeCell ref="A1056:S1056"/>
    <mergeCell ref="E1057:I1057"/>
    <mergeCell ref="J1057:N1057"/>
    <mergeCell ref="P1057:S1057"/>
    <mergeCell ref="A1059:A1060"/>
    <mergeCell ref="B1059:B1060"/>
    <mergeCell ref="C1059:F1059"/>
    <mergeCell ref="G1059:J1059"/>
    <mergeCell ref="K1059:N1059"/>
    <mergeCell ref="B1049:H1049"/>
    <mergeCell ref="B1050:H1050"/>
    <mergeCell ref="B1051:F1051"/>
    <mergeCell ref="G1051:M1051"/>
    <mergeCell ref="B1052:D1052"/>
    <mergeCell ref="O1053:S1053"/>
    <mergeCell ref="E1040:I1040"/>
    <mergeCell ref="J1040:N1040"/>
    <mergeCell ref="P1040:S1040"/>
    <mergeCell ref="A1045:B1045"/>
    <mergeCell ref="O1047:S1047"/>
    <mergeCell ref="C1048:G1048"/>
    <mergeCell ref="I1048:J1048"/>
    <mergeCell ref="K1048:M1048"/>
    <mergeCell ref="O1048:S1048"/>
    <mergeCell ref="S1025:S1026"/>
    <mergeCell ref="A1031:B1031"/>
    <mergeCell ref="E1033:I1033"/>
    <mergeCell ref="J1033:N1033"/>
    <mergeCell ref="P1033:S1033"/>
    <mergeCell ref="A1038:B1038"/>
    <mergeCell ref="E1023:I1023"/>
    <mergeCell ref="J1023:N1023"/>
    <mergeCell ref="P1023:S1023"/>
    <mergeCell ref="A1025:A1026"/>
    <mergeCell ref="B1025:B1026"/>
    <mergeCell ref="C1025:F1025"/>
    <mergeCell ref="G1025:J1025"/>
    <mergeCell ref="K1025:N1025"/>
    <mergeCell ref="O1025:Q1025"/>
    <mergeCell ref="R1025:R1026"/>
    <mergeCell ref="B1017:F1017"/>
    <mergeCell ref="G1017:M1017"/>
    <mergeCell ref="B1018:D1018"/>
    <mergeCell ref="O1019:S1019"/>
    <mergeCell ref="A1021:S1021"/>
    <mergeCell ref="A1022:S1022"/>
    <mergeCell ref="C1014:G1014"/>
    <mergeCell ref="I1014:J1014"/>
    <mergeCell ref="K1014:M1014"/>
    <mergeCell ref="O1014:S1014"/>
    <mergeCell ref="B1015:H1015"/>
    <mergeCell ref="B1016:H1016"/>
    <mergeCell ref="A1004:B1004"/>
    <mergeCell ref="E1006:I1006"/>
    <mergeCell ref="J1006:N1006"/>
    <mergeCell ref="P1006:S1006"/>
    <mergeCell ref="A1011:B1011"/>
    <mergeCell ref="O1013:S1013"/>
    <mergeCell ref="O991:Q991"/>
    <mergeCell ref="R991:R992"/>
    <mergeCell ref="S991:S992"/>
    <mergeCell ref="A997:B997"/>
    <mergeCell ref="E999:I999"/>
    <mergeCell ref="J999:N999"/>
    <mergeCell ref="P999:S999"/>
    <mergeCell ref="A987:S987"/>
    <mergeCell ref="A988:S988"/>
    <mergeCell ref="E989:I989"/>
    <mergeCell ref="J989:N989"/>
    <mergeCell ref="P989:S989"/>
    <mergeCell ref="A991:A992"/>
    <mergeCell ref="B991:B992"/>
    <mergeCell ref="C991:F991"/>
    <mergeCell ref="G991:J991"/>
    <mergeCell ref="K991:N991"/>
    <mergeCell ref="B981:H981"/>
    <mergeCell ref="B982:H982"/>
    <mergeCell ref="B983:F983"/>
    <mergeCell ref="G983:M983"/>
    <mergeCell ref="B984:D984"/>
    <mergeCell ref="O985:S985"/>
    <mergeCell ref="E972:I972"/>
    <mergeCell ref="J972:N972"/>
    <mergeCell ref="P972:S972"/>
    <mergeCell ref="A977:B977"/>
    <mergeCell ref="O979:S979"/>
    <mergeCell ref="C980:G980"/>
    <mergeCell ref="I980:J980"/>
    <mergeCell ref="K980:M980"/>
    <mergeCell ref="O980:S980"/>
    <mergeCell ref="S957:S958"/>
    <mergeCell ref="A963:B963"/>
    <mergeCell ref="E965:I965"/>
    <mergeCell ref="J965:N965"/>
    <mergeCell ref="P965:S965"/>
    <mergeCell ref="A970:B970"/>
    <mergeCell ref="E955:I955"/>
    <mergeCell ref="J955:N955"/>
    <mergeCell ref="P955:S955"/>
    <mergeCell ref="A957:A958"/>
    <mergeCell ref="B957:B958"/>
    <mergeCell ref="C957:F957"/>
    <mergeCell ref="G957:J957"/>
    <mergeCell ref="K957:N957"/>
    <mergeCell ref="O957:Q957"/>
    <mergeCell ref="R957:R958"/>
    <mergeCell ref="B949:F949"/>
    <mergeCell ref="G949:M949"/>
    <mergeCell ref="B950:D950"/>
    <mergeCell ref="O951:S951"/>
    <mergeCell ref="A953:S953"/>
    <mergeCell ref="A954:S954"/>
    <mergeCell ref="C946:G946"/>
    <mergeCell ref="I946:J946"/>
    <mergeCell ref="K946:M946"/>
    <mergeCell ref="O946:S946"/>
    <mergeCell ref="B947:H947"/>
    <mergeCell ref="B948:H948"/>
    <mergeCell ref="A936:B936"/>
    <mergeCell ref="E938:I938"/>
    <mergeCell ref="J938:N938"/>
    <mergeCell ref="P938:S938"/>
    <mergeCell ref="A943:B943"/>
    <mergeCell ref="O945:S945"/>
    <mergeCell ref="O923:Q923"/>
    <mergeCell ref="R923:R924"/>
    <mergeCell ref="S923:S924"/>
    <mergeCell ref="A929:B929"/>
    <mergeCell ref="E931:I931"/>
    <mergeCell ref="J931:N931"/>
    <mergeCell ref="P931:S931"/>
    <mergeCell ref="A919:S919"/>
    <mergeCell ref="A920:S920"/>
    <mergeCell ref="E921:I921"/>
    <mergeCell ref="J921:N921"/>
    <mergeCell ref="P921:S921"/>
    <mergeCell ref="A923:A924"/>
    <mergeCell ref="B923:B924"/>
    <mergeCell ref="C923:F923"/>
    <mergeCell ref="G923:J923"/>
    <mergeCell ref="K923:N923"/>
    <mergeCell ref="B913:H913"/>
    <mergeCell ref="B914:H914"/>
    <mergeCell ref="B915:F915"/>
    <mergeCell ref="G915:M915"/>
    <mergeCell ref="B916:D916"/>
    <mergeCell ref="O917:S917"/>
    <mergeCell ref="E904:I904"/>
    <mergeCell ref="J904:N904"/>
    <mergeCell ref="P904:S904"/>
    <mergeCell ref="A909:B909"/>
    <mergeCell ref="O911:S911"/>
    <mergeCell ref="C912:G912"/>
    <mergeCell ref="I912:J912"/>
    <mergeCell ref="K912:M912"/>
    <mergeCell ref="O912:S912"/>
    <mergeCell ref="S889:S890"/>
    <mergeCell ref="A895:B895"/>
    <mergeCell ref="E897:I897"/>
    <mergeCell ref="J897:N897"/>
    <mergeCell ref="P897:S897"/>
    <mergeCell ref="A902:B902"/>
    <mergeCell ref="E887:I887"/>
    <mergeCell ref="J887:N887"/>
    <mergeCell ref="P887:S887"/>
    <mergeCell ref="A889:A890"/>
    <mergeCell ref="B889:B890"/>
    <mergeCell ref="C889:F889"/>
    <mergeCell ref="G889:J889"/>
    <mergeCell ref="K889:N889"/>
    <mergeCell ref="O889:Q889"/>
    <mergeCell ref="R889:R890"/>
    <mergeCell ref="B881:F881"/>
    <mergeCell ref="G881:M881"/>
    <mergeCell ref="B882:D882"/>
    <mergeCell ref="O883:S883"/>
    <mergeCell ref="A885:S885"/>
    <mergeCell ref="A886:S886"/>
    <mergeCell ref="C878:G878"/>
    <mergeCell ref="I878:J878"/>
    <mergeCell ref="K878:M878"/>
    <mergeCell ref="O878:S878"/>
    <mergeCell ref="B879:H879"/>
    <mergeCell ref="B880:H880"/>
    <mergeCell ref="A868:B868"/>
    <mergeCell ref="E870:I870"/>
    <mergeCell ref="J870:N870"/>
    <mergeCell ref="P870:S870"/>
    <mergeCell ref="A875:B875"/>
    <mergeCell ref="O877:S877"/>
    <mergeCell ref="O855:Q855"/>
    <mergeCell ref="R855:R856"/>
    <mergeCell ref="S855:S856"/>
    <mergeCell ref="A861:B861"/>
    <mergeCell ref="E863:I863"/>
    <mergeCell ref="J863:N863"/>
    <mergeCell ref="P863:S863"/>
    <mergeCell ref="A851:S851"/>
    <mergeCell ref="A852:S852"/>
    <mergeCell ref="E853:I853"/>
    <mergeCell ref="J853:N853"/>
    <mergeCell ref="P853:S853"/>
    <mergeCell ref="A855:A856"/>
    <mergeCell ref="B855:B856"/>
    <mergeCell ref="C855:F855"/>
    <mergeCell ref="G855:J855"/>
    <mergeCell ref="K855:N855"/>
    <mergeCell ref="B845:H845"/>
    <mergeCell ref="B846:H846"/>
    <mergeCell ref="B847:F847"/>
    <mergeCell ref="G847:M847"/>
    <mergeCell ref="B848:D848"/>
    <mergeCell ref="O849:S849"/>
    <mergeCell ref="E836:I836"/>
    <mergeCell ref="J836:N836"/>
    <mergeCell ref="P836:S836"/>
    <mergeCell ref="A841:B841"/>
    <mergeCell ref="O843:S843"/>
    <mergeCell ref="C844:G844"/>
    <mergeCell ref="I844:J844"/>
    <mergeCell ref="K844:M844"/>
    <mergeCell ref="O844:S844"/>
    <mergeCell ref="S821:S822"/>
    <mergeCell ref="A827:B827"/>
    <mergeCell ref="E829:I829"/>
    <mergeCell ref="J829:N829"/>
    <mergeCell ref="P829:S829"/>
    <mergeCell ref="A834:B834"/>
    <mergeCell ref="E819:I819"/>
    <mergeCell ref="J819:N819"/>
    <mergeCell ref="P819:S819"/>
    <mergeCell ref="A821:A822"/>
    <mergeCell ref="B821:B822"/>
    <mergeCell ref="C821:F821"/>
    <mergeCell ref="G821:J821"/>
    <mergeCell ref="K821:N821"/>
    <mergeCell ref="O821:Q821"/>
    <mergeCell ref="R821:R822"/>
    <mergeCell ref="B813:F813"/>
    <mergeCell ref="G813:M813"/>
    <mergeCell ref="B814:D814"/>
    <mergeCell ref="O815:S815"/>
    <mergeCell ref="A817:S817"/>
    <mergeCell ref="A818:S818"/>
    <mergeCell ref="C810:G810"/>
    <mergeCell ref="I810:J810"/>
    <mergeCell ref="K810:M810"/>
    <mergeCell ref="O810:S810"/>
    <mergeCell ref="B811:H811"/>
    <mergeCell ref="B812:H812"/>
    <mergeCell ref="A800:B800"/>
    <mergeCell ref="E802:I802"/>
    <mergeCell ref="J802:N802"/>
    <mergeCell ref="P802:S802"/>
    <mergeCell ref="A807:B807"/>
    <mergeCell ref="O809:S809"/>
    <mergeCell ref="O787:Q787"/>
    <mergeCell ref="R787:R788"/>
    <mergeCell ref="S787:S788"/>
    <mergeCell ref="A793:B793"/>
    <mergeCell ref="E795:I795"/>
    <mergeCell ref="J795:N795"/>
    <mergeCell ref="P795:S795"/>
    <mergeCell ref="A783:S783"/>
    <mergeCell ref="A784:S784"/>
    <mergeCell ref="E785:I785"/>
    <mergeCell ref="J785:N785"/>
    <mergeCell ref="P785:S785"/>
    <mergeCell ref="A787:A788"/>
    <mergeCell ref="B787:B788"/>
    <mergeCell ref="C787:F787"/>
    <mergeCell ref="G787:J787"/>
    <mergeCell ref="K787:N787"/>
    <mergeCell ref="B777:H777"/>
    <mergeCell ref="B778:H778"/>
    <mergeCell ref="B779:F779"/>
    <mergeCell ref="G779:M779"/>
    <mergeCell ref="B780:D780"/>
    <mergeCell ref="O781:S781"/>
    <mergeCell ref="E768:I768"/>
    <mergeCell ref="J768:N768"/>
    <mergeCell ref="P768:S768"/>
    <mergeCell ref="A773:B773"/>
    <mergeCell ref="O775:S775"/>
    <mergeCell ref="C776:G776"/>
    <mergeCell ref="I776:J776"/>
    <mergeCell ref="K776:M776"/>
    <mergeCell ref="O776:S776"/>
    <mergeCell ref="S753:S754"/>
    <mergeCell ref="A759:B759"/>
    <mergeCell ref="E761:I761"/>
    <mergeCell ref="J761:N761"/>
    <mergeCell ref="P761:S761"/>
    <mergeCell ref="A766:B766"/>
    <mergeCell ref="E751:I751"/>
    <mergeCell ref="J751:N751"/>
    <mergeCell ref="P751:S751"/>
    <mergeCell ref="A753:A754"/>
    <mergeCell ref="B753:B754"/>
    <mergeCell ref="C753:F753"/>
    <mergeCell ref="G753:J753"/>
    <mergeCell ref="K753:N753"/>
    <mergeCell ref="O753:Q753"/>
    <mergeCell ref="R753:R754"/>
    <mergeCell ref="B745:F745"/>
    <mergeCell ref="G745:M745"/>
    <mergeCell ref="B746:D746"/>
    <mergeCell ref="O747:S747"/>
    <mergeCell ref="A749:S749"/>
    <mergeCell ref="A750:S750"/>
    <mergeCell ref="C742:G742"/>
    <mergeCell ref="I742:J742"/>
    <mergeCell ref="K742:M742"/>
    <mergeCell ref="O742:S742"/>
    <mergeCell ref="B743:H743"/>
    <mergeCell ref="B744:H744"/>
    <mergeCell ref="A732:B732"/>
    <mergeCell ref="E734:I734"/>
    <mergeCell ref="J734:N734"/>
    <mergeCell ref="P734:S734"/>
    <mergeCell ref="A739:B739"/>
    <mergeCell ref="O741:S741"/>
    <mergeCell ref="O719:Q719"/>
    <mergeCell ref="R719:R720"/>
    <mergeCell ref="S719:S720"/>
    <mergeCell ref="A725:B725"/>
    <mergeCell ref="E727:I727"/>
    <mergeCell ref="J727:N727"/>
    <mergeCell ref="P727:S727"/>
    <mergeCell ref="A715:S715"/>
    <mergeCell ref="A716:S716"/>
    <mergeCell ref="E717:I717"/>
    <mergeCell ref="J717:N717"/>
    <mergeCell ref="P717:S717"/>
    <mergeCell ref="A719:A720"/>
    <mergeCell ref="B719:B720"/>
    <mergeCell ref="C719:F719"/>
    <mergeCell ref="G719:J719"/>
    <mergeCell ref="K719:N719"/>
    <mergeCell ref="B709:H709"/>
    <mergeCell ref="B710:H710"/>
    <mergeCell ref="B711:F711"/>
    <mergeCell ref="G711:M711"/>
    <mergeCell ref="B712:D712"/>
    <mergeCell ref="O713:S713"/>
    <mergeCell ref="E700:I700"/>
    <mergeCell ref="J700:N700"/>
    <mergeCell ref="P700:S700"/>
    <mergeCell ref="A705:B705"/>
    <mergeCell ref="O707:S707"/>
    <mergeCell ref="C708:G708"/>
    <mergeCell ref="I708:J708"/>
    <mergeCell ref="K708:M708"/>
    <mergeCell ref="O708:S708"/>
    <mergeCell ref="S685:S686"/>
    <mergeCell ref="A691:B691"/>
    <mergeCell ref="E693:I693"/>
    <mergeCell ref="J693:N693"/>
    <mergeCell ref="P693:S693"/>
    <mergeCell ref="A698:B698"/>
    <mergeCell ref="E683:I683"/>
    <mergeCell ref="J683:N683"/>
    <mergeCell ref="P683:S683"/>
    <mergeCell ref="A685:A686"/>
    <mergeCell ref="B685:B686"/>
    <mergeCell ref="C685:F685"/>
    <mergeCell ref="G685:J685"/>
    <mergeCell ref="K685:N685"/>
    <mergeCell ref="O685:Q685"/>
    <mergeCell ref="R685:R686"/>
    <mergeCell ref="B677:F677"/>
    <mergeCell ref="G677:M677"/>
    <mergeCell ref="B678:D678"/>
    <mergeCell ref="O679:S679"/>
    <mergeCell ref="A681:S681"/>
    <mergeCell ref="A682:S682"/>
    <mergeCell ref="C674:G674"/>
    <mergeCell ref="I674:J674"/>
    <mergeCell ref="K674:M674"/>
    <mergeCell ref="O674:S674"/>
    <mergeCell ref="B675:H675"/>
    <mergeCell ref="B676:H676"/>
    <mergeCell ref="A664:B664"/>
    <mergeCell ref="E666:I666"/>
    <mergeCell ref="J666:N666"/>
    <mergeCell ref="P666:S666"/>
    <mergeCell ref="A671:B671"/>
    <mergeCell ref="O673:S673"/>
    <mergeCell ref="O651:Q651"/>
    <mergeCell ref="R651:R652"/>
    <mergeCell ref="S651:S652"/>
    <mergeCell ref="A657:B657"/>
    <mergeCell ref="E659:I659"/>
    <mergeCell ref="J659:N659"/>
    <mergeCell ref="P659:S659"/>
    <mergeCell ref="A647:S647"/>
    <mergeCell ref="A648:S648"/>
    <mergeCell ref="E649:I649"/>
    <mergeCell ref="J649:N649"/>
    <mergeCell ref="P649:S649"/>
    <mergeCell ref="A651:A652"/>
    <mergeCell ref="B651:B652"/>
    <mergeCell ref="C651:F651"/>
    <mergeCell ref="G651:J651"/>
    <mergeCell ref="K651:N651"/>
    <mergeCell ref="B641:H641"/>
    <mergeCell ref="B642:H642"/>
    <mergeCell ref="B643:F643"/>
    <mergeCell ref="G643:M643"/>
    <mergeCell ref="B644:D644"/>
    <mergeCell ref="O645:S645"/>
    <mergeCell ref="E632:I632"/>
    <mergeCell ref="J632:N632"/>
    <mergeCell ref="P632:S632"/>
    <mergeCell ref="A637:B637"/>
    <mergeCell ref="O639:S639"/>
    <mergeCell ref="C640:G640"/>
    <mergeCell ref="I640:J640"/>
    <mergeCell ref="K640:M640"/>
    <mergeCell ref="O640:S640"/>
    <mergeCell ref="S617:S618"/>
    <mergeCell ref="A623:B623"/>
    <mergeCell ref="E625:I625"/>
    <mergeCell ref="J625:N625"/>
    <mergeCell ref="P625:S625"/>
    <mergeCell ref="A630:B630"/>
    <mergeCell ref="E615:I615"/>
    <mergeCell ref="J615:N615"/>
    <mergeCell ref="P615:S615"/>
    <mergeCell ref="A617:A618"/>
    <mergeCell ref="B617:B618"/>
    <mergeCell ref="C617:F617"/>
    <mergeCell ref="G617:J617"/>
    <mergeCell ref="K617:N617"/>
    <mergeCell ref="O617:Q617"/>
    <mergeCell ref="R617:R618"/>
    <mergeCell ref="B609:F609"/>
    <mergeCell ref="G609:M609"/>
    <mergeCell ref="B610:D610"/>
    <mergeCell ref="O611:S611"/>
    <mergeCell ref="A613:S613"/>
    <mergeCell ref="A614:S614"/>
    <mergeCell ref="C606:G606"/>
    <mergeCell ref="I606:J606"/>
    <mergeCell ref="K606:M606"/>
    <mergeCell ref="O606:S606"/>
    <mergeCell ref="B607:H607"/>
    <mergeCell ref="B608:H608"/>
    <mergeCell ref="A596:B596"/>
    <mergeCell ref="E598:I598"/>
    <mergeCell ref="J598:N598"/>
    <mergeCell ref="P598:S598"/>
    <mergeCell ref="A603:B603"/>
    <mergeCell ref="O605:S605"/>
    <mergeCell ref="O583:Q583"/>
    <mergeCell ref="R583:R584"/>
    <mergeCell ref="S583:S584"/>
    <mergeCell ref="A589:B589"/>
    <mergeCell ref="E591:I591"/>
    <mergeCell ref="J591:N591"/>
    <mergeCell ref="P591:S591"/>
    <mergeCell ref="A579:S579"/>
    <mergeCell ref="A580:S580"/>
    <mergeCell ref="E581:I581"/>
    <mergeCell ref="J581:N581"/>
    <mergeCell ref="P581:S581"/>
    <mergeCell ref="A583:A584"/>
    <mergeCell ref="B583:B584"/>
    <mergeCell ref="C583:F583"/>
    <mergeCell ref="G583:J583"/>
    <mergeCell ref="K583:N583"/>
    <mergeCell ref="B573:H573"/>
    <mergeCell ref="B574:H574"/>
    <mergeCell ref="B575:F575"/>
    <mergeCell ref="G575:M575"/>
    <mergeCell ref="B576:D576"/>
    <mergeCell ref="O577:S577"/>
    <mergeCell ref="E564:I564"/>
    <mergeCell ref="J564:N564"/>
    <mergeCell ref="P564:S564"/>
    <mergeCell ref="A569:B569"/>
    <mergeCell ref="O571:S571"/>
    <mergeCell ref="C572:G572"/>
    <mergeCell ref="I572:J572"/>
    <mergeCell ref="K572:M572"/>
    <mergeCell ref="O572:S572"/>
    <mergeCell ref="S549:S550"/>
    <mergeCell ref="A555:B555"/>
    <mergeCell ref="E557:I557"/>
    <mergeCell ref="J557:N557"/>
    <mergeCell ref="P557:S557"/>
    <mergeCell ref="A562:B562"/>
    <mergeCell ref="E547:I547"/>
    <mergeCell ref="J547:N547"/>
    <mergeCell ref="P547:S547"/>
    <mergeCell ref="A549:A550"/>
    <mergeCell ref="B549:B550"/>
    <mergeCell ref="C549:F549"/>
    <mergeCell ref="G549:J549"/>
    <mergeCell ref="K549:N549"/>
    <mergeCell ref="O549:Q549"/>
    <mergeCell ref="R549:R550"/>
    <mergeCell ref="B541:F541"/>
    <mergeCell ref="G541:M541"/>
    <mergeCell ref="B542:D542"/>
    <mergeCell ref="O543:S543"/>
    <mergeCell ref="A545:S545"/>
    <mergeCell ref="A546:S546"/>
    <mergeCell ref="C538:G538"/>
    <mergeCell ref="I538:J538"/>
    <mergeCell ref="K538:M538"/>
    <mergeCell ref="O538:S538"/>
    <mergeCell ref="B539:H539"/>
    <mergeCell ref="B540:H540"/>
    <mergeCell ref="A528:B528"/>
    <mergeCell ref="E530:I530"/>
    <mergeCell ref="J530:N530"/>
    <mergeCell ref="P530:S530"/>
    <mergeCell ref="A535:B535"/>
    <mergeCell ref="O537:S537"/>
    <mergeCell ref="O515:Q515"/>
    <mergeCell ref="R515:R516"/>
    <mergeCell ref="S515:S516"/>
    <mergeCell ref="A521:B521"/>
    <mergeCell ref="E523:I523"/>
    <mergeCell ref="J523:N523"/>
    <mergeCell ref="P523:S523"/>
    <mergeCell ref="A511:S511"/>
    <mergeCell ref="A512:S512"/>
    <mergeCell ref="E513:I513"/>
    <mergeCell ref="J513:N513"/>
    <mergeCell ref="P513:S513"/>
    <mergeCell ref="A515:A516"/>
    <mergeCell ref="B515:B516"/>
    <mergeCell ref="C515:F515"/>
    <mergeCell ref="G515:J515"/>
    <mergeCell ref="K515:N515"/>
    <mergeCell ref="B505:H505"/>
    <mergeCell ref="B506:H506"/>
    <mergeCell ref="B507:F507"/>
    <mergeCell ref="G507:M507"/>
    <mergeCell ref="B508:D508"/>
    <mergeCell ref="O509:S509"/>
    <mergeCell ref="E496:I496"/>
    <mergeCell ref="J496:N496"/>
    <mergeCell ref="P496:S496"/>
    <mergeCell ref="A501:B501"/>
    <mergeCell ref="O503:S503"/>
    <mergeCell ref="C504:G504"/>
    <mergeCell ref="I504:J504"/>
    <mergeCell ref="K504:M504"/>
    <mergeCell ref="O504:S504"/>
    <mergeCell ref="S481:S482"/>
    <mergeCell ref="A487:B487"/>
    <mergeCell ref="E489:I489"/>
    <mergeCell ref="J489:N489"/>
    <mergeCell ref="P489:S489"/>
    <mergeCell ref="A494:B494"/>
    <mergeCell ref="E479:I479"/>
    <mergeCell ref="J479:N479"/>
    <mergeCell ref="P479:S479"/>
    <mergeCell ref="A481:A482"/>
    <mergeCell ref="B481:B482"/>
    <mergeCell ref="C481:F481"/>
    <mergeCell ref="G481:J481"/>
    <mergeCell ref="K481:N481"/>
    <mergeCell ref="O481:Q481"/>
    <mergeCell ref="R481:R482"/>
    <mergeCell ref="B473:F473"/>
    <mergeCell ref="G473:M473"/>
    <mergeCell ref="B474:D474"/>
    <mergeCell ref="O475:S475"/>
    <mergeCell ref="A477:S477"/>
    <mergeCell ref="A478:S478"/>
    <mergeCell ref="C470:G470"/>
    <mergeCell ref="I470:J470"/>
    <mergeCell ref="K470:M470"/>
    <mergeCell ref="O470:S470"/>
    <mergeCell ref="B471:H471"/>
    <mergeCell ref="B472:H472"/>
    <mergeCell ref="A460:B460"/>
    <mergeCell ref="E462:I462"/>
    <mergeCell ref="J462:N462"/>
    <mergeCell ref="P462:S462"/>
    <mergeCell ref="A467:B467"/>
    <mergeCell ref="O469:S469"/>
    <mergeCell ref="O447:Q447"/>
    <mergeCell ref="R447:R448"/>
    <mergeCell ref="S447:S448"/>
    <mergeCell ref="A453:B453"/>
    <mergeCell ref="E455:I455"/>
    <mergeCell ref="J455:N455"/>
    <mergeCell ref="P455:S455"/>
    <mergeCell ref="A443:S443"/>
    <mergeCell ref="A444:S444"/>
    <mergeCell ref="E445:I445"/>
    <mergeCell ref="J445:N445"/>
    <mergeCell ref="P445:S445"/>
    <mergeCell ref="A447:A448"/>
    <mergeCell ref="B447:B448"/>
    <mergeCell ref="C447:F447"/>
    <mergeCell ref="G447:J447"/>
    <mergeCell ref="K447:N447"/>
    <mergeCell ref="B437:H437"/>
    <mergeCell ref="B438:H438"/>
    <mergeCell ref="B439:F439"/>
    <mergeCell ref="G439:M439"/>
    <mergeCell ref="B440:D440"/>
    <mergeCell ref="O441:S441"/>
    <mergeCell ref="E428:I428"/>
    <mergeCell ref="J428:N428"/>
    <mergeCell ref="P428:S428"/>
    <mergeCell ref="A433:B433"/>
    <mergeCell ref="O435:S435"/>
    <mergeCell ref="C436:G436"/>
    <mergeCell ref="I436:J436"/>
    <mergeCell ref="K436:M436"/>
    <mergeCell ref="O436:S436"/>
    <mergeCell ref="S413:S414"/>
    <mergeCell ref="A419:B419"/>
    <mergeCell ref="E421:I421"/>
    <mergeCell ref="J421:N421"/>
    <mergeCell ref="P421:S421"/>
    <mergeCell ref="A426:B426"/>
    <mergeCell ref="E411:I411"/>
    <mergeCell ref="J411:N411"/>
    <mergeCell ref="P411:S411"/>
    <mergeCell ref="A413:A414"/>
    <mergeCell ref="B413:B414"/>
    <mergeCell ref="C413:F413"/>
    <mergeCell ref="G413:J413"/>
    <mergeCell ref="K413:N413"/>
    <mergeCell ref="O413:Q413"/>
    <mergeCell ref="R413:R414"/>
    <mergeCell ref="B405:F405"/>
    <mergeCell ref="G405:M405"/>
    <mergeCell ref="B406:D406"/>
    <mergeCell ref="O407:S407"/>
    <mergeCell ref="A409:S409"/>
    <mergeCell ref="A410:S410"/>
    <mergeCell ref="C402:G402"/>
    <mergeCell ref="I402:J402"/>
    <mergeCell ref="K402:M402"/>
    <mergeCell ref="O402:S402"/>
    <mergeCell ref="B403:H403"/>
    <mergeCell ref="B404:H404"/>
    <mergeCell ref="A392:B392"/>
    <mergeCell ref="E394:I394"/>
    <mergeCell ref="J394:N394"/>
    <mergeCell ref="P394:S394"/>
    <mergeCell ref="A399:B399"/>
    <mergeCell ref="O401:S401"/>
    <mergeCell ref="O379:Q379"/>
    <mergeCell ref="R379:R380"/>
    <mergeCell ref="S379:S380"/>
    <mergeCell ref="A385:B385"/>
    <mergeCell ref="E387:I387"/>
    <mergeCell ref="J387:N387"/>
    <mergeCell ref="P387:S387"/>
    <mergeCell ref="A375:S375"/>
    <mergeCell ref="A376:S376"/>
    <mergeCell ref="E377:I377"/>
    <mergeCell ref="J377:N377"/>
    <mergeCell ref="P377:S377"/>
    <mergeCell ref="A379:A380"/>
    <mergeCell ref="B379:B380"/>
    <mergeCell ref="C379:F379"/>
    <mergeCell ref="G379:J379"/>
    <mergeCell ref="K379:N379"/>
    <mergeCell ref="B369:H369"/>
    <mergeCell ref="B370:H370"/>
    <mergeCell ref="B371:F371"/>
    <mergeCell ref="G371:M371"/>
    <mergeCell ref="B372:D372"/>
    <mergeCell ref="O373:S373"/>
    <mergeCell ref="E360:I360"/>
    <mergeCell ref="J360:N360"/>
    <mergeCell ref="P360:S360"/>
    <mergeCell ref="A365:B365"/>
    <mergeCell ref="O367:S367"/>
    <mergeCell ref="C368:G368"/>
    <mergeCell ref="I368:J368"/>
    <mergeCell ref="K368:M368"/>
    <mergeCell ref="O368:S368"/>
    <mergeCell ref="S345:S346"/>
    <mergeCell ref="A351:B351"/>
    <mergeCell ref="E353:I353"/>
    <mergeCell ref="J353:N353"/>
    <mergeCell ref="P353:S353"/>
    <mergeCell ref="A358:B358"/>
    <mergeCell ref="E343:I343"/>
    <mergeCell ref="J343:N343"/>
    <mergeCell ref="P343:S343"/>
    <mergeCell ref="A345:A346"/>
    <mergeCell ref="B345:B346"/>
    <mergeCell ref="C345:F345"/>
    <mergeCell ref="G345:J345"/>
    <mergeCell ref="K345:N345"/>
    <mergeCell ref="O345:Q345"/>
    <mergeCell ref="R345:R346"/>
    <mergeCell ref="B337:F337"/>
    <mergeCell ref="G337:M337"/>
    <mergeCell ref="B338:D338"/>
    <mergeCell ref="O339:S339"/>
    <mergeCell ref="A341:S341"/>
    <mergeCell ref="A342:S342"/>
    <mergeCell ref="C334:G334"/>
    <mergeCell ref="I334:J334"/>
    <mergeCell ref="K334:M334"/>
    <mergeCell ref="O334:S334"/>
    <mergeCell ref="B335:H335"/>
    <mergeCell ref="B336:H336"/>
    <mergeCell ref="A324:B324"/>
    <mergeCell ref="E326:I326"/>
    <mergeCell ref="J326:N326"/>
    <mergeCell ref="P326:S326"/>
    <mergeCell ref="A331:B331"/>
    <mergeCell ref="O333:S333"/>
    <mergeCell ref="O311:Q311"/>
    <mergeCell ref="R311:R312"/>
    <mergeCell ref="S311:S312"/>
    <mergeCell ref="A317:B317"/>
    <mergeCell ref="E319:I319"/>
    <mergeCell ref="J319:N319"/>
    <mergeCell ref="P319:S319"/>
    <mergeCell ref="A307:S307"/>
    <mergeCell ref="A308:S308"/>
    <mergeCell ref="E309:I309"/>
    <mergeCell ref="J309:N309"/>
    <mergeCell ref="P309:S309"/>
    <mergeCell ref="A311:A312"/>
    <mergeCell ref="B311:B312"/>
    <mergeCell ref="C311:F311"/>
    <mergeCell ref="G311:J311"/>
    <mergeCell ref="K311:N311"/>
    <mergeCell ref="B301:H301"/>
    <mergeCell ref="B302:H302"/>
    <mergeCell ref="B303:F303"/>
    <mergeCell ref="G303:M303"/>
    <mergeCell ref="B304:D304"/>
    <mergeCell ref="O305:S305"/>
    <mergeCell ref="E292:I292"/>
    <mergeCell ref="J292:N292"/>
    <mergeCell ref="P292:S292"/>
    <mergeCell ref="A297:B297"/>
    <mergeCell ref="O299:S299"/>
    <mergeCell ref="C300:G300"/>
    <mergeCell ref="I300:J300"/>
    <mergeCell ref="K300:M300"/>
    <mergeCell ref="O300:S300"/>
    <mergeCell ref="S277:S278"/>
    <mergeCell ref="A283:B283"/>
    <mergeCell ref="E285:I285"/>
    <mergeCell ref="J285:N285"/>
    <mergeCell ref="P285:S285"/>
    <mergeCell ref="A290:B290"/>
    <mergeCell ref="E275:I275"/>
    <mergeCell ref="J275:N275"/>
    <mergeCell ref="P275:S275"/>
    <mergeCell ref="A277:A278"/>
    <mergeCell ref="B277:B278"/>
    <mergeCell ref="C277:F277"/>
    <mergeCell ref="G277:J277"/>
    <mergeCell ref="K277:N277"/>
    <mergeCell ref="O277:Q277"/>
    <mergeCell ref="R277:R278"/>
    <mergeCell ref="B269:F269"/>
    <mergeCell ref="G269:M269"/>
    <mergeCell ref="B270:D270"/>
    <mergeCell ref="O271:S271"/>
    <mergeCell ref="A273:S273"/>
    <mergeCell ref="A274:S274"/>
    <mergeCell ref="C266:G266"/>
    <mergeCell ref="I266:J266"/>
    <mergeCell ref="K266:M266"/>
    <mergeCell ref="O266:S266"/>
    <mergeCell ref="B267:H267"/>
    <mergeCell ref="B268:H268"/>
    <mergeCell ref="A256:B256"/>
    <mergeCell ref="E258:I258"/>
    <mergeCell ref="J258:N258"/>
    <mergeCell ref="P258:S258"/>
    <mergeCell ref="A263:B263"/>
    <mergeCell ref="O265:S265"/>
    <mergeCell ref="O243:Q243"/>
    <mergeCell ref="R243:R244"/>
    <mergeCell ref="S243:S244"/>
    <mergeCell ref="A249:B249"/>
    <mergeCell ref="E251:I251"/>
    <mergeCell ref="J251:N251"/>
    <mergeCell ref="P251:S251"/>
    <mergeCell ref="A239:S239"/>
    <mergeCell ref="A240:S240"/>
    <mergeCell ref="E241:I241"/>
    <mergeCell ref="J241:N241"/>
    <mergeCell ref="P241:S241"/>
    <mergeCell ref="A243:A244"/>
    <mergeCell ref="B243:B244"/>
    <mergeCell ref="C243:F243"/>
    <mergeCell ref="G243:J243"/>
    <mergeCell ref="K243:N243"/>
    <mergeCell ref="B233:H233"/>
    <mergeCell ref="B234:H234"/>
    <mergeCell ref="B235:F235"/>
    <mergeCell ref="G235:M235"/>
    <mergeCell ref="B236:D236"/>
    <mergeCell ref="O237:S237"/>
    <mergeCell ref="E224:I224"/>
    <mergeCell ref="J224:N224"/>
    <mergeCell ref="P224:S224"/>
    <mergeCell ref="A229:B229"/>
    <mergeCell ref="O231:S231"/>
    <mergeCell ref="C232:G232"/>
    <mergeCell ref="I232:J232"/>
    <mergeCell ref="K232:M232"/>
    <mergeCell ref="O232:S232"/>
    <mergeCell ref="S209:S210"/>
    <mergeCell ref="A215:B215"/>
    <mergeCell ref="E217:I217"/>
    <mergeCell ref="J217:N217"/>
    <mergeCell ref="P217:S217"/>
    <mergeCell ref="A222:B222"/>
    <mergeCell ref="E207:I207"/>
    <mergeCell ref="J207:N207"/>
    <mergeCell ref="P207:S207"/>
    <mergeCell ref="A209:A210"/>
    <mergeCell ref="B209:B210"/>
    <mergeCell ref="C209:F209"/>
    <mergeCell ref="G209:J209"/>
    <mergeCell ref="K209:N209"/>
    <mergeCell ref="O209:Q209"/>
    <mergeCell ref="R209:R210"/>
    <mergeCell ref="B201:F201"/>
    <mergeCell ref="G201:M201"/>
    <mergeCell ref="B202:D202"/>
    <mergeCell ref="O203:S203"/>
    <mergeCell ref="A205:S205"/>
    <mergeCell ref="A206:S206"/>
    <mergeCell ref="C198:G198"/>
    <mergeCell ref="I198:J198"/>
    <mergeCell ref="K198:M198"/>
    <mergeCell ref="O198:S198"/>
    <mergeCell ref="B199:H199"/>
    <mergeCell ref="B200:H200"/>
    <mergeCell ref="A188:B188"/>
    <mergeCell ref="E190:I190"/>
    <mergeCell ref="J190:N190"/>
    <mergeCell ref="P190:S190"/>
    <mergeCell ref="A195:B195"/>
    <mergeCell ref="O197:S197"/>
    <mergeCell ref="O175:Q175"/>
    <mergeCell ref="R175:R176"/>
    <mergeCell ref="S175:S176"/>
    <mergeCell ref="A181:B181"/>
    <mergeCell ref="E183:I183"/>
    <mergeCell ref="J183:N183"/>
    <mergeCell ref="P183:S183"/>
    <mergeCell ref="A171:S171"/>
    <mergeCell ref="A172:S172"/>
    <mergeCell ref="E173:I173"/>
    <mergeCell ref="J173:N173"/>
    <mergeCell ref="P173:S173"/>
    <mergeCell ref="A175:A176"/>
    <mergeCell ref="B175:B176"/>
    <mergeCell ref="C175:F175"/>
    <mergeCell ref="G175:J175"/>
    <mergeCell ref="K175:N175"/>
    <mergeCell ref="B165:H165"/>
    <mergeCell ref="B166:H166"/>
    <mergeCell ref="B167:F167"/>
    <mergeCell ref="G167:M167"/>
    <mergeCell ref="B168:D168"/>
    <mergeCell ref="O169:S169"/>
    <mergeCell ref="E156:I156"/>
    <mergeCell ref="J156:N156"/>
    <mergeCell ref="P156:S156"/>
    <mergeCell ref="A161:B161"/>
    <mergeCell ref="O163:S163"/>
    <mergeCell ref="C164:G164"/>
    <mergeCell ref="I164:J164"/>
    <mergeCell ref="K164:M164"/>
    <mergeCell ref="O164:S164"/>
    <mergeCell ref="S141:S142"/>
    <mergeCell ref="A147:B147"/>
    <mergeCell ref="E149:I149"/>
    <mergeCell ref="J149:N149"/>
    <mergeCell ref="P149:S149"/>
    <mergeCell ref="A154:B154"/>
    <mergeCell ref="E139:I139"/>
    <mergeCell ref="J139:N139"/>
    <mergeCell ref="P139:S139"/>
    <mergeCell ref="A141:A142"/>
    <mergeCell ref="B141:B142"/>
    <mergeCell ref="C141:F141"/>
    <mergeCell ref="G141:J141"/>
    <mergeCell ref="K141:N141"/>
    <mergeCell ref="O141:Q141"/>
    <mergeCell ref="R141:R142"/>
    <mergeCell ref="B133:F133"/>
    <mergeCell ref="G133:M133"/>
    <mergeCell ref="B134:D134"/>
    <mergeCell ref="O135:S135"/>
    <mergeCell ref="A137:S137"/>
    <mergeCell ref="A138:S138"/>
    <mergeCell ref="C130:G130"/>
    <mergeCell ref="I130:J130"/>
    <mergeCell ref="K130:M130"/>
    <mergeCell ref="O130:S130"/>
    <mergeCell ref="B131:H131"/>
    <mergeCell ref="B132:H132"/>
    <mergeCell ref="A120:B120"/>
    <mergeCell ref="E122:I122"/>
    <mergeCell ref="J122:N122"/>
    <mergeCell ref="P122:S122"/>
    <mergeCell ref="A127:B127"/>
    <mergeCell ref="O129:S129"/>
    <mergeCell ref="O107:Q107"/>
    <mergeCell ref="R107:R108"/>
    <mergeCell ref="S107:S108"/>
    <mergeCell ref="A113:B113"/>
    <mergeCell ref="E115:I115"/>
    <mergeCell ref="J115:N115"/>
    <mergeCell ref="P115:S115"/>
    <mergeCell ref="A103:S103"/>
    <mergeCell ref="A104:S104"/>
    <mergeCell ref="E105:I105"/>
    <mergeCell ref="J105:N105"/>
    <mergeCell ref="P105:S105"/>
    <mergeCell ref="A107:A108"/>
    <mergeCell ref="B107:B108"/>
    <mergeCell ref="C107:F107"/>
    <mergeCell ref="G107:J107"/>
    <mergeCell ref="K107:N107"/>
    <mergeCell ref="B97:H97"/>
    <mergeCell ref="B98:H98"/>
    <mergeCell ref="B99:F99"/>
    <mergeCell ref="G99:M99"/>
    <mergeCell ref="B100:D100"/>
    <mergeCell ref="O101:S101"/>
    <mergeCell ref="E88:I88"/>
    <mergeCell ref="J88:N88"/>
    <mergeCell ref="P88:S88"/>
    <mergeCell ref="A93:B93"/>
    <mergeCell ref="O95:S95"/>
    <mergeCell ref="C96:G96"/>
    <mergeCell ref="I96:J96"/>
    <mergeCell ref="K96:M96"/>
    <mergeCell ref="O96:S96"/>
    <mergeCell ref="S73:S74"/>
    <mergeCell ref="A79:B79"/>
    <mergeCell ref="E81:I81"/>
    <mergeCell ref="J81:N81"/>
    <mergeCell ref="P81:S81"/>
    <mergeCell ref="A86:B86"/>
    <mergeCell ref="E71:I71"/>
    <mergeCell ref="J71:N71"/>
    <mergeCell ref="P71:S71"/>
    <mergeCell ref="A73:A74"/>
    <mergeCell ref="B73:B74"/>
    <mergeCell ref="C73:F73"/>
    <mergeCell ref="G73:J73"/>
    <mergeCell ref="K73:N73"/>
    <mergeCell ref="O73:Q73"/>
    <mergeCell ref="R73:R74"/>
    <mergeCell ref="B65:F65"/>
    <mergeCell ref="G65:M65"/>
    <mergeCell ref="B66:D66"/>
    <mergeCell ref="O67:S67"/>
    <mergeCell ref="A69:S69"/>
    <mergeCell ref="A70:S70"/>
    <mergeCell ref="C62:G62"/>
    <mergeCell ref="I62:J62"/>
    <mergeCell ref="K62:M62"/>
    <mergeCell ref="O62:S62"/>
    <mergeCell ref="B63:H63"/>
    <mergeCell ref="B64:H64"/>
    <mergeCell ref="A52:B52"/>
    <mergeCell ref="E54:I54"/>
    <mergeCell ref="J54:N54"/>
    <mergeCell ref="P54:S54"/>
    <mergeCell ref="A59:B59"/>
    <mergeCell ref="O61:S61"/>
    <mergeCell ref="R39:R40"/>
    <mergeCell ref="S39:S40"/>
    <mergeCell ref="A45:B45"/>
    <mergeCell ref="E47:I47"/>
    <mergeCell ref="J47:N47"/>
    <mergeCell ref="P47:S47"/>
    <mergeCell ref="A36:S36"/>
    <mergeCell ref="E37:I37"/>
    <mergeCell ref="J37:N37"/>
    <mergeCell ref="P37:S37"/>
    <mergeCell ref="A39:A40"/>
    <mergeCell ref="B39:B40"/>
    <mergeCell ref="C39:F39"/>
    <mergeCell ref="G39:J39"/>
    <mergeCell ref="K39:N39"/>
    <mergeCell ref="O39:Q39"/>
    <mergeCell ref="A18:B18"/>
    <mergeCell ref="E20:I20"/>
    <mergeCell ref="J20:N20"/>
    <mergeCell ref="P20:S20"/>
    <mergeCell ref="A25:B25"/>
    <mergeCell ref="A35:S35"/>
    <mergeCell ref="B29:H29"/>
    <mergeCell ref="B30:H30"/>
    <mergeCell ref="B31:F31"/>
    <mergeCell ref="G31:M31"/>
    <mergeCell ref="B32:D32"/>
    <mergeCell ref="O33:S33"/>
    <mergeCell ref="O27:S27"/>
    <mergeCell ref="C28:G28"/>
    <mergeCell ref="I28:J28"/>
    <mergeCell ref="K28:M28"/>
    <mergeCell ref="O28:S28"/>
    <mergeCell ref="E13:I13"/>
    <mergeCell ref="J13:N13"/>
    <mergeCell ref="P13:S13"/>
    <mergeCell ref="O5:Q5"/>
    <mergeCell ref="R5:R6"/>
    <mergeCell ref="S5:S6"/>
    <mergeCell ref="A11:B11"/>
    <mergeCell ref="A1:S1"/>
    <mergeCell ref="A2:S2"/>
    <mergeCell ref="E3:I3"/>
    <mergeCell ref="J3:N3"/>
    <mergeCell ref="P3:S3"/>
    <mergeCell ref="A5:A6"/>
    <mergeCell ref="B5:B6"/>
    <mergeCell ref="C5:F5"/>
    <mergeCell ref="G5:J5"/>
    <mergeCell ref="K5:N5"/>
  </mergeCells>
  <pageMargins left="0.7" right="0.2" top="0.25" bottom="0.25" header="0.3" footer="0.3"/>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Master</vt:lpstr>
      <vt:lpstr>Arrear</vt:lpstr>
      <vt:lpstr>Unlock</vt:lpstr>
      <vt:lpstr>Surrender Arrear</vt:lpstr>
      <vt:lpstr>All Employees Report</vt:lpstr>
      <vt:lpstr>month</vt:lpstr>
      <vt:lpstr>'All Employees Report'!Print_Area</vt:lpstr>
      <vt:lpstr>Arrear!Print_Area</vt:lpstr>
      <vt:lpstr>'Surrender Arrear'!Print_Area</vt:lpstr>
      <vt:lpstr>Unlock!Print_Area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tc</dc:creator>
  <cp:lastModifiedBy>Windows User</cp:lastModifiedBy>
  <cp:lastPrinted>2022-04-04T17:19:25Z</cp:lastPrinted>
  <dcterms:created xsi:type="dcterms:W3CDTF">2017-11-28T05:50:55Z</dcterms:created>
  <dcterms:modified xsi:type="dcterms:W3CDTF">2022-10-09T11:37:14Z</dcterms:modified>
</cp:coreProperties>
</file>