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COME TAX 2022-23\"/>
    </mc:Choice>
  </mc:AlternateContent>
  <xr:revisionPtr revIDLastSave="0" documentId="13_ncr:1_{81E11589-1DE2-4DA9-B766-7CE511E02C5A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T8" i="2"/>
  <c r="P7" i="2"/>
  <c r="D8" i="2"/>
  <c r="O8" i="2" s="1"/>
  <c r="O7" i="2"/>
  <c r="S8" i="2" l="1"/>
  <c r="H8" i="2"/>
  <c r="I8" i="2"/>
  <c r="Y27" i="2"/>
  <c r="Y26" i="2"/>
  <c r="Y25" i="2"/>
  <c r="Y22" i="2"/>
  <c r="Y21" i="2"/>
  <c r="Y20" i="2"/>
  <c r="Y15" i="2"/>
  <c r="M8" i="2"/>
  <c r="M7" i="2"/>
  <c r="D26" i="3"/>
  <c r="AB34" i="2"/>
  <c r="M12" i="7"/>
  <c r="P15" i="7" s="1"/>
  <c r="E34" i="2"/>
  <c r="L19" i="2"/>
  <c r="Y19" i="2" s="1"/>
  <c r="L18" i="2"/>
  <c r="Y18" i="2" s="1"/>
  <c r="L17" i="2"/>
  <c r="Y17" i="2" s="1"/>
  <c r="L16" i="2"/>
  <c r="Y16" i="2" s="1"/>
  <c r="L15" i="2"/>
  <c r="L14" i="2"/>
  <c r="Y14" i="2" s="1"/>
  <c r="L13" i="2"/>
  <c r="Y13" i="2" s="1"/>
  <c r="L12" i="2"/>
  <c r="Y12" i="2" s="1"/>
  <c r="L11" i="2"/>
  <c r="Y11" i="2" s="1"/>
  <c r="L10" i="2"/>
  <c r="Y10" i="2" s="1"/>
  <c r="L9" i="2"/>
  <c r="Y9" i="2" s="1"/>
  <c r="Y7" i="2"/>
  <c r="L7" i="2"/>
  <c r="L8" i="2"/>
  <c r="Y8" i="2" s="1"/>
  <c r="W17" i="2"/>
  <c r="R9" i="2" l="1"/>
  <c r="AA27" i="2"/>
  <c r="AA26" i="2"/>
  <c r="AA25" i="2"/>
  <c r="AA21" i="2"/>
  <c r="AA20" i="2"/>
  <c r="N27" i="2"/>
  <c r="N26" i="2"/>
  <c r="N25" i="2"/>
  <c r="AB27" i="2" l="1"/>
  <c r="AB25" i="2"/>
  <c r="AB26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R28" i="2" l="1"/>
  <c r="D9" i="2"/>
  <c r="O9" i="2" s="1"/>
  <c r="U2" i="1"/>
  <c r="P8" i="1"/>
  <c r="Z9" i="2"/>
  <c r="R6" i="2"/>
  <c r="S9" i="2" l="1"/>
  <c r="U3" i="1"/>
  <c r="H9" i="2"/>
  <c r="I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O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P5" i="3"/>
  <c r="P60" i="3"/>
  <c r="P44" i="3"/>
  <c r="P41" i="3"/>
  <c r="P39" i="3"/>
  <c r="P38" i="3"/>
  <c r="P37" i="3"/>
  <c r="P36" i="3"/>
  <c r="P33" i="3"/>
  <c r="M8" i="3"/>
  <c r="N22" i="2" l="1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V16" i="2" s="1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O10" i="2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H10" i="2" l="1"/>
  <c r="S10" i="2"/>
  <c r="U4" i="1"/>
  <c r="I10" i="2"/>
  <c r="W4" i="1" s="1"/>
  <c r="V4" i="1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D11" i="2"/>
  <c r="N9" i="2"/>
  <c r="AB9" i="2" s="1"/>
  <c r="H23" i="2" l="1"/>
  <c r="O23" i="2" s="1"/>
  <c r="H11" i="2"/>
  <c r="S11" i="2"/>
  <c r="O11" i="2"/>
  <c r="U5" i="1"/>
  <c r="V5" i="1"/>
  <c r="I11" i="2"/>
  <c r="W5" i="1" s="1"/>
  <c r="V17" i="2"/>
  <c r="P11" i="1"/>
  <c r="AA10" i="2"/>
  <c r="Q10" i="1"/>
  <c r="R10" i="1" s="1"/>
  <c r="Q28" i="2"/>
  <c r="H21" i="3" s="1"/>
  <c r="F55" i="7"/>
  <c r="H22" i="3"/>
  <c r="D12" i="2"/>
  <c r="N10" i="2"/>
  <c r="F63" i="3"/>
  <c r="M14" i="3"/>
  <c r="P15" i="3" s="1"/>
  <c r="H12" i="2" l="1"/>
  <c r="I12" i="2"/>
  <c r="W6" i="1" s="1"/>
  <c r="S12" i="2"/>
  <c r="O12" i="2"/>
  <c r="AF21" i="2"/>
  <c r="AG21" i="2" s="1"/>
  <c r="AB10" i="2"/>
  <c r="V18" i="2"/>
  <c r="U6" i="1"/>
  <c r="P12" i="1"/>
  <c r="AA11" i="2"/>
  <c r="Q11" i="1"/>
  <c r="R11" i="1" s="1"/>
  <c r="N20" i="2"/>
  <c r="AB20" i="2" s="1"/>
  <c r="J55" i="7"/>
  <c r="N11" i="2"/>
  <c r="D13" i="2"/>
  <c r="H13" i="2" s="1"/>
  <c r="S13" i="2" l="1"/>
  <c r="O13" i="2"/>
  <c r="AF22" i="2"/>
  <c r="AG22" i="2" s="1"/>
  <c r="I13" i="2"/>
  <c r="W7" i="1" s="1"/>
  <c r="AB11" i="2"/>
  <c r="N12" i="2"/>
  <c r="V19" i="2"/>
  <c r="V28" i="2" s="1"/>
  <c r="L55" i="7"/>
  <c r="U7" i="1"/>
  <c r="Q12" i="1"/>
  <c r="R12" i="1" s="1"/>
  <c r="V6" i="1"/>
  <c r="AA12" i="2"/>
  <c r="P13" i="1"/>
  <c r="J63" i="3"/>
  <c r="D14" i="2"/>
  <c r="H14" i="2" s="1"/>
  <c r="S14" i="2" l="1"/>
  <c r="O14" i="2"/>
  <c r="AH22" i="2"/>
  <c r="AF23" i="2"/>
  <c r="AG23" i="2" s="1"/>
  <c r="I14" i="2"/>
  <c r="W8" i="1" s="1"/>
  <c r="V8" i="1"/>
  <c r="AH21" i="2"/>
  <c r="N13" i="2"/>
  <c r="AB12" i="2"/>
  <c r="M55" i="7"/>
  <c r="P55" i="7" s="1"/>
  <c r="U8" i="1"/>
  <c r="Q13" i="1"/>
  <c r="R13" i="1" s="1"/>
  <c r="V7" i="1"/>
  <c r="AA13" i="2"/>
  <c r="P14" i="1"/>
  <c r="M63" i="3"/>
  <c r="L63" i="3"/>
  <c r="F11" i="1"/>
  <c r="D15" i="2"/>
  <c r="H24" i="2" l="1"/>
  <c r="O24" i="2" s="1"/>
  <c r="AA24" i="2" s="1"/>
  <c r="H15" i="2"/>
  <c r="S15" i="2"/>
  <c r="O15" i="2"/>
  <c r="I15" i="2"/>
  <c r="W9" i="1" s="1"/>
  <c r="AH23" i="2"/>
  <c r="AH25" i="2" s="1"/>
  <c r="L23" i="2"/>
  <c r="Y23" i="2" s="1"/>
  <c r="AG25" i="2"/>
  <c r="AB13" i="2"/>
  <c r="AF25" i="2"/>
  <c r="U9" i="1"/>
  <c r="N14" i="2"/>
  <c r="P15" i="1"/>
  <c r="AA14" i="2"/>
  <c r="Q14" i="1"/>
  <c r="R14" i="1" s="1"/>
  <c r="V9" i="1"/>
  <c r="P63" i="3"/>
  <c r="D16" i="2"/>
  <c r="N24" i="2" l="1"/>
  <c r="AB24" i="2"/>
  <c r="S16" i="2"/>
  <c r="O16" i="2"/>
  <c r="D21" i="2"/>
  <c r="H21" i="2" s="1"/>
  <c r="H16" i="2"/>
  <c r="V10" i="1" s="1"/>
  <c r="I16" i="2"/>
  <c r="W10" i="1" s="1"/>
  <c r="AF26" i="2"/>
  <c r="P28" i="2" s="1"/>
  <c r="AB14" i="2"/>
  <c r="Y28" i="2"/>
  <c r="L28" i="2"/>
  <c r="N15" i="2"/>
  <c r="U10" i="1"/>
  <c r="P16" i="1"/>
  <c r="AA15" i="2"/>
  <c r="Q15" i="1"/>
  <c r="R15" i="1" s="1"/>
  <c r="AB8" i="2"/>
  <c r="D17" i="2"/>
  <c r="N21" i="2" l="1"/>
  <c r="AB21" i="2" s="1"/>
  <c r="S17" i="2"/>
  <c r="O17" i="2"/>
  <c r="H17" i="2"/>
  <c r="V11" i="1" s="1"/>
  <c r="I17" i="2"/>
  <c r="W11" i="1" s="1"/>
  <c r="N23" i="2"/>
  <c r="AA23" i="2"/>
  <c r="AB15" i="2"/>
  <c r="N16" i="2"/>
  <c r="U11" i="1"/>
  <c r="P17" i="1"/>
  <c r="AA16" i="2"/>
  <c r="Q16" i="1"/>
  <c r="R16" i="1" s="1"/>
  <c r="D18" i="2"/>
  <c r="O18" i="2" l="1"/>
  <c r="I18" i="2"/>
  <c r="W12" i="1" s="1"/>
  <c r="H18" i="2"/>
  <c r="V12" i="1" s="1"/>
  <c r="S18" i="2"/>
  <c r="AB16" i="2"/>
  <c r="AB23" i="2"/>
  <c r="N17" i="2"/>
  <c r="U12" i="1"/>
  <c r="AA17" i="2"/>
  <c r="Q17" i="1"/>
  <c r="R17" i="1" s="1"/>
  <c r="P18" i="1"/>
  <c r="D19" i="2"/>
  <c r="O19" i="2" l="1"/>
  <c r="I19" i="2"/>
  <c r="H19" i="2"/>
  <c r="V13" i="1" s="1"/>
  <c r="V14" i="1" s="1"/>
  <c r="D26" i="1" s="1"/>
  <c r="S19" i="2"/>
  <c r="S28" i="2" s="1"/>
  <c r="AB17" i="2"/>
  <c r="N18" i="2"/>
  <c r="U13" i="1"/>
  <c r="U14" i="1" s="1"/>
  <c r="P19" i="1"/>
  <c r="AA18" i="2"/>
  <c r="Q18" i="1"/>
  <c r="R18" i="1" s="1"/>
  <c r="D28" i="2"/>
  <c r="AB18" i="2" l="1"/>
  <c r="N19" i="2"/>
  <c r="N28" i="2" s="1"/>
  <c r="I28" i="2"/>
  <c r="I21" i="1" s="1"/>
  <c r="W13" i="1"/>
  <c r="W14" i="1" s="1"/>
  <c r="U16" i="1"/>
  <c r="D25" i="1"/>
  <c r="Q19" i="1"/>
  <c r="R19" i="1" s="1"/>
  <c r="R20" i="1" s="1"/>
  <c r="R21" i="1" s="1"/>
  <c r="I18" i="1" s="1"/>
  <c r="H28" i="2"/>
  <c r="P4" i="3" l="1"/>
  <c r="P4" i="7"/>
  <c r="D30" i="1"/>
  <c r="U25" i="1" s="1"/>
  <c r="O28" i="2"/>
  <c r="H26" i="3" s="1"/>
  <c r="AA19" i="2"/>
  <c r="AB19" i="2" s="1"/>
  <c r="U19" i="1"/>
  <c r="U18" i="1"/>
  <c r="U27" i="1" s="1"/>
  <c r="D31" i="1" s="1"/>
  <c r="K9" i="1"/>
  <c r="K4" i="1" l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6" i="7"/>
  <c r="P10" i="7" s="1"/>
  <c r="P11" i="7" s="1"/>
  <c r="P16" i="7" s="1"/>
  <c r="P18" i="7" s="1"/>
  <c r="I9" i="1"/>
  <c r="AB28" i="2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30" i="3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<sst xmlns="http://schemas.openxmlformats.org/spreadsheetml/2006/main" count="415" uniqueCount="352">
  <si>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</si>
  <si>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</si>
  <si>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</si>
  <si>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</si>
  <si>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</si>
  <si>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</si>
  <si>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</si>
  <si>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</si>
  <si>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</si>
  <si>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</si>
  <si>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</si>
  <si>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</si>
  <si>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</si>
  <si>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</si>
  <si>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</si>
  <si>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</si>
  <si>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</si>
  <si>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</si>
  <si>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</si>
  <si>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</si>
  <si>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</si>
  <si>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</si>
  <si>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</si>
  <si>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</si>
  <si>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</si>
  <si>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</si>
  <si>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</si>
  <si>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</si>
  <si>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</si>
  <si>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</si>
  <si>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</si>
  <si>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</si>
  <si>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</si>
  <si>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</si>
  <si>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</si>
  <si>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</si>
  <si>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</si>
  <si>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</si>
  <si>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</si>
  <si>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</si>
  <si>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</si>
  <si>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</si>
  <si>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</si>
  <si>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</si>
  <si>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</si>
  <si>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</si>
  <si>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</si>
  <si>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</si>
  <si>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</si>
  <si>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</si>
  <si>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</si>
  <si>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</si>
  <si>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</si>
  <si>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</si>
  <si>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</si>
  <si>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</si>
  <si>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</si>
  <si>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</si>
  <si>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</si>
  <si>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</si>
  <si>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</si>
  <si>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</si>
  <si>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</si>
  <si>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</si>
  <si>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</si>
  <si>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</si>
  <si>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</si>
  <si>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</si>
  <si>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</si>
  <si>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</si>
  <si>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</si>
  <si>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</si>
  <si>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</si>
  <si>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</si>
  <si>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</si>
  <si>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</si>
  <si>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</si>
  <si>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</si>
  <si>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</si>
  <si>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</si>
  <si>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</si>
  <si>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</si>
  <si>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</si>
  <si>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</si>
  <si>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</si>
  <si>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</si>
  <si>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</si>
  <si>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</si>
  <si>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</si>
  <si>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</si>
  <si>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</si>
  <si>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</si>
  <si>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</si>
  <si>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</si>
  <si>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</si>
  <si>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</si>
  <si>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</si>
  <si>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</si>
  <si>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</si>
  <si>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</si>
  <si>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</si>
  <si>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</si>
  <si>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</si>
  <si>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</si>
  <si>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</si>
  <si>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</si>
  <si>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</si>
  <si>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</si>
  <si>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</si>
  <si>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</si>
  <si>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</si>
  <si>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</si>
  <si>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</si>
  <si>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</si>
  <si>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</si>
  <si>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</si>
  <si>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</si>
  <si>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</si>
  <si>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</si>
  <si>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</si>
  <si>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</si>
  <si>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</si>
  <si>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</si>
  <si>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</si>
  <si>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</si>
  <si>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</si>
  <si>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</si>
  <si>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</si>
  <si>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</si>
  <si>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</si>
  <si>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</si>
  <si>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</si>
  <si>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</si>
  <si>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</si>
  <si>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</si>
  <si>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</si>
  <si>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</si>
  <si>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</si>
  <si>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</si>
  <si>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</si>
  <si>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</si>
  <si>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</si>
  <si>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</si>
  <si>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</si>
  <si>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</si>
  <si>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</si>
  <si>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</si>
  <si>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</si>
  <si>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</si>
  <si>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</si>
  <si>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</si>
  <si>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</si>
  <si>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</si>
  <si>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</si>
  <si>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</si>
  <si>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</si>
  <si>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</si>
  <si>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</si>
  <si>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</si>
  <si>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</si>
  <si>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</si>
  <si>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</si>
  <si>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</si>
  <si>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</si>
  <si>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</si>
  <si>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</si>
  <si>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</si>
  <si>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</si>
  <si>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</si>
  <si>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</si>
  <si>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</si>
  <si>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</si>
  <si>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</si>
  <si>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</si>
  <si>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</si>
  <si>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</si>
  <si>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</si>
  <si>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</si>
  <si>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</si>
  <si>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</si>
  <si>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</si>
  <si>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</si>
  <si>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</si>
  <si>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</si>
  <si>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</si>
  <si>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</si>
  <si>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</si>
  <si>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</si>
  <si>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</si>
  <si>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</si>
  <si>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</si>
  <si>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</si>
  <si>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</si>
  <si>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</si>
  <si>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</si>
  <si>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</si>
  <si>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</si>
  <si>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</si>
  <si>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</si>
  <si>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</si>
  <si>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</si>
  <si>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</si>
  <si>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</si>
  <si>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</si>
  <si>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</si>
  <si>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</si>
  <si>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</si>
  <si>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</si>
  <si>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</si>
  <si>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</si>
  <si>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</si>
  <si>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</si>
  <si>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</si>
  <si>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</si>
  <si>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</si>
  <si>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</si>
  <si>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</si>
  <si>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</si>
  <si>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</si>
  <si>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</si>
  <si>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</si>
  <si>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</si>
  <si>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</si>
  <si>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</si>
  <si>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</si>
  <si>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</si>
  <si>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</si>
  <si>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</si>
  <si>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</si>
  <si>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</si>
  <si>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</si>
  <si>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</si>
  <si>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</si>
  <si>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</si>
  <si>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</si>
  <si>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</si>
  <si>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</si>
  <si>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</si>
  <si>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</si>
  <si>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</si>
  <si>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</si>
  <si>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</si>
  <si>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</si>
  <si>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</si>
  <si>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</si>
  <si>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</si>
  <si>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</si>
  <si>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</si>
  <si>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</si>
  <si>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</si>
  <si>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</si>
  <si>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</si>
  <si>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</si>
  <si>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</si>
  <si>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</si>
  <si>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</si>
  <si>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</si>
  <si>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</si>
  <si>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</si>
  <si>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</si>
  <si>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</si>
  <si>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</si>
  <si>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</si>
  <si>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</si>
  <si>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</si>
  <si>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</si>
  <si>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</si>
  <si>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</si>
  <si>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</si>
  <si>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</si>
  <si>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</si>
  <si>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</si>
  <si>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</si>
  <si>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</si>
  <si>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</si>
  <si>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</si>
  <si>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</si>
  <si>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</si>
  <si>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</si>
  <si>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</si>
  <si>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</si>
  <si>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</si>
  <si>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</si>
  <si>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</si>
  <si>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</si>
  <si>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</si>
  <si>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</si>
  <si>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</si>
  <si>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</si>
  <si>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</si>
  <si>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</si>
  <si>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</si>
  <si>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</si>
  <si>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</si>
  <si>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</si>
  <si>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</si>
  <si>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</si>
  <si>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</si>
  <si>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</si>
  <si>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</si>
  <si>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</si>
  <si>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</si>
  <si>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</si>
  <si>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</si>
  <si>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</si>
  <si>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</si>
  <si>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</si>
  <si>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</si>
  <si>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</si>
  <si>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</si>
  <si>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</si>
  <si>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</si>
  <si>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</si>
  <si>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</si>
  <si>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</si>
  <si>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</si>
  <si>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</si>
  <si>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8XXXXX8</t>
  </si>
  <si>
    <t>YES</t>
  </si>
  <si>
    <t>fgrdkjh fuf/k dVkSfr djuh gS %</t>
  </si>
  <si>
    <t>Other Deduction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</si>
  <si>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</si>
  <si>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</si>
  <si>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</si>
  <si>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</si>
  <si>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ekpZ 2022 dk ewy osru %</t>
  </si>
  <si>
    <t>D;k vkius fofÙk; o"kZ 2022&amp;23 esa lefZiZr fy;k gS \</t>
  </si>
  <si>
    <t xml:space="preserve">Rate of HRA in March 22 : </t>
  </si>
  <si>
    <t>Salary and Deduction Detail for FY : 2022-23</t>
  </si>
  <si>
    <t>Surender
2022-23</t>
  </si>
  <si>
    <t>Bonus
2021-22</t>
  </si>
  <si>
    <t>DA Arrear 7/22 to 9/22</t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</si>
  <si>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ik0 gsrq fn;k x;k nku</t>
    </r>
  </si>
  <si>
    <r>
      <t xml:space="preserve">vk;dj x.kuk izi= o"kZ foÙkh;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2023-24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</si>
  <si>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</si>
  <si>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2022-23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</si>
  <si>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ik0 gsrq fn;k x;k nku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</si>
  <si>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</si>
  <si>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</si>
  <si>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</si>
  <si>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</si>
  <si>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2022-23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</si>
  <si>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</si>
  <si>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</si>
  <si>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</si>
  <si>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</si>
  <si>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25- ljdkjh isa'ku ;kstuk esa deZpkjh dk va'knku </t>
    </r>
    <r>
      <rPr>
        <sz val="10"/>
        <color rgb="FFFF0000"/>
        <rFont val="DevLys 010"/>
      </rPr>
      <t xml:space="preserve">vf/kdre osru dk </t>
    </r>
    <r>
      <rPr>
        <sz val="10"/>
        <color rgb="FFFF0000"/>
        <rFont val="Times New Roman"/>
        <family val="1"/>
      </rPr>
      <t>10%</t>
    </r>
    <r>
      <rPr>
        <sz val="10"/>
        <color rgb="FFFF0000"/>
        <rFont val="DevLys 010"/>
      </rPr>
      <t xml:space="preserve"> /kkjk </t>
    </r>
    <r>
      <rPr>
        <sz val="10"/>
        <color rgb="FFFF0000"/>
        <rFont val="Times New Roman"/>
        <family val="1"/>
      </rPr>
      <t>80CCD(1)</t>
    </r>
  </si>
  <si>
    <t>RGHS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</si>
  <si>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?</t>
    </r>
  </si>
  <si>
    <t>LIC Premium Deduction From Salary ?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</si>
  <si>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</si>
  <si>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DA Arrear 1/22 to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</si>
</sst>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80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3"/>
      <color rgb="FFFF0000"/>
      <name val="DevLys 010"/>
    </font>
    <font>
      <sz val="10"/>
      <color rgb="FFFF0000"/>
      <name val="DevLys 010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56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Fill="1" applyBorder="1" applyAlignment="1" applyProtection="1">
      <alignment vertical="center"/>
      <protection locked="0"/>
    </xf>
    <xf numFmtId="0" fontId="159" fillId="0" borderId="0" xfId="0" applyNumberFormat="1" applyFont="1" applyFill="1" applyBorder="1" applyAlignment="1" applyProtection="1">
      <alignment horizontal="right" vertical="center"/>
    </xf>
    <xf numFmtId="3" fontId="159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9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59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9" fillId="32" borderId="10" xfId="0" applyFont="1" applyFill="1" applyBorder="1" applyAlignment="1">
      <alignment horizontal="right" vertical="center" indent="1"/>
    </xf>
    <xf numFmtId="1" fontId="159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9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59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59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1" fillId="0" borderId="0" xfId="0" applyNumberFormat="1" applyFont="1" applyFill="1" applyBorder="1" applyAlignment="1">
      <alignment horizontal="center" vertical="top"/>
    </xf>
    <xf numFmtId="0" fontId="163" fillId="0" borderId="0" xfId="0" applyNumberFormat="1" applyFont="1" applyFill="1" applyBorder="1" applyAlignment="1">
      <alignment horizontal="center" vertical="top"/>
    </xf>
    <xf numFmtId="0" fontId="158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5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167" fontId="122" fillId="0" borderId="0" xfId="0" applyNumberFormat="1" applyFont="1" applyFill="1" applyBorder="1" applyAlignment="1" applyProtection="1">
      <alignment vertical="center"/>
      <protection locked="0" hidden="1"/>
    </xf>
    <xf numFmtId="0" fontId="159" fillId="30" borderId="10" xfId="0" applyFont="1" applyFill="1" applyBorder="1" applyAlignment="1" applyProtection="1">
      <alignment horizontal="left" vertical="center" indent="1"/>
      <protection locked="0"/>
    </xf>
    <xf numFmtId="0" fontId="159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3" fillId="0" borderId="0" xfId="0" applyNumberFormat="1" applyFont="1" applyFill="1" applyBorder="1" applyAlignment="1">
      <alignment vertical="top"/>
    </xf>
    <xf numFmtId="14" fontId="153" fillId="0" borderId="0" xfId="0" applyNumberFormat="1" applyFont="1" applyFill="1" applyBorder="1" applyAlignment="1">
      <alignment vertical="top"/>
    </xf>
    <xf numFmtId="0" fontId="159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2" fillId="32" borderId="28" xfId="0" quotePrefix="1" applyFont="1" applyFill="1" applyBorder="1" applyAlignment="1" applyProtection="1">
      <alignment horizontal="right" vertical="center" indent="1"/>
    </xf>
    <xf numFmtId="0" fontId="105" fillId="0" borderId="10" xfId="37" applyFont="1" applyBorder="1" applyAlignment="1">
      <alignment horizontal="center" vertical="center" wrapText="1"/>
    </xf>
    <xf numFmtId="0" fontId="170" fillId="26" borderId="10" xfId="0" applyFont="1" applyFill="1" applyBorder="1" applyAlignment="1" applyProtection="1">
      <alignment horizontal="left" vertical="center" indent="1"/>
      <protection locked="0"/>
    </xf>
    <xf numFmtId="2" fontId="172" fillId="41" borderId="0" xfId="0" applyNumberFormat="1" applyFont="1" applyFill="1" applyBorder="1" applyAlignment="1" applyProtection="1">
      <alignment horizontal="left" indent="1"/>
    </xf>
    <xf numFmtId="0" fontId="52" fillId="29" borderId="22" xfId="0" applyFont="1" applyFill="1" applyBorder="1" applyAlignment="1">
      <alignment horizontal="right" vertical="center" indent="1"/>
    </xf>
    <xf numFmtId="0" fontId="171" fillId="32" borderId="22" xfId="0" applyFont="1" applyFill="1" applyBorder="1" applyAlignment="1">
      <alignment horizontal="right" vertical="center" indent="1"/>
    </xf>
    <xf numFmtId="17" fontId="88" fillId="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59" fillId="30" borderId="53" xfId="0" applyFont="1" applyFill="1" applyBorder="1" applyAlignment="1" applyProtection="1">
      <alignment horizontal="left" vertical="center" indent="1"/>
      <protection locked="0"/>
    </xf>
    <xf numFmtId="0" fontId="159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59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59" fillId="0" borderId="48" xfId="0" applyNumberFormat="1" applyFont="1" applyFill="1" applyBorder="1" applyAlignment="1" applyProtection="1">
      <alignment horizontal="center" vertical="center"/>
    </xf>
    <xf numFmtId="0" fontId="159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7" fillId="30" borderId="12" xfId="0" applyNumberFormat="1" applyFont="1" applyFill="1" applyBorder="1" applyAlignment="1">
      <alignment horizontal="center" vertical="center"/>
    </xf>
    <xf numFmtId="2" fontId="157" fillId="30" borderId="13" xfId="0" applyNumberFormat="1" applyFont="1" applyFill="1" applyBorder="1" applyAlignment="1">
      <alignment horizontal="center" vertical="center"/>
    </xf>
    <xf numFmtId="2" fontId="157" fillId="30" borderId="14" xfId="0" applyNumberFormat="1" applyFont="1" applyFill="1" applyBorder="1" applyAlignment="1">
      <alignment horizontal="center" vertical="center"/>
    </xf>
    <xf numFmtId="2" fontId="167" fillId="37" borderId="12" xfId="0" applyNumberFormat="1" applyFont="1" applyFill="1" applyBorder="1" applyAlignment="1">
      <alignment horizontal="center" vertical="center"/>
    </xf>
    <xf numFmtId="2" fontId="167" fillId="37" borderId="13" xfId="0" applyNumberFormat="1" applyFont="1" applyFill="1" applyBorder="1" applyAlignment="1">
      <alignment horizontal="center" vertical="center"/>
    </xf>
    <xf numFmtId="2" fontId="167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0" fontId="105" fillId="0" borderId="10" xfId="37" applyFont="1" applyBorder="1" applyAlignment="1">
      <alignment horizontal="left" vertical="center"/>
    </xf>
    <xf numFmtId="0" fontId="107" fillId="0" borderId="10" xfId="37" applyFont="1" applyBorder="1" applyAlignment="1">
      <alignment horizontal="center" vertical="center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2" fontId="122" fillId="0" borderId="10" xfId="37" applyNumberFormat="1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07" fillId="0" borderId="10" xfId="37" applyFont="1" applyFill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07" fillId="0" borderId="10" xfId="37" applyFont="1" applyFill="1" applyBorder="1" applyAlignment="1">
      <alignment vertical="center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75" fillId="0" borderId="12" xfId="37" applyFont="1" applyBorder="1" applyAlignment="1">
      <alignment horizontal="left" vertical="top" wrapText="1"/>
    </xf>
    <xf numFmtId="0" fontId="175" fillId="0" borderId="13" xfId="37" applyFont="1" applyBorder="1" applyAlignment="1">
      <alignment horizontal="left" vertical="top" wrapText="1"/>
    </xf>
    <xf numFmtId="0" fontId="175" fillId="0" borderId="14" xfId="37" applyFont="1" applyBorder="1" applyAlignment="1">
      <alignment horizontal="left" vertical="top" wrapText="1"/>
    </xf>
    <xf numFmtId="0" fontId="117" fillId="0" borderId="10" xfId="37" applyFont="1" applyBorder="1" applyAlignment="1">
      <alignment horizontal="right" vertical="center" inden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34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7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0" fontId="114" fillId="0" borderId="12" xfId="37" applyFont="1" applyBorder="1" applyAlignment="1">
      <alignment horizontal="left" vertical="center"/>
    </xf>
    <xf numFmtId="0" fontId="114" fillId="0" borderId="13" xfId="37" applyFont="1" applyBorder="1" applyAlignment="1">
      <alignment horizontal="left" vertical="center"/>
    </xf>
    <xf numFmtId="0" fontId="114" fillId="0" borderId="14" xfId="37" applyFont="1" applyBorder="1" applyAlignment="1">
      <alignment horizontal="left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2" fillId="0" borderId="49" xfId="37" applyFont="1" applyBorder="1" applyAlignment="1">
      <alignment horizontal="right" vertical="center"/>
    </xf>
    <xf numFmtId="0" fontId="162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169" fillId="0" borderId="32" xfId="37" applyFont="1" applyFill="1" applyBorder="1" applyAlignment="1">
      <alignment horizontal="center" vertical="center"/>
    </xf>
    <xf numFmtId="0" fontId="16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9" fontId="114" fillId="0" borderId="10" xfId="37" applyNumberFormat="1" applyFont="1" applyBorder="1" applyAlignment="1">
      <alignment horizontal="center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0" fontId="128" fillId="0" borderId="23" xfId="37" applyFont="1" applyBorder="1" applyAlignment="1">
      <alignment horizontal="center" vertical="top"/>
    </xf>
    <xf numFmtId="0" fontId="128" fillId="0" borderId="24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0" fontId="105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66CC"/>
      <color rgb="FF0066CC"/>
      <color rgb="FF0066FF"/>
      <color rgb="FFFFFFCC"/>
      <color rgb="FF16365C"/>
      <color rgb="FF33CCCC"/>
      <color rgb="FFCCFFCC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B3" sqref="B3:P3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49" t="s">
        <v>333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</row>
    <row r="3" spans="1:17" ht="22.5" x14ac:dyDescent="0.2">
      <c r="B3" s="252" t="s">
        <v>95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</row>
    <row r="4" spans="1:17" ht="21" customHeight="1" x14ac:dyDescent="0.2">
      <c r="B4" s="255" t="s">
        <v>127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</row>
    <row r="5" spans="1:17" ht="21" customHeight="1" x14ac:dyDescent="0.2">
      <c r="B5" s="236" t="s">
        <v>157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</row>
    <row r="6" spans="1:17" ht="21" customHeight="1" x14ac:dyDescent="0.2">
      <c r="B6" s="73">
        <v>1</v>
      </c>
      <c r="C6" s="239" t="s">
        <v>97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1"/>
    </row>
    <row r="7" spans="1:17" ht="21" customHeight="1" x14ac:dyDescent="0.2">
      <c r="B7" s="69">
        <v>2</v>
      </c>
      <c r="C7" s="239" t="s">
        <v>164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</row>
    <row r="8" spans="1:17" s="66" customFormat="1" ht="18.75" x14ac:dyDescent="0.3">
      <c r="A8" s="64"/>
      <c r="B8" s="258" t="s">
        <v>96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65"/>
    </row>
    <row r="9" spans="1:17" s="66" customFormat="1" ht="18.75" x14ac:dyDescent="0.3">
      <c r="A9" s="67"/>
      <c r="B9" s="70">
        <v>1</v>
      </c>
      <c r="C9" s="273" t="s">
        <v>163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4"/>
      <c r="Q9" s="68"/>
    </row>
    <row r="10" spans="1:17" ht="16.5" x14ac:dyDescent="0.3">
      <c r="A10" s="40"/>
      <c r="B10" s="70">
        <v>2</v>
      </c>
      <c r="C10" s="244" t="s">
        <v>162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</row>
    <row r="11" spans="1:17" ht="16.5" x14ac:dyDescent="0.3">
      <c r="A11" s="40"/>
      <c r="B11" s="70">
        <v>3</v>
      </c>
      <c r="C11" s="267" t="s">
        <v>128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9"/>
    </row>
    <row r="12" spans="1:17" ht="38.25" customHeight="1" x14ac:dyDescent="0.3">
      <c r="A12" s="40"/>
      <c r="B12" s="70">
        <v>4</v>
      </c>
      <c r="C12" s="281" t="s">
        <v>158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3"/>
    </row>
    <row r="13" spans="1:17" s="42" customFormat="1" ht="18.75" x14ac:dyDescent="0.3">
      <c r="A13" s="39"/>
      <c r="B13" s="71">
        <v>5</v>
      </c>
      <c r="C13" s="275" t="s">
        <v>156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7"/>
    </row>
    <row r="14" spans="1:17" s="42" customFormat="1" ht="18.75" customHeight="1" x14ac:dyDescent="0.2">
      <c r="A14" s="39"/>
      <c r="B14" s="289">
        <v>6</v>
      </c>
      <c r="C14" s="284" t="s">
        <v>169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</row>
    <row r="15" spans="1:17" s="42" customFormat="1" ht="36.75" customHeight="1" x14ac:dyDescent="0.2">
      <c r="A15" s="39"/>
      <c r="B15" s="290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</row>
    <row r="16" spans="1:17" ht="18.75" x14ac:dyDescent="0.3">
      <c r="B16" s="261" t="s">
        <v>98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3"/>
    </row>
    <row r="17" spans="1:16" ht="18.75" x14ac:dyDescent="0.3">
      <c r="A17" s="38"/>
      <c r="B17" s="72"/>
      <c r="C17" s="242" t="s">
        <v>99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</row>
    <row r="18" spans="1:16" ht="18.75" x14ac:dyDescent="0.3">
      <c r="B18" s="261" t="s">
        <v>159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3"/>
    </row>
    <row r="19" spans="1:16" ht="18.75" customHeight="1" x14ac:dyDescent="0.2">
      <c r="A19" s="38"/>
      <c r="B19" s="72"/>
      <c r="C19" s="234" t="s">
        <v>100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5"/>
    </row>
    <row r="20" spans="1:16" ht="18.75" customHeight="1" x14ac:dyDescent="0.2">
      <c r="A20" s="38"/>
      <c r="B20" s="72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5"/>
    </row>
    <row r="21" spans="1:16" ht="18.75" x14ac:dyDescent="0.2">
      <c r="B21" s="264" t="s">
        <v>101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6"/>
    </row>
    <row r="22" spans="1:16" ht="39" customHeight="1" x14ac:dyDescent="0.2">
      <c r="A22" s="38"/>
      <c r="B22" s="72"/>
      <c r="C22" s="270" t="s">
        <v>170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2"/>
    </row>
    <row r="23" spans="1:16" ht="56.25" customHeight="1" x14ac:dyDescent="0.2">
      <c r="B23" s="278" t="s">
        <v>172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</row>
    <row r="24" spans="1:16" ht="73.5" customHeight="1" thickBot="1" x14ac:dyDescent="0.25">
      <c r="B24" s="246" t="s">
        <v>171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8"/>
    </row>
    <row r="25" spans="1:16" ht="18.75" customHeight="1" x14ac:dyDescent="0.2"/>
  </sheetData>
  <sheetProtection password="C96F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B11" sqref="B11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hidden="1" customWidth="1"/>
    <col min="6" max="6" width="9.140625" style="61" hidden="1" customWidth="1"/>
    <col min="7" max="16384" width="9.140625" style="84" hidden="1"/>
  </cols>
  <sheetData>
    <row r="1" spans="1:7" ht="28.5" x14ac:dyDescent="0.25">
      <c r="A1" s="293" t="s">
        <v>139</v>
      </c>
      <c r="B1" s="294"/>
      <c r="C1" s="294"/>
      <c r="D1" s="295"/>
      <c r="E1" s="61"/>
      <c r="G1" s="102" t="s">
        <v>181</v>
      </c>
    </row>
    <row r="2" spans="1:7" ht="24" thickBot="1" x14ac:dyDescent="0.3">
      <c r="A2" s="296" t="s">
        <v>140</v>
      </c>
      <c r="B2" s="297"/>
      <c r="C2" s="297"/>
      <c r="D2" s="298"/>
      <c r="E2" s="61"/>
      <c r="G2" s="102" t="s">
        <v>182</v>
      </c>
    </row>
    <row r="3" spans="1:7" ht="18.75" x14ac:dyDescent="0.25">
      <c r="A3" s="205" t="s">
        <v>129</v>
      </c>
      <c r="B3" s="291" t="s">
        <v>138</v>
      </c>
      <c r="C3" s="291"/>
      <c r="D3" s="292"/>
      <c r="E3" s="61"/>
      <c r="G3" s="102" t="s">
        <v>183</v>
      </c>
    </row>
    <row r="4" spans="1:7" ht="18.75" x14ac:dyDescent="0.25">
      <c r="A4" s="206" t="s">
        <v>310</v>
      </c>
      <c r="B4" s="220" t="s">
        <v>152</v>
      </c>
      <c r="C4" s="197" t="s">
        <v>322</v>
      </c>
      <c r="D4" s="225"/>
      <c r="E4" s="61"/>
      <c r="G4" s="102" t="s">
        <v>184</v>
      </c>
    </row>
    <row r="5" spans="1:7" ht="18.75" x14ac:dyDescent="0.25">
      <c r="A5" s="206" t="s">
        <v>130</v>
      </c>
      <c r="B5" s="220" t="s">
        <v>62</v>
      </c>
      <c r="C5" s="197" t="s">
        <v>323</v>
      </c>
      <c r="D5" s="221" t="s">
        <v>73</v>
      </c>
      <c r="E5" s="61"/>
      <c r="G5" s="102" t="s">
        <v>185</v>
      </c>
    </row>
    <row r="6" spans="1:7" ht="18.75" x14ac:dyDescent="0.25">
      <c r="A6" s="206" t="s">
        <v>160</v>
      </c>
      <c r="B6" s="220" t="s">
        <v>161</v>
      </c>
      <c r="C6" s="197" t="s">
        <v>142</v>
      </c>
      <c r="D6" s="221" t="s">
        <v>141</v>
      </c>
      <c r="E6" s="61"/>
      <c r="G6" s="102" t="s">
        <v>186</v>
      </c>
    </row>
    <row r="7" spans="1:7" ht="18.75" x14ac:dyDescent="0.25">
      <c r="A7" s="206" t="s">
        <v>311</v>
      </c>
      <c r="B7" s="220" t="s">
        <v>154</v>
      </c>
      <c r="C7" s="197" t="s">
        <v>131</v>
      </c>
      <c r="D7" s="198" t="s">
        <v>166</v>
      </c>
      <c r="E7" s="61"/>
      <c r="G7" s="102" t="s">
        <v>187</v>
      </c>
    </row>
    <row r="8" spans="1:7" ht="16.5" x14ac:dyDescent="0.25">
      <c r="A8" s="207" t="s">
        <v>133</v>
      </c>
      <c r="B8" s="220" t="s">
        <v>155</v>
      </c>
      <c r="C8" s="199" t="s">
        <v>132</v>
      </c>
      <c r="D8" s="200" t="s">
        <v>317</v>
      </c>
      <c r="E8" s="61"/>
      <c r="F8" s="101" t="s">
        <v>179</v>
      </c>
      <c r="G8" s="102" t="s">
        <v>188</v>
      </c>
    </row>
    <row r="9" spans="1:7" ht="18.75" x14ac:dyDescent="0.25">
      <c r="A9" s="206" t="s">
        <v>134</v>
      </c>
      <c r="B9" s="195">
        <v>7000</v>
      </c>
      <c r="C9" s="199" t="s">
        <v>105</v>
      </c>
      <c r="D9" s="201" t="s">
        <v>153</v>
      </c>
      <c r="E9" s="61"/>
      <c r="F9" s="101">
        <v>0</v>
      </c>
      <c r="G9" s="102" t="s">
        <v>189</v>
      </c>
    </row>
    <row r="10" spans="1:7" ht="18.75" x14ac:dyDescent="0.25">
      <c r="A10" s="206" t="s">
        <v>325</v>
      </c>
      <c r="B10" s="195">
        <v>65000</v>
      </c>
      <c r="C10" s="199" t="s">
        <v>327</v>
      </c>
      <c r="D10" s="202">
        <v>0.09</v>
      </c>
      <c r="E10" s="61"/>
      <c r="F10" s="101">
        <v>350</v>
      </c>
      <c r="G10" s="102" t="s">
        <v>190</v>
      </c>
    </row>
    <row r="11" spans="1:7" ht="18.75" x14ac:dyDescent="0.3">
      <c r="A11" s="77" t="s">
        <v>173</v>
      </c>
      <c r="B11" s="229" t="s">
        <v>318</v>
      </c>
      <c r="C11" s="203" t="s">
        <v>135</v>
      </c>
      <c r="D11" s="225" t="s">
        <v>318</v>
      </c>
      <c r="E11" s="61"/>
      <c r="F11" s="101">
        <v>1050</v>
      </c>
      <c r="G11" s="102" t="s">
        <v>191</v>
      </c>
    </row>
    <row r="12" spans="1:7" ht="18.75" x14ac:dyDescent="0.3">
      <c r="A12" s="208" t="s">
        <v>326</v>
      </c>
      <c r="B12" s="220" t="s">
        <v>318</v>
      </c>
      <c r="C12" s="197" t="s">
        <v>137</v>
      </c>
      <c r="D12" s="221">
        <v>10</v>
      </c>
      <c r="E12" s="61"/>
      <c r="F12" s="101">
        <v>1750</v>
      </c>
      <c r="G12" s="102" t="s">
        <v>192</v>
      </c>
    </row>
    <row r="13" spans="1:7" ht="18.75" x14ac:dyDescent="0.25">
      <c r="A13" s="232" t="s">
        <v>349</v>
      </c>
      <c r="B13" s="195">
        <v>0</v>
      </c>
      <c r="C13" s="197" t="s">
        <v>178</v>
      </c>
      <c r="D13" s="204">
        <v>0</v>
      </c>
      <c r="E13" s="61"/>
      <c r="G13" s="102" t="s">
        <v>161</v>
      </c>
    </row>
    <row r="14" spans="1:7" ht="18.75" x14ac:dyDescent="0.25">
      <c r="A14" s="231" t="s">
        <v>348</v>
      </c>
      <c r="B14" s="78" t="s">
        <v>151</v>
      </c>
      <c r="C14" s="197" t="s">
        <v>319</v>
      </c>
      <c r="D14" s="221" t="s">
        <v>318</v>
      </c>
      <c r="E14" s="61"/>
      <c r="G14" s="102"/>
    </row>
    <row r="15" spans="1:7" ht="19.5" thickBot="1" x14ac:dyDescent="0.35">
      <c r="A15" s="209" t="s">
        <v>136</v>
      </c>
      <c r="B15" s="196" t="s">
        <v>151</v>
      </c>
      <c r="C15" s="227" t="s">
        <v>324</v>
      </c>
      <c r="D15" s="225" t="s">
        <v>321</v>
      </c>
      <c r="E15" s="61"/>
      <c r="G15" s="102" t="s">
        <v>193</v>
      </c>
    </row>
    <row r="16" spans="1:7" ht="65.25" customHeight="1" x14ac:dyDescent="0.25">
      <c r="A16" s="299" t="s">
        <v>312</v>
      </c>
      <c r="B16" s="300"/>
      <c r="C16" s="300"/>
      <c r="D16" s="300"/>
      <c r="E16" s="61"/>
      <c r="G16" s="102" t="s">
        <v>194</v>
      </c>
    </row>
    <row r="17" spans="1:7" ht="18.75" hidden="1" x14ac:dyDescent="0.3">
      <c r="A17" s="62"/>
      <c r="B17" s="62"/>
      <c r="C17" s="63"/>
      <c r="D17" s="61"/>
      <c r="E17" s="61"/>
      <c r="G17" s="102" t="s">
        <v>195</v>
      </c>
    </row>
    <row r="18" spans="1:7" ht="18.75" hidden="1" x14ac:dyDescent="0.3">
      <c r="A18" s="62"/>
      <c r="B18" s="61"/>
      <c r="C18" s="63"/>
      <c r="D18" s="61"/>
      <c r="E18" s="61"/>
      <c r="G18" s="102" t="s">
        <v>196</v>
      </c>
    </row>
    <row r="19" spans="1:7" ht="18.75" hidden="1" x14ac:dyDescent="0.3">
      <c r="A19" s="62"/>
      <c r="B19" s="61"/>
      <c r="C19" s="63"/>
      <c r="D19" s="61"/>
      <c r="E19" s="61"/>
      <c r="G19" s="102" t="s">
        <v>197</v>
      </c>
    </row>
    <row r="20" spans="1:7" ht="18.75" hidden="1" x14ac:dyDescent="0.3">
      <c r="A20" s="62"/>
      <c r="B20" s="61"/>
      <c r="C20" s="63"/>
      <c r="D20" s="61"/>
      <c r="E20" s="61"/>
      <c r="G20" s="102" t="s">
        <v>198</v>
      </c>
    </row>
    <row r="21" spans="1:7" ht="18.75" hidden="1" x14ac:dyDescent="0.3">
      <c r="A21" s="62"/>
      <c r="B21" s="61"/>
      <c r="C21" s="63"/>
      <c r="D21" s="61"/>
      <c r="E21" s="61"/>
      <c r="G21" s="102" t="s">
        <v>199</v>
      </c>
    </row>
    <row r="22" spans="1:7" ht="18.75" hidden="1" x14ac:dyDescent="0.3">
      <c r="A22" s="62"/>
      <c r="B22" s="61"/>
      <c r="C22" s="63"/>
      <c r="D22" s="61"/>
      <c r="E22" s="61"/>
      <c r="G22" s="102" t="s">
        <v>200</v>
      </c>
    </row>
    <row r="23" spans="1:7" ht="18.75" hidden="1" x14ac:dyDescent="0.3">
      <c r="A23" s="62"/>
      <c r="B23" s="61"/>
      <c r="C23" s="63"/>
      <c r="D23" s="61"/>
      <c r="E23" s="61"/>
      <c r="G23" s="102" t="s">
        <v>201</v>
      </c>
    </row>
    <row r="24" spans="1:7" ht="18.75" hidden="1" x14ac:dyDescent="0.3">
      <c r="A24" s="62"/>
      <c r="B24" s="61"/>
      <c r="C24" s="63"/>
      <c r="D24" s="61"/>
      <c r="E24" s="61"/>
      <c r="G24" s="102" t="s">
        <v>202</v>
      </c>
    </row>
    <row r="25" spans="1:7" ht="18.75" hidden="1" x14ac:dyDescent="0.3">
      <c r="A25" s="62"/>
      <c r="B25" s="61"/>
      <c r="C25" s="63"/>
      <c r="D25" s="61"/>
      <c r="E25" s="61"/>
      <c r="G25" s="102" t="s">
        <v>203</v>
      </c>
    </row>
    <row r="26" spans="1:7" ht="18.75" hidden="1" x14ac:dyDescent="0.3">
      <c r="A26" s="62"/>
      <c r="B26" s="61"/>
      <c r="C26" s="63"/>
      <c r="D26" s="61"/>
      <c r="E26" s="61"/>
      <c r="G26" s="61"/>
    </row>
    <row r="27" spans="1:7" ht="18.75" hidden="1" x14ac:dyDescent="0.3">
      <c r="A27" s="62"/>
      <c r="B27" s="61"/>
      <c r="C27" s="63"/>
      <c r="D27" s="61"/>
      <c r="E27" s="61"/>
      <c r="G27" s="61"/>
    </row>
  </sheetData>
  <sheetProtection algorithmName="SHA-512" hashValue="p5VjUrVrE+qPZ0DLgZbynjRw8uhfoXXPe9MwTx2MI6yIyM8hzT9M1FThsDp1c3lF+Yo4ICycH9L8OdGrQubkHg==" saltValue="+nTmCmhzx8poSoxNxZlMDA==" spinCount="100000" sheet="1" objects="1" scenarios="1" selectLockedCells="1"/>
  <dataConsolidate/>
  <mergeCells count="4">
    <mergeCell ref="B3:D3"/>
    <mergeCell ref="A1:D1"/>
    <mergeCell ref="A2:D2"/>
    <mergeCell ref="A16:D16"/>
  </mergeCells>
  <phoneticPr fontId="85" type="noConversion"/>
  <dataValidations count="7">
    <dataValidation type="list" allowBlank="1" showInputMessage="1" showErrorMessage="1" sqref="D11 D14 B11:B12 B14:B15" xr:uid="{00000000-0002-0000-0100-000000000000}">
      <formula1>"YES,NO"</formula1>
    </dataValidation>
    <dataValidation type="list" allowBlank="1" showInputMessage="1" showErrorMessage="1" sqref="D10" xr:uid="{00000000-0002-0000-0100-000001000000}">
      <formula1>"NA,9%,18%"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4 D13" xr:uid="{00000000-0002-0000-0100-000005000000}">
      <formula1>$F$9:$F$13</formula1>
    </dataValidation>
    <dataValidation type="list" allowBlank="1" showInputMessage="1" showErrorMessage="1" sqref="D15" xr:uid="{00000000-0002-0000-0100-000006000000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O11" sqref="O11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 x14ac:dyDescent="0.2">
      <c r="C2" s="305" t="str">
        <f>IF(Master!B3="","",CONCATENATE("Office of the"," ",Master!B3))</f>
        <v>Office of the Principal, Govt. Sr. Secondary School Todaraisingh (Tonk)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30" ht="23.25" x14ac:dyDescent="0.2">
      <c r="C3" s="306" t="s">
        <v>328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</row>
    <row r="4" spans="1:30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0" s="113" customFormat="1" ht="21" customHeight="1" x14ac:dyDescent="0.2">
      <c r="A5" s="112"/>
      <c r="C5" s="194" t="s">
        <v>25</v>
      </c>
      <c r="D5" s="307" t="str">
        <f>IF(Master!B5="","",Master!B5)</f>
        <v>Chandra Prakash Kurmi</v>
      </c>
      <c r="E5" s="307"/>
      <c r="F5" s="307"/>
      <c r="G5" s="307"/>
      <c r="H5" s="307"/>
      <c r="I5" s="307"/>
      <c r="J5" s="307"/>
      <c r="K5" s="302" t="s">
        <v>24</v>
      </c>
      <c r="L5" s="302"/>
      <c r="M5" s="307" t="str">
        <f>IF(Master!B7="","",Master!B7)</f>
        <v>AAAAAXXXXA</v>
      </c>
      <c r="N5" s="307"/>
      <c r="O5" s="307"/>
      <c r="P5" s="212"/>
      <c r="Q5" s="212"/>
      <c r="R5" s="194" t="s">
        <v>91</v>
      </c>
      <c r="S5" s="304" t="str">
        <f>IF(Master!B4="","",Master!B4)</f>
        <v>AAAAXXXXXA</v>
      </c>
      <c r="T5" s="304"/>
      <c r="U5" s="304"/>
      <c r="V5" s="304"/>
      <c r="Y5" s="118"/>
      <c r="Z5" s="302" t="s">
        <v>69</v>
      </c>
      <c r="AA5" s="302"/>
      <c r="AB5" s="303" t="str">
        <f>IF(Master!D7="","",Master!D7)</f>
        <v>9XXXXXXXXXXXXX9</v>
      </c>
      <c r="AC5" s="303"/>
      <c r="AD5" s="112"/>
    </row>
    <row r="6" spans="1:30" s="113" customFormat="1" ht="21" customHeight="1" thickBot="1" x14ac:dyDescent="0.25">
      <c r="A6" s="112"/>
      <c r="C6" s="114" t="s">
        <v>314</v>
      </c>
      <c r="D6" s="308" t="str">
        <f>IF(Master!D5="","",CONCATENATE(Master!D5," ","(",Master!B6,")"))</f>
        <v>Lecturer (L-13)</v>
      </c>
      <c r="E6" s="308"/>
      <c r="F6" s="308"/>
      <c r="G6" s="308"/>
      <c r="H6" s="308"/>
      <c r="I6" s="308"/>
      <c r="J6" s="308"/>
      <c r="K6" s="309" t="s">
        <v>315</v>
      </c>
      <c r="L6" s="309"/>
      <c r="M6" s="308" t="str">
        <f>IF(Master!B8="","",Master!B8)</f>
        <v>74XXX7</v>
      </c>
      <c r="N6" s="308"/>
      <c r="O6" s="212"/>
      <c r="P6" s="212"/>
      <c r="R6" s="310" t="str">
        <f>IF(Master!B11="NO","GPF No:","Pran No:")</f>
        <v>Pran No:</v>
      </c>
      <c r="S6" s="310"/>
      <c r="T6" s="311" t="str">
        <f>IF(Master!D8="","",Master!D8)</f>
        <v>8XXXXX8</v>
      </c>
      <c r="U6" s="311"/>
      <c r="V6" s="311"/>
      <c r="W6" s="311"/>
      <c r="X6" s="115"/>
      <c r="Y6" s="115"/>
      <c r="Z6" s="302" t="s">
        <v>105</v>
      </c>
      <c r="AA6" s="302"/>
      <c r="AB6" s="303" t="str">
        <f>IF(Master!D9="","",Master!D9)</f>
        <v>9XXXXXXXX1</v>
      </c>
      <c r="AC6" s="303"/>
      <c r="AD6" s="112"/>
    </row>
    <row r="7" spans="1:30" s="52" customFormat="1" ht="114.75" customHeight="1" x14ac:dyDescent="0.2">
      <c r="A7" s="51"/>
      <c r="C7" s="182" t="s">
        <v>12</v>
      </c>
      <c r="D7" s="183" t="s">
        <v>2</v>
      </c>
      <c r="E7" s="184" t="s">
        <v>3</v>
      </c>
      <c r="F7" s="184" t="s">
        <v>63</v>
      </c>
      <c r="G7" s="184" t="s">
        <v>21</v>
      </c>
      <c r="H7" s="183" t="s">
        <v>22</v>
      </c>
      <c r="I7" s="183" t="s">
        <v>93</v>
      </c>
      <c r="J7" s="184" t="s">
        <v>67</v>
      </c>
      <c r="K7" s="184" t="s">
        <v>89</v>
      </c>
      <c r="L7" s="178" t="str">
        <f>IF(AND(Master!$B$14="YES",Master!$B$11="Yes"),"Govt. NPS","Other Allowance" )</f>
        <v>Other Allowance</v>
      </c>
      <c r="M7" s="178" t="str">
        <f>IF(Master!D15="NA","Other Allowance","CCA")</f>
        <v>Other Allowance</v>
      </c>
      <c r="N7" s="183" t="s">
        <v>65</v>
      </c>
      <c r="O7" s="183" t="str">
        <f>IF(Master!B11="No","GPF","GPF 2004")</f>
        <v>GPF 2004</v>
      </c>
      <c r="P7" s="185" t="str">
        <f>IF(Master!B11="No","GPF LOAN","GPF 2004 LOAN")</f>
        <v>GPF 2004 LOAN</v>
      </c>
      <c r="Q7" s="183" t="s">
        <v>13</v>
      </c>
      <c r="R7" s="183" t="s">
        <v>1</v>
      </c>
      <c r="S7" s="183" t="s">
        <v>347</v>
      </c>
      <c r="T7" s="183" t="s">
        <v>6</v>
      </c>
      <c r="U7" s="183" t="s">
        <v>88</v>
      </c>
      <c r="V7" s="185" t="s">
        <v>61</v>
      </c>
      <c r="W7" s="184" t="s">
        <v>165</v>
      </c>
      <c r="X7" s="184" t="s">
        <v>143</v>
      </c>
      <c r="Y7" s="178" t="str">
        <f>IF(AND(Master!$B$14="YES",Master!$B$11="Yes"),"Govt. NPS","Other Deduction" )</f>
        <v>Other Deduction</v>
      </c>
      <c r="Z7" s="178" t="s">
        <v>320</v>
      </c>
      <c r="AA7" s="183" t="s">
        <v>64</v>
      </c>
      <c r="AB7" s="183" t="s">
        <v>90</v>
      </c>
      <c r="AC7" s="186" t="s">
        <v>66</v>
      </c>
      <c r="AD7" s="51"/>
    </row>
    <row r="8" spans="1:30" s="12" customFormat="1" ht="18" customHeight="1" x14ac:dyDescent="0.2">
      <c r="A8" s="25"/>
      <c r="B8" s="12">
        <v>3</v>
      </c>
      <c r="C8" s="188">
        <v>44621</v>
      </c>
      <c r="D8" s="179">
        <f>Master!B10</f>
        <v>65000</v>
      </c>
      <c r="E8" s="191">
        <v>0</v>
      </c>
      <c r="F8" s="191">
        <v>0</v>
      </c>
      <c r="G8" s="191">
        <v>0</v>
      </c>
      <c r="H8" s="191">
        <f>ROUND(31%*D8,0)</f>
        <v>20150</v>
      </c>
      <c r="I8" s="191">
        <f>IF(Master!$D$10="NA",0,IF(Master!$D$10=9%,ROUND(0.09*D8,0),ROUND(0.18*D8,0)))</f>
        <v>5850</v>
      </c>
      <c r="J8" s="191">
        <v>0</v>
      </c>
      <c r="K8" s="191">
        <v>0</v>
      </c>
      <c r="L8" s="191" t="str">
        <f>IF(AND(Master!$B$14="YES",Master!$B$11="Yes"),ROUND((D8+H8)*0.1,0),"")</f>
        <v/>
      </c>
      <c r="M8" s="191" t="str">
        <f>IF(Master!D15="NA","",Master!D15)</f>
        <v/>
      </c>
      <c r="N8" s="110">
        <f>SUM(D8:M8)</f>
        <v>91000</v>
      </c>
      <c r="O8" s="191">
        <f>IF(Master!$B$11="YES",0,IF(D8&lt;23101,1450,IF(D8&lt;28501,1625,IF(D8&lt;38501,2100,IF(D8&lt;51501,2850,IF(D8&lt;62001,3575,IF(D8&lt;72001,4200,IF(D8&lt;80001,4800,IF(D8&lt;116001,6150,IF(D8&lt;167001,8900,10500))))))))))</f>
        <v>0</v>
      </c>
      <c r="P8" s="191">
        <v>0</v>
      </c>
      <c r="Q8" s="191">
        <f>Master!$B$9</f>
        <v>7000</v>
      </c>
      <c r="R8" s="191">
        <v>0</v>
      </c>
      <c r="S8" s="191">
        <f>IF(Master!$B$11="YES",IF(D8&lt;18001,135,IF(D8&lt;33501,220,IF(D8&lt;54001,330,440))),IF(D8&lt;18001,265,IF(D8&lt;33501,440,IF(D8&lt;54001,658,875))))</f>
        <v>440</v>
      </c>
      <c r="T8" s="191">
        <f>Master!$B$13</f>
        <v>0</v>
      </c>
      <c r="U8" s="191">
        <v>0</v>
      </c>
      <c r="V8" s="191">
        <v>10000</v>
      </c>
      <c r="W8" s="191"/>
      <c r="X8" s="191"/>
      <c r="Y8" s="191" t="str">
        <f>IF(AND(Master!$B$14="YES",Master!$B$11="Yes"),L8,"")</f>
        <v/>
      </c>
      <c r="Z8" s="193"/>
      <c r="AA8" s="181">
        <f t="shared" ref="AA8" si="0">SUM(O8:Z8)</f>
        <v>17440</v>
      </c>
      <c r="AB8" s="111">
        <f t="shared" ref="AB8" si="1">N8-AA8</f>
        <v>73560</v>
      </c>
      <c r="AC8" s="76"/>
      <c r="AD8" s="25"/>
    </row>
    <row r="9" spans="1:30" s="12" customFormat="1" ht="18" customHeight="1" x14ac:dyDescent="0.2">
      <c r="A9" s="25"/>
      <c r="B9" s="12">
        <v>4</v>
      </c>
      <c r="C9" s="188">
        <v>44652</v>
      </c>
      <c r="D9" s="179">
        <f t="shared" ref="D9:D11" si="2">D8</f>
        <v>65000</v>
      </c>
      <c r="E9" s="191">
        <f>IF(E$8=0,0,ROUND(D9/2,0))</f>
        <v>0</v>
      </c>
      <c r="F9" s="191">
        <f t="shared" ref="F9:G14" si="3">IF(F$8=0,0,F8)</f>
        <v>0</v>
      </c>
      <c r="G9" s="191">
        <f t="shared" si="3"/>
        <v>0</v>
      </c>
      <c r="H9" s="191">
        <f t="shared" ref="H9:H14" si="4">ROUND(34%*D9,0)</f>
        <v>22100</v>
      </c>
      <c r="I9" s="191">
        <f>IF(Master!$D$10="NA",0,IF(Master!$D$10=9%,ROUND(0.09*D9,0),ROUND(0.18*D9,0)))</f>
        <v>5850</v>
      </c>
      <c r="J9" s="191">
        <f t="shared" ref="J9:J19" si="5">IF(J$8=0,0,J8)</f>
        <v>0</v>
      </c>
      <c r="K9" s="191">
        <f t="shared" ref="K9:K19" si="6">IF(K$8=0,0,K8)</f>
        <v>0</v>
      </c>
      <c r="L9" s="191" t="str">
        <f>IF(AND(Master!$B$14="YES",Master!$B$11="Yes"),ROUND((D9+H9)*0.1,0),"")</f>
        <v/>
      </c>
      <c r="M9" s="191" t="str">
        <f t="shared" ref="M9:M19" si="7">IF(M$8=0,0,M8)</f>
        <v/>
      </c>
      <c r="N9" s="110">
        <f t="shared" ref="N9:N27" si="8">SUM(D9:M9)</f>
        <v>92950</v>
      </c>
      <c r="O9" s="191">
        <f>IF(Master!$B$11="YES",0,IF(D9&lt;23101,1450,IF(D9&lt;28501,1625,IF(D9&lt;38501,2100,IF(D9&lt;51501,2850,IF(D9&lt;62001,3575,IF(D9&lt;72001,4200,IF(D9&lt;80001,4800,IF(D9&lt;116001,6150,IF(D9&lt;167001,8900,10500))))))))))</f>
        <v>0</v>
      </c>
      <c r="P9" s="191">
        <f>P8</f>
        <v>0</v>
      </c>
      <c r="Q9" s="191">
        <f>Master!$B$9</f>
        <v>7000</v>
      </c>
      <c r="R9" s="191">
        <f t="shared" ref="R9:R19" si="9">IF(R$8=0,0,R8)</f>
        <v>0</v>
      </c>
      <c r="S9" s="191">
        <f t="shared" ref="S9:S19" si="10">IF(D9&lt;18001,265,IF(D9&lt;33501,440,IF(D9&lt;54001,658,875)))</f>
        <v>875</v>
      </c>
      <c r="T9" s="191">
        <f>T8</f>
        <v>0</v>
      </c>
      <c r="U9" s="191">
        <f>Master!D13</f>
        <v>0</v>
      </c>
      <c r="V9" s="191">
        <f>V8</f>
        <v>10000</v>
      </c>
      <c r="W9" s="191"/>
      <c r="X9" s="191"/>
      <c r="Y9" s="191" t="str">
        <f>IF(AND(Master!$B$14="YES",Master!$B$11="Yes"),L9,"")</f>
        <v/>
      </c>
      <c r="Z9" s="191">
        <f t="shared" ref="Z9:Z19" si="11">Z8</f>
        <v>0</v>
      </c>
      <c r="AA9" s="181">
        <f t="shared" ref="AA9:AA27" si="12">SUM(O9:Z9)</f>
        <v>17875</v>
      </c>
      <c r="AB9" s="111">
        <f t="shared" ref="AB9:AB27" si="13">N9-AA9</f>
        <v>75075</v>
      </c>
      <c r="AC9" s="76"/>
      <c r="AD9" s="25"/>
    </row>
    <row r="10" spans="1:30" s="12" customFormat="1" ht="18" customHeight="1" x14ac:dyDescent="0.2">
      <c r="A10" s="25"/>
      <c r="B10" s="12">
        <v>5</v>
      </c>
      <c r="C10" s="188">
        <v>44682</v>
      </c>
      <c r="D10" s="179">
        <f t="shared" si="2"/>
        <v>65000</v>
      </c>
      <c r="E10" s="191">
        <f t="shared" ref="E10:E19" si="14">IF($E$8=0,0,ROUND(D10/2,0))</f>
        <v>0</v>
      </c>
      <c r="F10" s="191">
        <f t="shared" si="3"/>
        <v>0</v>
      </c>
      <c r="G10" s="191">
        <f t="shared" si="3"/>
        <v>0</v>
      </c>
      <c r="H10" s="191">
        <f t="shared" si="4"/>
        <v>22100</v>
      </c>
      <c r="I10" s="191">
        <f>IF(Master!$D$10="NA",0,IF(Master!$D$10=9%,ROUND(0.09*D10,0),ROUND(0.18*D10,0)))</f>
        <v>5850</v>
      </c>
      <c r="J10" s="191">
        <f t="shared" si="5"/>
        <v>0</v>
      </c>
      <c r="K10" s="191">
        <f t="shared" ref="K10" si="15">IF(K$8=0,0,K9)</f>
        <v>0</v>
      </c>
      <c r="L10" s="191" t="str">
        <f>IF(AND(Master!$B$14="YES",Master!$B$11="Yes"),ROUND((D10+H10)*0.1,0),"")</f>
        <v/>
      </c>
      <c r="M10" s="191" t="str">
        <f t="shared" si="7"/>
        <v/>
      </c>
      <c r="N10" s="110">
        <f t="shared" si="8"/>
        <v>92950</v>
      </c>
      <c r="O10" s="191">
        <f>IF(Master!$B$11="yes",IF(D10&lt;23101,1450,IF(D10&lt;28501,1625,IF(D10&lt;38501,2100,IF(D10&lt;51501,2850,IF(D10&lt;62001,3575,IF(D10&lt;72001,4200,IF(D10&lt;80001,4800,IF(D10&lt;116001,6150,IF(D10&lt;167001,8900,10500)))))))))*2,IF(D10&lt;23101,1450,IF(D10&lt;28501,1625,IF(D10&lt;38501,2100,IF(D10&lt;51501,2850,IF(D10&lt;62001,3575,IF(D10&lt;72001,4200,IF(D10&lt;80001,4800,IF(D10&lt;116001,6150,IF(D10&lt;167001,8900,10500))))))))))</f>
        <v>8400</v>
      </c>
      <c r="P10" s="191">
        <f t="shared" ref="P10:P19" si="16">P9</f>
        <v>0</v>
      </c>
      <c r="Q10" s="191">
        <f t="shared" ref="Q10:Q19" si="17">Q9</f>
        <v>7000</v>
      </c>
      <c r="R10" s="191">
        <f t="shared" si="9"/>
        <v>0</v>
      </c>
      <c r="S10" s="191">
        <f t="shared" si="10"/>
        <v>875</v>
      </c>
      <c r="T10" s="191">
        <f t="shared" ref="T10:T19" si="18">T9</f>
        <v>0</v>
      </c>
      <c r="U10" s="191">
        <v>0</v>
      </c>
      <c r="V10" s="191">
        <f t="shared" ref="V10:V19" si="19">V9</f>
        <v>10000</v>
      </c>
      <c r="W10" s="191"/>
      <c r="X10" s="191"/>
      <c r="Y10" s="191" t="str">
        <f>IF(AND(Master!$B$14="YES",Master!$B$11="Yes"),L10,"")</f>
        <v/>
      </c>
      <c r="Z10" s="191">
        <f t="shared" si="11"/>
        <v>0</v>
      </c>
      <c r="AA10" s="181">
        <f t="shared" si="12"/>
        <v>26275</v>
      </c>
      <c r="AB10" s="111">
        <f t="shared" si="13"/>
        <v>66675</v>
      </c>
      <c r="AC10" s="76"/>
      <c r="AD10" s="25"/>
    </row>
    <row r="11" spans="1:30" s="12" customFormat="1" ht="18" customHeight="1" x14ac:dyDescent="0.2">
      <c r="A11" s="25"/>
      <c r="B11" s="12">
        <v>6</v>
      </c>
      <c r="C11" s="188">
        <v>44713</v>
      </c>
      <c r="D11" s="179">
        <f t="shared" si="2"/>
        <v>65000</v>
      </c>
      <c r="E11" s="191">
        <f t="shared" si="14"/>
        <v>0</v>
      </c>
      <c r="F11" s="191">
        <f t="shared" si="3"/>
        <v>0</v>
      </c>
      <c r="G11" s="191">
        <f t="shared" si="3"/>
        <v>0</v>
      </c>
      <c r="H11" s="191">
        <f t="shared" si="4"/>
        <v>22100</v>
      </c>
      <c r="I11" s="191">
        <f>IF(Master!$D$10="NA",0,IF(Master!$D$10=9%,ROUND(0.09*D11,0),ROUND(0.18*D11,0)))</f>
        <v>5850</v>
      </c>
      <c r="J11" s="191">
        <f t="shared" si="5"/>
        <v>0</v>
      </c>
      <c r="K11" s="191">
        <f t="shared" si="6"/>
        <v>0</v>
      </c>
      <c r="L11" s="191" t="str">
        <f>IF(AND(Master!$B$14="YES",Master!$B$11="Yes"),ROUND((D11+H11)*0.1,0),"")</f>
        <v/>
      </c>
      <c r="M11" s="191" t="str">
        <f t="shared" si="7"/>
        <v/>
      </c>
      <c r="N11" s="110">
        <f t="shared" si="8"/>
        <v>92950</v>
      </c>
      <c r="O11" s="191">
        <f t="shared" ref="O11:O19" si="20">IF(D11&lt;23101,1450,IF(D11&lt;28501,1625,IF(D11&lt;38501,2100,IF(D11&lt;51501,2850,IF(D11&lt;62001,3575,IF(D11&lt;72001,4200,IF(D11&lt;80001,4800,IF(D11&lt;116001,6150,IF(D11&lt;167001,8900,10500)))))))))</f>
        <v>4200</v>
      </c>
      <c r="P11" s="191">
        <f t="shared" si="16"/>
        <v>0</v>
      </c>
      <c r="Q11" s="191">
        <f t="shared" si="17"/>
        <v>7000</v>
      </c>
      <c r="R11" s="191">
        <f t="shared" si="9"/>
        <v>0</v>
      </c>
      <c r="S11" s="191">
        <f t="shared" si="10"/>
        <v>875</v>
      </c>
      <c r="T11" s="191">
        <f t="shared" si="18"/>
        <v>0</v>
      </c>
      <c r="U11" s="191">
        <v>0</v>
      </c>
      <c r="V11" s="191">
        <f t="shared" si="19"/>
        <v>10000</v>
      </c>
      <c r="W11" s="191"/>
      <c r="X11" s="191"/>
      <c r="Y11" s="191" t="str">
        <f>IF(AND(Master!$B$14="YES",Master!$B$11="Yes"),L11,"")</f>
        <v/>
      </c>
      <c r="Z11" s="191">
        <f t="shared" si="11"/>
        <v>0</v>
      </c>
      <c r="AA11" s="181">
        <f t="shared" si="12"/>
        <v>22075</v>
      </c>
      <c r="AB11" s="111">
        <f t="shared" si="13"/>
        <v>70875</v>
      </c>
      <c r="AC11" s="76"/>
      <c r="AD11" s="25"/>
    </row>
    <row r="12" spans="1:30" s="12" customFormat="1" ht="18" customHeight="1" x14ac:dyDescent="0.2">
      <c r="A12" s="25"/>
      <c r="B12" s="12">
        <v>7</v>
      </c>
      <c r="C12" s="188">
        <v>44743</v>
      </c>
      <c r="D12" s="179">
        <f>MROUND(ROUND(1.03*D11,0),100)</f>
        <v>67000</v>
      </c>
      <c r="E12" s="191">
        <f t="shared" si="14"/>
        <v>0</v>
      </c>
      <c r="F12" s="191">
        <f>IF(F$8=0,0,F11)</f>
        <v>0</v>
      </c>
      <c r="G12" s="191">
        <f>IF(G$8=0,0,G11)</f>
        <v>0</v>
      </c>
      <c r="H12" s="191">
        <f t="shared" si="4"/>
        <v>22780</v>
      </c>
      <c r="I12" s="191">
        <f>IF(Master!$D$10="NA",0,IF(Master!$D$10=9%,ROUND(0.09*D12,0),ROUND(0.18*D12,0)))</f>
        <v>6030</v>
      </c>
      <c r="J12" s="191">
        <f>IF(J$8=0,0,J11)</f>
        <v>0</v>
      </c>
      <c r="K12" s="191">
        <f t="shared" ref="K12" si="21">IF(K$8=0,0,K11)</f>
        <v>0</v>
      </c>
      <c r="L12" s="191" t="str">
        <f>IF(AND(Master!$B$14="YES",Master!$B$11="Yes"),ROUND((D12+H12)*0.1,0),"")</f>
        <v/>
      </c>
      <c r="M12" s="191" t="str">
        <f>IF(M$8=0,0,M11)</f>
        <v/>
      </c>
      <c r="N12" s="110">
        <f t="shared" si="8"/>
        <v>95810</v>
      </c>
      <c r="O12" s="191">
        <f t="shared" si="20"/>
        <v>4200</v>
      </c>
      <c r="P12" s="191">
        <f>P11</f>
        <v>0</v>
      </c>
      <c r="Q12" s="191">
        <f>Q11</f>
        <v>7000</v>
      </c>
      <c r="R12" s="191">
        <f t="shared" si="9"/>
        <v>0</v>
      </c>
      <c r="S12" s="191">
        <f t="shared" si="10"/>
        <v>875</v>
      </c>
      <c r="T12" s="191">
        <f>T11</f>
        <v>0</v>
      </c>
      <c r="U12" s="191">
        <v>0</v>
      </c>
      <c r="V12" s="191">
        <f t="shared" si="19"/>
        <v>10000</v>
      </c>
      <c r="W12" s="191"/>
      <c r="X12" s="191"/>
      <c r="Y12" s="191" t="str">
        <f>IF(AND(Master!$B$14="YES",Master!$B$11="Yes"),L12,"")</f>
        <v/>
      </c>
      <c r="Z12" s="191">
        <f t="shared" si="11"/>
        <v>0</v>
      </c>
      <c r="AA12" s="181">
        <f t="shared" si="12"/>
        <v>22075</v>
      </c>
      <c r="AB12" s="111">
        <f t="shared" si="13"/>
        <v>73735</v>
      </c>
      <c r="AC12" s="76"/>
      <c r="AD12" s="25"/>
    </row>
    <row r="13" spans="1:30" s="12" customFormat="1" ht="18" customHeight="1" x14ac:dyDescent="0.2">
      <c r="A13" s="25"/>
      <c r="B13" s="12">
        <v>8</v>
      </c>
      <c r="C13" s="188">
        <v>44774</v>
      </c>
      <c r="D13" s="179">
        <f t="shared" ref="D13:D19" si="22">D12</f>
        <v>67000</v>
      </c>
      <c r="E13" s="191">
        <f t="shared" si="14"/>
        <v>0</v>
      </c>
      <c r="F13" s="191">
        <f t="shared" si="3"/>
        <v>0</v>
      </c>
      <c r="G13" s="191">
        <f t="shared" si="3"/>
        <v>0</v>
      </c>
      <c r="H13" s="191">
        <f t="shared" si="4"/>
        <v>22780</v>
      </c>
      <c r="I13" s="191">
        <f>IF(Master!$D$10="NA",0,IF(Master!$D$10=9%,ROUND(0.09*D13,0),ROUND(0.18*D13,0)))</f>
        <v>6030</v>
      </c>
      <c r="J13" s="191">
        <f t="shared" si="5"/>
        <v>0</v>
      </c>
      <c r="K13" s="191">
        <f t="shared" si="6"/>
        <v>0</v>
      </c>
      <c r="L13" s="191" t="str">
        <f>IF(AND(Master!$B$14="YES",Master!$B$11="Yes"),ROUND((D13+H13)*0.1,0),"")</f>
        <v/>
      </c>
      <c r="M13" s="191" t="str">
        <f t="shared" si="7"/>
        <v/>
      </c>
      <c r="N13" s="110">
        <f t="shared" si="8"/>
        <v>95810</v>
      </c>
      <c r="O13" s="191">
        <f t="shared" si="20"/>
        <v>4200</v>
      </c>
      <c r="P13" s="191">
        <f t="shared" si="16"/>
        <v>0</v>
      </c>
      <c r="Q13" s="191">
        <f t="shared" si="17"/>
        <v>7000</v>
      </c>
      <c r="R13" s="191">
        <f t="shared" si="9"/>
        <v>0</v>
      </c>
      <c r="S13" s="191">
        <f t="shared" si="10"/>
        <v>875</v>
      </c>
      <c r="T13" s="191">
        <f t="shared" si="18"/>
        <v>0</v>
      </c>
      <c r="U13" s="191">
        <v>0</v>
      </c>
      <c r="V13" s="191">
        <f t="shared" si="19"/>
        <v>10000</v>
      </c>
      <c r="W13" s="191"/>
      <c r="X13" s="191"/>
      <c r="Y13" s="191" t="str">
        <f>IF(AND(Master!$B$14="YES",Master!$B$11="Yes"),L13,"")</f>
        <v/>
      </c>
      <c r="Z13" s="191">
        <f t="shared" si="11"/>
        <v>0</v>
      </c>
      <c r="AA13" s="181">
        <f t="shared" si="12"/>
        <v>22075</v>
      </c>
      <c r="AB13" s="111">
        <f t="shared" si="13"/>
        <v>73735</v>
      </c>
      <c r="AC13" s="76"/>
      <c r="AD13" s="25"/>
    </row>
    <row r="14" spans="1:30" s="12" customFormat="1" ht="18" customHeight="1" x14ac:dyDescent="0.2">
      <c r="A14" s="25"/>
      <c r="B14" s="12">
        <v>9</v>
      </c>
      <c r="C14" s="188">
        <v>44805</v>
      </c>
      <c r="D14" s="179">
        <f t="shared" si="22"/>
        <v>67000</v>
      </c>
      <c r="E14" s="191">
        <f t="shared" si="14"/>
        <v>0</v>
      </c>
      <c r="F14" s="191">
        <f t="shared" si="3"/>
        <v>0</v>
      </c>
      <c r="G14" s="191">
        <f t="shared" si="3"/>
        <v>0</v>
      </c>
      <c r="H14" s="191">
        <f t="shared" si="4"/>
        <v>22780</v>
      </c>
      <c r="I14" s="191">
        <f>IF(Master!$D$10="NA",0,IF(Master!$D$10=9%,ROUND(0.09*D14,0),ROUND(0.18*D14,0)))</f>
        <v>6030</v>
      </c>
      <c r="J14" s="191">
        <f t="shared" si="5"/>
        <v>0</v>
      </c>
      <c r="K14" s="191">
        <f t="shared" si="6"/>
        <v>0</v>
      </c>
      <c r="L14" s="191" t="str">
        <f>IF(AND(Master!$B$14="YES",Master!$B$11="Yes"),ROUND((D14+H14)*0.1,0),"")</f>
        <v/>
      </c>
      <c r="M14" s="191" t="str">
        <f t="shared" si="7"/>
        <v/>
      </c>
      <c r="N14" s="110">
        <f t="shared" si="8"/>
        <v>95810</v>
      </c>
      <c r="O14" s="191">
        <f t="shared" si="20"/>
        <v>4200</v>
      </c>
      <c r="P14" s="191">
        <f t="shared" si="16"/>
        <v>0</v>
      </c>
      <c r="Q14" s="191">
        <f t="shared" si="17"/>
        <v>7000</v>
      </c>
      <c r="R14" s="191">
        <f t="shared" si="9"/>
        <v>0</v>
      </c>
      <c r="S14" s="191">
        <f t="shared" si="10"/>
        <v>875</v>
      </c>
      <c r="T14" s="191">
        <f t="shared" si="18"/>
        <v>0</v>
      </c>
      <c r="U14" s="191">
        <v>0</v>
      </c>
      <c r="V14" s="191">
        <f t="shared" si="19"/>
        <v>10000</v>
      </c>
      <c r="W14" s="191"/>
      <c r="X14" s="191"/>
      <c r="Y14" s="191" t="str">
        <f>IF(AND(Master!$B$14="YES",Master!$B$11="Yes"),L14,"")</f>
        <v/>
      </c>
      <c r="Z14" s="191">
        <f t="shared" si="11"/>
        <v>0</v>
      </c>
      <c r="AA14" s="181">
        <f t="shared" si="12"/>
        <v>22075</v>
      </c>
      <c r="AB14" s="111">
        <f t="shared" si="13"/>
        <v>73735</v>
      </c>
      <c r="AC14" s="76"/>
      <c r="AD14" s="25"/>
    </row>
    <row r="15" spans="1:30" s="12" customFormat="1" ht="18" customHeight="1" x14ac:dyDescent="0.2">
      <c r="A15" s="25"/>
      <c r="B15" s="12">
        <v>10</v>
      </c>
      <c r="C15" s="188">
        <v>44835</v>
      </c>
      <c r="D15" s="179">
        <f t="shared" si="22"/>
        <v>67000</v>
      </c>
      <c r="E15" s="191">
        <f t="shared" si="14"/>
        <v>0</v>
      </c>
      <c r="F15" s="191">
        <f>IF(F$8=0,0,F14)</f>
        <v>0</v>
      </c>
      <c r="G15" s="191">
        <f t="shared" ref="G15:G19" si="23">IF(G$8=0,0,G14)</f>
        <v>0</v>
      </c>
      <c r="H15" s="191">
        <f>ROUND(38%*D15,0)</f>
        <v>25460</v>
      </c>
      <c r="I15" s="191">
        <f>IF(Master!$D$10="NA",0,IF(Master!$D$10=9%,ROUND(0.09*D15,0),ROUND(0.18*D15,0)))</f>
        <v>6030</v>
      </c>
      <c r="J15" s="191">
        <f t="shared" si="5"/>
        <v>0</v>
      </c>
      <c r="K15" s="191">
        <f t="shared" si="6"/>
        <v>0</v>
      </c>
      <c r="L15" s="191" t="str">
        <f>IF(AND(Master!$B$14="YES",Master!$B$11="Yes"),ROUND((D15+H15)*0.1,0),"")</f>
        <v/>
      </c>
      <c r="M15" s="191" t="str">
        <f t="shared" si="7"/>
        <v/>
      </c>
      <c r="N15" s="110">
        <f t="shared" si="8"/>
        <v>98490</v>
      </c>
      <c r="O15" s="191">
        <f t="shared" si="20"/>
        <v>4200</v>
      </c>
      <c r="P15" s="191">
        <f t="shared" si="16"/>
        <v>0</v>
      </c>
      <c r="Q15" s="191">
        <f t="shared" si="17"/>
        <v>7000</v>
      </c>
      <c r="R15" s="191">
        <f t="shared" si="9"/>
        <v>0</v>
      </c>
      <c r="S15" s="191">
        <f t="shared" si="10"/>
        <v>875</v>
      </c>
      <c r="T15" s="191">
        <f t="shared" si="18"/>
        <v>0</v>
      </c>
      <c r="U15" s="191">
        <v>0</v>
      </c>
      <c r="V15" s="191">
        <f t="shared" si="19"/>
        <v>10000</v>
      </c>
      <c r="W15" s="191"/>
      <c r="X15" s="191"/>
      <c r="Y15" s="191" t="str">
        <f>IF(AND(Master!$B$14="YES",Master!$B$11="Yes"),L15,"")</f>
        <v/>
      </c>
      <c r="Z15" s="191">
        <f t="shared" si="11"/>
        <v>0</v>
      </c>
      <c r="AA15" s="181">
        <f t="shared" si="12"/>
        <v>22075</v>
      </c>
      <c r="AB15" s="111">
        <f t="shared" si="13"/>
        <v>76415</v>
      </c>
      <c r="AC15" s="76"/>
      <c r="AD15" s="25"/>
    </row>
    <row r="16" spans="1:30" s="12" customFormat="1" ht="18" customHeight="1" x14ac:dyDescent="0.2">
      <c r="A16" s="25"/>
      <c r="B16" s="12">
        <v>11</v>
      </c>
      <c r="C16" s="188">
        <v>44866</v>
      </c>
      <c r="D16" s="179">
        <f t="shared" si="22"/>
        <v>67000</v>
      </c>
      <c r="E16" s="191">
        <f t="shared" si="14"/>
        <v>0</v>
      </c>
      <c r="F16" s="191">
        <f>IF(F$8=0,0,F15)</f>
        <v>0</v>
      </c>
      <c r="G16" s="191">
        <f t="shared" si="23"/>
        <v>0</v>
      </c>
      <c r="H16" s="191">
        <f t="shared" ref="H16:H19" si="24">ROUND(38%*D16,0)</f>
        <v>25460</v>
      </c>
      <c r="I16" s="191">
        <f>IF(Master!$D$10="NA",0,IF(Master!$D$10=9%,ROUND(0.09*D16,0),ROUND(0.18*D16,0)))</f>
        <v>6030</v>
      </c>
      <c r="J16" s="191">
        <f t="shared" si="5"/>
        <v>0</v>
      </c>
      <c r="K16" s="191">
        <f t="shared" si="6"/>
        <v>0</v>
      </c>
      <c r="L16" s="191" t="str">
        <f>IF(AND(Master!$B$14="YES",Master!$B$11="Yes"),ROUND((D16+H16)*0.1,0),"")</f>
        <v/>
      </c>
      <c r="M16" s="191" t="str">
        <f t="shared" si="7"/>
        <v/>
      </c>
      <c r="N16" s="110">
        <f t="shared" si="8"/>
        <v>98490</v>
      </c>
      <c r="O16" s="191">
        <f t="shared" si="20"/>
        <v>4200</v>
      </c>
      <c r="P16" s="191">
        <f t="shared" si="16"/>
        <v>0</v>
      </c>
      <c r="Q16" s="191">
        <f t="shared" si="17"/>
        <v>7000</v>
      </c>
      <c r="R16" s="191">
        <f t="shared" si="9"/>
        <v>0</v>
      </c>
      <c r="S16" s="191">
        <f t="shared" si="10"/>
        <v>875</v>
      </c>
      <c r="T16" s="191">
        <f t="shared" si="18"/>
        <v>0</v>
      </c>
      <c r="U16" s="191">
        <v>0</v>
      </c>
      <c r="V16" s="191">
        <f t="shared" si="19"/>
        <v>10000</v>
      </c>
      <c r="W16" s="191"/>
      <c r="X16" s="191"/>
      <c r="Y16" s="191" t="str">
        <f>IF(AND(Master!$B$14="YES",Master!$B$11="Yes"),L16,"")</f>
        <v/>
      </c>
      <c r="Z16" s="191">
        <f t="shared" si="11"/>
        <v>0</v>
      </c>
      <c r="AA16" s="181">
        <f t="shared" si="12"/>
        <v>22075</v>
      </c>
      <c r="AB16" s="111">
        <f t="shared" si="13"/>
        <v>76415</v>
      </c>
      <c r="AC16" s="76"/>
      <c r="AD16" s="25"/>
    </row>
    <row r="17" spans="1:34" s="12" customFormat="1" ht="18" customHeight="1" x14ac:dyDescent="0.2">
      <c r="A17" s="25"/>
      <c r="B17" s="12">
        <v>12</v>
      </c>
      <c r="C17" s="188">
        <v>44896</v>
      </c>
      <c r="D17" s="179">
        <f t="shared" si="22"/>
        <v>67000</v>
      </c>
      <c r="E17" s="191">
        <f t="shared" si="14"/>
        <v>0</v>
      </c>
      <c r="F17" s="191">
        <f>IF(F$8=0,0,F16)</f>
        <v>0</v>
      </c>
      <c r="G17" s="191">
        <f t="shared" si="23"/>
        <v>0</v>
      </c>
      <c r="H17" s="191">
        <f t="shared" si="24"/>
        <v>25460</v>
      </c>
      <c r="I17" s="191">
        <f>IF(Master!$D$10="NA",0,IF(Master!$D$10=9%,ROUND(0.09*D17,0),ROUND(0.18*D17,0)))</f>
        <v>6030</v>
      </c>
      <c r="J17" s="191">
        <f t="shared" si="5"/>
        <v>0</v>
      </c>
      <c r="K17" s="191">
        <f t="shared" si="6"/>
        <v>0</v>
      </c>
      <c r="L17" s="191" t="str">
        <f>IF(AND(Master!$B$14="YES",Master!$B$11="Yes"),ROUND((D17+H17)*0.1,0),"")</f>
        <v/>
      </c>
      <c r="M17" s="191" t="str">
        <f t="shared" si="7"/>
        <v/>
      </c>
      <c r="N17" s="110">
        <f t="shared" si="8"/>
        <v>98490</v>
      </c>
      <c r="O17" s="191">
        <f t="shared" si="20"/>
        <v>4200</v>
      </c>
      <c r="P17" s="191">
        <f t="shared" si="16"/>
        <v>0</v>
      </c>
      <c r="Q17" s="191">
        <f t="shared" si="17"/>
        <v>7000</v>
      </c>
      <c r="R17" s="191">
        <f t="shared" si="9"/>
        <v>0</v>
      </c>
      <c r="S17" s="191">
        <f t="shared" si="10"/>
        <v>875</v>
      </c>
      <c r="T17" s="191">
        <f t="shared" si="18"/>
        <v>0</v>
      </c>
      <c r="U17" s="191">
        <v>0</v>
      </c>
      <c r="V17" s="191">
        <f t="shared" si="19"/>
        <v>10000</v>
      </c>
      <c r="W17" s="191">
        <f>IF(Master!D14="NO",0,IF(Master!D6="State Service",500,250))</f>
        <v>500</v>
      </c>
      <c r="X17" s="219"/>
      <c r="Y17" s="191" t="str">
        <f>IF(AND(Master!$B$14="YES",Master!$B$11="Yes"),L17,"")</f>
        <v/>
      </c>
      <c r="Z17" s="191">
        <f t="shared" si="11"/>
        <v>0</v>
      </c>
      <c r="AA17" s="181">
        <f t="shared" si="12"/>
        <v>22575</v>
      </c>
      <c r="AB17" s="111">
        <f t="shared" si="13"/>
        <v>75915</v>
      </c>
      <c r="AC17" s="76"/>
      <c r="AD17" s="25"/>
    </row>
    <row r="18" spans="1:34" s="12" customFormat="1" ht="18" customHeight="1" x14ac:dyDescent="0.2">
      <c r="A18" s="25"/>
      <c r="B18" s="12">
        <v>1</v>
      </c>
      <c r="C18" s="188">
        <v>44927</v>
      </c>
      <c r="D18" s="179">
        <f t="shared" si="22"/>
        <v>67000</v>
      </c>
      <c r="E18" s="191">
        <f t="shared" si="14"/>
        <v>0</v>
      </c>
      <c r="F18" s="191">
        <f>IF(F$8=0,0,F17)</f>
        <v>0</v>
      </c>
      <c r="G18" s="191">
        <f t="shared" si="23"/>
        <v>0</v>
      </c>
      <c r="H18" s="191">
        <f t="shared" si="24"/>
        <v>25460</v>
      </c>
      <c r="I18" s="191">
        <f>IF(Master!$D$10="NA",0,IF(Master!$D$10=9%,ROUND(0.09*D18,0),ROUND(0.18*D18,0)))</f>
        <v>6030</v>
      </c>
      <c r="J18" s="191">
        <f t="shared" si="5"/>
        <v>0</v>
      </c>
      <c r="K18" s="191">
        <f t="shared" si="6"/>
        <v>0</v>
      </c>
      <c r="L18" s="191" t="str">
        <f>IF(AND(Master!$B$14="YES",Master!$B$11="Yes"),ROUND((D18+H18)*0.1,0),"")</f>
        <v/>
      </c>
      <c r="M18" s="191" t="str">
        <f t="shared" si="7"/>
        <v/>
      </c>
      <c r="N18" s="110">
        <f t="shared" si="8"/>
        <v>98490</v>
      </c>
      <c r="O18" s="191">
        <f t="shared" si="20"/>
        <v>4200</v>
      </c>
      <c r="P18" s="191">
        <f t="shared" si="16"/>
        <v>0</v>
      </c>
      <c r="Q18" s="191">
        <f t="shared" si="17"/>
        <v>7000</v>
      </c>
      <c r="R18" s="191">
        <f t="shared" si="9"/>
        <v>0</v>
      </c>
      <c r="S18" s="191">
        <f t="shared" si="10"/>
        <v>875</v>
      </c>
      <c r="T18" s="191">
        <f t="shared" si="18"/>
        <v>0</v>
      </c>
      <c r="U18" s="191"/>
      <c r="V18" s="191">
        <f t="shared" si="19"/>
        <v>10000</v>
      </c>
      <c r="W18" s="191"/>
      <c r="X18" s="191"/>
      <c r="Y18" s="191" t="str">
        <f>IF(AND(Master!$B$14="YES",Master!$B$11="Yes"),L18,"")</f>
        <v/>
      </c>
      <c r="Z18" s="191">
        <f t="shared" si="11"/>
        <v>0</v>
      </c>
      <c r="AA18" s="181">
        <f t="shared" si="12"/>
        <v>22075</v>
      </c>
      <c r="AB18" s="111">
        <f t="shared" si="13"/>
        <v>76415</v>
      </c>
      <c r="AC18" s="76"/>
      <c r="AD18" s="25"/>
    </row>
    <row r="19" spans="1:34" s="12" customFormat="1" ht="18" customHeight="1" x14ac:dyDescent="0.2">
      <c r="A19" s="25"/>
      <c r="B19" s="12">
        <v>2</v>
      </c>
      <c r="C19" s="188">
        <v>44958</v>
      </c>
      <c r="D19" s="179">
        <f t="shared" si="22"/>
        <v>67000</v>
      </c>
      <c r="E19" s="191">
        <f t="shared" si="14"/>
        <v>0</v>
      </c>
      <c r="F19" s="191">
        <f>IF(F$8=0,0,F18)</f>
        <v>0</v>
      </c>
      <c r="G19" s="191">
        <f t="shared" si="23"/>
        <v>0</v>
      </c>
      <c r="H19" s="191">
        <f t="shared" si="24"/>
        <v>25460</v>
      </c>
      <c r="I19" s="191">
        <f>IF(Master!$D$10="NA",0,IF(Master!$D$10=9%,ROUND(0.09*D19,0),ROUND(0.18*D19,0)))</f>
        <v>6030</v>
      </c>
      <c r="J19" s="191">
        <f t="shared" si="5"/>
        <v>0</v>
      </c>
      <c r="K19" s="191">
        <f t="shared" si="6"/>
        <v>0</v>
      </c>
      <c r="L19" s="191" t="str">
        <f>IF(AND(Master!$B$14="YES",Master!$B$11="Yes"),ROUND((D19+H19)*0.1,0),"")</f>
        <v/>
      </c>
      <c r="M19" s="191" t="str">
        <f t="shared" si="7"/>
        <v/>
      </c>
      <c r="N19" s="110">
        <f t="shared" si="8"/>
        <v>98490</v>
      </c>
      <c r="O19" s="191">
        <f t="shared" si="20"/>
        <v>4200</v>
      </c>
      <c r="P19" s="191">
        <f t="shared" si="16"/>
        <v>0</v>
      </c>
      <c r="Q19" s="191">
        <f t="shared" si="17"/>
        <v>7000</v>
      </c>
      <c r="R19" s="191">
        <f t="shared" si="9"/>
        <v>0</v>
      </c>
      <c r="S19" s="191">
        <f t="shared" si="10"/>
        <v>875</v>
      </c>
      <c r="T19" s="191">
        <f t="shared" si="18"/>
        <v>0</v>
      </c>
      <c r="U19" s="191">
        <v>0</v>
      </c>
      <c r="V19" s="191">
        <f t="shared" si="19"/>
        <v>10000</v>
      </c>
      <c r="W19" s="191"/>
      <c r="X19" s="191"/>
      <c r="Y19" s="191" t="str">
        <f>IF(AND(Master!$B$14="YES",Master!$B$11="Yes"),L19,"")</f>
        <v/>
      </c>
      <c r="Z19" s="191">
        <f t="shared" si="11"/>
        <v>0</v>
      </c>
      <c r="AA19" s="181">
        <f t="shared" si="12"/>
        <v>22075</v>
      </c>
      <c r="AB19" s="111">
        <f t="shared" si="13"/>
        <v>76415</v>
      </c>
      <c r="AC19" s="76"/>
      <c r="AD19" s="25"/>
    </row>
    <row r="20" spans="1:34" s="12" customFormat="1" ht="30" customHeight="1" x14ac:dyDescent="0.2">
      <c r="A20" s="25"/>
      <c r="C20" s="233" t="s">
        <v>174</v>
      </c>
      <c r="D20" s="179"/>
      <c r="E20" s="191"/>
      <c r="F20" s="191"/>
      <c r="G20" s="191"/>
      <c r="H20" s="191"/>
      <c r="I20" s="191"/>
      <c r="J20" s="191"/>
      <c r="K20" s="191"/>
      <c r="L20" s="191"/>
      <c r="M20" s="191"/>
      <c r="N20" s="110">
        <f t="shared" si="8"/>
        <v>0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 t="str">
        <f>IF(AND(Master!$B$14="YES",Master!$B$11="Yes"),L20,"")</f>
        <v/>
      </c>
      <c r="Z20" s="191"/>
      <c r="AA20" s="181">
        <f t="shared" si="12"/>
        <v>0</v>
      </c>
      <c r="AB20" s="111">
        <f t="shared" si="13"/>
        <v>0</v>
      </c>
      <c r="AC20" s="76"/>
      <c r="AD20" s="25"/>
    </row>
    <row r="21" spans="1:34" s="12" customFormat="1" ht="30" customHeight="1" x14ac:dyDescent="0.2">
      <c r="A21" s="25"/>
      <c r="C21" s="189" t="s">
        <v>329</v>
      </c>
      <c r="D21" s="179">
        <f>IF(Master!B12="NO",0,IF(Master!D12="NA",0,IF(Master!D12=3,GA55A!D19/2,VLOOKUP(Master!D12,GA55A!B8:D19,3,FALSE)/2)))</f>
        <v>33500</v>
      </c>
      <c r="E21" s="191"/>
      <c r="F21" s="191"/>
      <c r="G21" s="191"/>
      <c r="H21" s="191">
        <f>IF(AND(Master!D12&gt;3,Master!D12&lt;10),ROUND(GA55A!D21*34%,0),IF(AND(Master!D12&gt;9,Master!D12&lt;13),ROUND(GA55A!D21*38%,0),ROUND(GA55A!D21*38%,0)))</f>
        <v>12730</v>
      </c>
      <c r="I21" s="191"/>
      <c r="J21" s="191"/>
      <c r="K21" s="191"/>
      <c r="L21" s="191"/>
      <c r="M21" s="191"/>
      <c r="N21" s="110">
        <f t="shared" si="8"/>
        <v>46230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 t="str">
        <f>IF(AND(Master!$B$14="YES",Master!$B$11="Yes"),L21,"")</f>
        <v/>
      </c>
      <c r="Z21" s="191"/>
      <c r="AA21" s="181">
        <f t="shared" si="12"/>
        <v>0</v>
      </c>
      <c r="AB21" s="111">
        <f t="shared" si="13"/>
        <v>46230</v>
      </c>
      <c r="AC21" s="76"/>
      <c r="AD21" s="25"/>
      <c r="AF21" s="218">
        <f>ROUND(D12*3%,0)</f>
        <v>2010</v>
      </c>
      <c r="AG21" s="218">
        <f>ROUND(AF21*10%,0)</f>
        <v>201</v>
      </c>
      <c r="AH21" s="218">
        <f>AF21-AG21</f>
        <v>1809</v>
      </c>
    </row>
    <row r="22" spans="1:34" s="12" customFormat="1" ht="30" customHeight="1" x14ac:dyDescent="0.2">
      <c r="A22" s="25"/>
      <c r="C22" s="190" t="s">
        <v>330</v>
      </c>
      <c r="D22" s="179">
        <f>IF(Master!D11="YES",6774,0)</f>
        <v>6774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8"/>
        <v>6774</v>
      </c>
      <c r="O22" s="191">
        <f>IF(D22=0,0,ROUND(D22*25%,0))</f>
        <v>1694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 t="str">
        <f>IF(AND(Master!$B$14="YES",Master!$B$11="Yes"),L22,"")</f>
        <v/>
      </c>
      <c r="Z22" s="191"/>
      <c r="AA22" s="181">
        <f t="shared" si="12"/>
        <v>1694</v>
      </c>
      <c r="AB22" s="111">
        <f t="shared" si="13"/>
        <v>5080</v>
      </c>
      <c r="AC22" s="76"/>
      <c r="AD22" s="25"/>
      <c r="AF22" s="218">
        <f>ROUND(D13*3%,0)</f>
        <v>2010</v>
      </c>
      <c r="AG22" s="218">
        <f t="shared" ref="AG22:AG23" si="25">ROUND(AF22*10%,0)</f>
        <v>201</v>
      </c>
      <c r="AH22" s="218">
        <f t="shared" ref="AH22:AH23" si="26">AF22-AG22</f>
        <v>1809</v>
      </c>
    </row>
    <row r="23" spans="1:34" s="12" customFormat="1" ht="30" customHeight="1" x14ac:dyDescent="0.2">
      <c r="A23" s="25"/>
      <c r="C23" s="103" t="s">
        <v>351</v>
      </c>
      <c r="D23" s="213"/>
      <c r="E23" s="191"/>
      <c r="F23" s="191"/>
      <c r="G23" s="191"/>
      <c r="H23" s="192">
        <f>(ROUND(D11*34%,0)-ROUND(D11*31%,0))*3</f>
        <v>5850</v>
      </c>
      <c r="J23" s="191"/>
      <c r="K23" s="191"/>
      <c r="L23" s="191" t="str">
        <f>IF(AND(Master!$B$14="YES",Master!$B$11="Yes"),O23,"")</f>
        <v/>
      </c>
      <c r="M23" s="191"/>
      <c r="N23" s="110">
        <f t="shared" si="8"/>
        <v>5850</v>
      </c>
      <c r="O23" s="192">
        <f>H23</f>
        <v>5850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 t="str">
        <f>IF(AND(Master!$B$14="YES",Master!$B$11="Yes"),L23,"")</f>
        <v/>
      </c>
      <c r="Z23" s="191"/>
      <c r="AA23" s="181">
        <f t="shared" si="12"/>
        <v>5850</v>
      </c>
      <c r="AB23" s="111">
        <f t="shared" si="13"/>
        <v>0</v>
      </c>
      <c r="AC23" s="76"/>
      <c r="AD23" s="25"/>
      <c r="AF23" s="218">
        <f>ROUND(D14*3%,0)</f>
        <v>2010</v>
      </c>
      <c r="AG23" s="218">
        <f t="shared" si="25"/>
        <v>201</v>
      </c>
      <c r="AH23" s="218">
        <f t="shared" si="26"/>
        <v>1809</v>
      </c>
    </row>
    <row r="24" spans="1:34" s="12" customFormat="1" ht="30" customHeight="1" x14ac:dyDescent="0.2">
      <c r="A24" s="25"/>
      <c r="C24" s="103" t="s">
        <v>331</v>
      </c>
      <c r="D24" s="179"/>
      <c r="E24" s="191"/>
      <c r="F24" s="191"/>
      <c r="G24" s="191"/>
      <c r="H24" s="191">
        <f>(ROUND(D15*38%,0)-ROUND(D15*34%,0))*3</f>
        <v>8040</v>
      </c>
      <c r="I24" s="191"/>
      <c r="J24" s="191"/>
      <c r="K24" s="191"/>
      <c r="L24" s="191"/>
      <c r="M24" s="191"/>
      <c r="N24" s="110">
        <f t="shared" si="8"/>
        <v>8040</v>
      </c>
      <c r="O24" s="191">
        <f>H24</f>
        <v>8040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1">
        <f t="shared" si="12"/>
        <v>8040</v>
      </c>
      <c r="AB24" s="111">
        <f t="shared" si="13"/>
        <v>0</v>
      </c>
      <c r="AC24" s="76"/>
      <c r="AD24" s="25"/>
      <c r="AF24" s="218"/>
      <c r="AG24" s="218"/>
      <c r="AH24" s="218"/>
    </row>
    <row r="25" spans="1:34" s="12" customFormat="1" ht="30" customHeight="1" x14ac:dyDescent="0.2">
      <c r="A25" s="25"/>
      <c r="C25" s="104" t="s">
        <v>174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8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 t="str">
        <f>IF(AND(Master!$B$14="YES",Master!$B$11="Yes"),L25,"")</f>
        <v/>
      </c>
      <c r="Z25" s="191"/>
      <c r="AA25" s="181">
        <f t="shared" si="12"/>
        <v>0</v>
      </c>
      <c r="AB25" s="111">
        <f t="shared" si="13"/>
        <v>0</v>
      </c>
      <c r="AC25" s="76"/>
      <c r="AD25" s="25"/>
      <c r="AF25" s="218">
        <f>SUM(AF21:AF24)</f>
        <v>6030</v>
      </c>
      <c r="AG25" s="218">
        <f>SUM(AG21:AG24)</f>
        <v>603</v>
      </c>
      <c r="AH25" s="218">
        <f>SUM(AH21:AH24)</f>
        <v>5427</v>
      </c>
    </row>
    <row r="26" spans="1:34" s="12" customFormat="1" ht="30" customHeight="1" x14ac:dyDescent="0.2">
      <c r="A26" s="25"/>
      <c r="C26" s="104" t="s">
        <v>204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8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 t="str">
        <f>IF(AND(Master!$B$14="YES",Master!$B$11="Yes"),L26,"")</f>
        <v/>
      </c>
      <c r="Z26" s="191"/>
      <c r="AA26" s="181">
        <f t="shared" si="12"/>
        <v>0</v>
      </c>
      <c r="AB26" s="111">
        <f t="shared" si="13"/>
        <v>0</v>
      </c>
      <c r="AC26" s="76"/>
      <c r="AD26" s="25"/>
      <c r="AF26" s="218">
        <f>IF(Master!B12="YES",IF(AND(Master!D12&gt;6,Master!D12&lt;10),ROUND(D21*3%,0),0))</f>
        <v>0</v>
      </c>
    </row>
    <row r="27" spans="1:34" s="12" customFormat="1" ht="30" customHeight="1" x14ac:dyDescent="0.2">
      <c r="A27" s="25"/>
      <c r="C27" s="104" t="s">
        <v>205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8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 t="str">
        <f>IF(AND(Master!$B$14="YES",Master!$B$11="Yes"),L27,"")</f>
        <v/>
      </c>
      <c r="Z27" s="191"/>
      <c r="AA27" s="181">
        <f t="shared" si="12"/>
        <v>0</v>
      </c>
      <c r="AB27" s="111">
        <f t="shared" si="13"/>
        <v>0</v>
      </c>
      <c r="AC27" s="76"/>
      <c r="AD27" s="25"/>
    </row>
    <row r="28" spans="1:34" s="13" customFormat="1" ht="81" customHeight="1" thickBot="1" x14ac:dyDescent="0.25">
      <c r="A28" s="26"/>
      <c r="C28" s="109" t="s">
        <v>52</v>
      </c>
      <c r="D28" s="180">
        <f t="shared" ref="D28:Q28" si="27">SUM(D8:D27)</f>
        <v>836274</v>
      </c>
      <c r="E28" s="187">
        <f t="shared" si="27"/>
        <v>0</v>
      </c>
      <c r="F28" s="187">
        <f t="shared" si="27"/>
        <v>0</v>
      </c>
      <c r="G28" s="187">
        <f t="shared" si="27"/>
        <v>0</v>
      </c>
      <c r="H28" s="187">
        <f t="shared" si="27"/>
        <v>308710</v>
      </c>
      <c r="I28" s="187">
        <f t="shared" si="27"/>
        <v>71640</v>
      </c>
      <c r="J28" s="187">
        <f t="shared" si="27"/>
        <v>0</v>
      </c>
      <c r="K28" s="187">
        <f t="shared" si="27"/>
        <v>0</v>
      </c>
      <c r="L28" s="187">
        <f t="shared" si="27"/>
        <v>0</v>
      </c>
      <c r="M28" s="187">
        <f t="shared" si="27"/>
        <v>0</v>
      </c>
      <c r="N28" s="108">
        <f>SUM(N8:N27)</f>
        <v>1216624</v>
      </c>
      <c r="O28" s="187">
        <f t="shared" si="27"/>
        <v>61784</v>
      </c>
      <c r="P28" s="187">
        <f t="shared" si="27"/>
        <v>0</v>
      </c>
      <c r="Q28" s="187">
        <f t="shared" si="27"/>
        <v>84000</v>
      </c>
      <c r="R28" s="187">
        <f>SUM(R8:R27)</f>
        <v>0</v>
      </c>
      <c r="S28" s="187">
        <f t="shared" ref="S28:Z28" si="28">SUM(S8:S27)</f>
        <v>10065</v>
      </c>
      <c r="T28" s="187">
        <f t="shared" si="28"/>
        <v>0</v>
      </c>
      <c r="U28" s="187">
        <f t="shared" si="28"/>
        <v>0</v>
      </c>
      <c r="V28" s="187">
        <f t="shared" si="28"/>
        <v>120000</v>
      </c>
      <c r="W28" s="187">
        <f t="shared" si="28"/>
        <v>500</v>
      </c>
      <c r="X28" s="187">
        <f t="shared" si="28"/>
        <v>0</v>
      </c>
      <c r="Y28" s="187">
        <f t="shared" si="28"/>
        <v>0</v>
      </c>
      <c r="Z28" s="187">
        <f t="shared" si="28"/>
        <v>0</v>
      </c>
      <c r="AA28" s="180">
        <f t="shared" ref="AA28:AB28" si="29">SUM(AA8:AA27)</f>
        <v>276349</v>
      </c>
      <c r="AB28" s="108">
        <f t="shared" si="29"/>
        <v>940275</v>
      </c>
      <c r="AC28" s="105"/>
      <c r="AD28" s="26"/>
    </row>
    <row r="29" spans="1:34" s="4" customFormat="1" x14ac:dyDescent="0.2">
      <c r="A29" s="27"/>
      <c r="AD29" s="27"/>
    </row>
    <row r="30" spans="1:34" s="4" customFormat="1" x14ac:dyDescent="0.2">
      <c r="A30" s="27"/>
      <c r="AD30" s="27"/>
    </row>
    <row r="31" spans="1:34" s="4" customFormat="1" x14ac:dyDescent="0.2">
      <c r="A31" s="27"/>
      <c r="AD31" s="27"/>
    </row>
    <row r="32" spans="1:34" x14ac:dyDescent="0.2"/>
    <row r="33" spans="1:30" s="107" customFormat="1" ht="20.25" x14ac:dyDescent="0.2">
      <c r="A33" s="106"/>
      <c r="E33" s="210" t="s">
        <v>53</v>
      </c>
      <c r="AB33" s="210" t="s">
        <v>54</v>
      </c>
      <c r="AD33" s="106"/>
    </row>
    <row r="34" spans="1:30" ht="16.5" x14ac:dyDescent="0.2">
      <c r="D34" s="107"/>
      <c r="E34" s="222" t="str">
        <f>CONCATENATE("(",Master!B5,")")</f>
        <v>(Chandra Prakash Kurmi)</v>
      </c>
      <c r="F34" s="223"/>
      <c r="G34" s="223"/>
      <c r="H34" s="223"/>
      <c r="I34" s="223"/>
      <c r="J34" s="223"/>
      <c r="K34" s="223"/>
      <c r="L34" s="223"/>
      <c r="M34" s="223"/>
      <c r="N34" s="301" t="s">
        <v>92</v>
      </c>
      <c r="O34" s="301"/>
      <c r="P34" s="301"/>
      <c r="Q34" s="223"/>
      <c r="R34" s="223"/>
      <c r="S34" s="223"/>
      <c r="T34" s="223"/>
      <c r="U34" s="224"/>
      <c r="V34" s="224"/>
      <c r="W34" s="224"/>
      <c r="X34" s="223"/>
      <c r="Y34" s="223"/>
      <c r="Z34" s="223"/>
      <c r="AA34" s="223"/>
      <c r="AB34" s="226" t="str">
        <f>IF(Master!D4="","",CONCATENATE("(",Master!D4,")"))</f>
        <v/>
      </c>
      <c r="AC34" s="223"/>
    </row>
    <row r="35" spans="1:30" ht="21.75" hidden="1" customHeight="1" x14ac:dyDescent="0.2"/>
  </sheetData>
  <sheetProtection algorithmName="SHA-512" hashValue="tjEph98z4yovQXvJPY5PJ0Xocp7O0LeH8GtEtLi3bzPyVwvzfKas9WTdMJetnzA0j2Shm7Hjr7MZpJ06KtlgyA==" saltValue="DzfaVDjDWHNju4l49U4K5Q==" spinCount="100000" sheet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Y8:Y27 D8:S19">
    <cfRule type="cellIs" dxfId="13" priority="9" stopIfTrue="1" operator="equal">
      <formula>0</formula>
    </cfRule>
  </conditionalFormatting>
  <dataValidations disablePrompts="1"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E9" sqref="E9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17" t="s">
        <v>94</v>
      </c>
      <c r="B1" s="318"/>
      <c r="C1" s="318"/>
      <c r="D1" s="318"/>
      <c r="E1" s="318"/>
      <c r="F1" s="319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176</v>
      </c>
      <c r="V1" s="129" t="s">
        <v>177</v>
      </c>
      <c r="W1" s="129" t="s">
        <v>211</v>
      </c>
      <c r="X1" s="47"/>
      <c r="Y1" s="47"/>
      <c r="Z1" s="47"/>
    </row>
    <row r="2" spans="1:123" s="1" customFormat="1" ht="27.75" customHeight="1" x14ac:dyDescent="0.25">
      <c r="A2" s="320" t="str">
        <f>GA55A!D5&amp; " ,   " &amp;GA55A!D6&amp;"                         PAN-  "&amp;GA55A!M5</f>
        <v>Chandra Prakash Kurmi ,   Lecturer (L-13)                         PAN-  AAAAAXXXXA</v>
      </c>
      <c r="B2" s="321"/>
      <c r="C2" s="321"/>
      <c r="D2" s="321"/>
      <c r="E2" s="321"/>
      <c r="F2" s="322"/>
      <c r="G2" s="53"/>
      <c r="H2" s="80"/>
      <c r="I2" s="47"/>
      <c r="J2" s="47"/>
      <c r="K2" s="214" t="s">
        <v>316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65000</v>
      </c>
      <c r="V2" s="130">
        <f>GA55A!H8</f>
        <v>20150</v>
      </c>
      <c r="W2" s="130">
        <f>GA55A!I8</f>
        <v>5850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76</v>
      </c>
      <c r="B3" s="85">
        <v>0</v>
      </c>
      <c r="C3" s="44"/>
      <c r="D3" s="43" t="s">
        <v>112</v>
      </c>
      <c r="E3" s="89">
        <v>50000</v>
      </c>
      <c r="F3" s="177" t="s">
        <v>210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65000</v>
      </c>
      <c r="V3" s="130">
        <f>GA55A!H9</f>
        <v>22100</v>
      </c>
      <c r="W3" s="130">
        <f>GA55A!I9</f>
        <v>5850</v>
      </c>
      <c r="X3" s="47"/>
      <c r="Y3" s="47"/>
      <c r="Z3" s="47"/>
      <c r="AA3" s="47"/>
      <c r="AB3" s="47"/>
      <c r="AC3" s="47"/>
      <c r="DS3" s="2" t="s">
        <v>15</v>
      </c>
    </row>
    <row r="4" spans="1:123" s="1" customFormat="1" ht="16.5" x14ac:dyDescent="0.25">
      <c r="A4" s="56" t="s">
        <v>77</v>
      </c>
      <c r="B4" s="86">
        <v>0</v>
      </c>
      <c r="C4" s="44"/>
      <c r="D4" s="32" t="s">
        <v>111</v>
      </c>
      <c r="E4" s="88">
        <v>0</v>
      </c>
      <c r="F4" s="120">
        <f>'Tax (Old Regime)'!P4</f>
        <v>1216624</v>
      </c>
      <c r="G4" s="53"/>
      <c r="H4" s="80"/>
      <c r="I4" s="47"/>
      <c r="J4" s="47"/>
      <c r="K4" s="133">
        <f>SUM('Tax (Old Regime)'!H21:I30)</f>
        <v>145784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65000</v>
      </c>
      <c r="V4" s="130">
        <f>GA55A!H10</f>
        <v>22100</v>
      </c>
      <c r="W4" s="130">
        <f>GA55A!I10</f>
        <v>5850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78</v>
      </c>
      <c r="B5" s="85">
        <v>0</v>
      </c>
      <c r="C5" s="44"/>
      <c r="D5" s="45" t="s">
        <v>110</v>
      </c>
      <c r="E5" s="89">
        <v>0</v>
      </c>
      <c r="F5" s="119" t="s">
        <v>209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65000</v>
      </c>
      <c r="V5" s="130">
        <f>GA55A!H11</f>
        <v>22100</v>
      </c>
      <c r="W5" s="130">
        <f>GA55A!I11</f>
        <v>5850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79</v>
      </c>
      <c r="B6" s="86">
        <v>0</v>
      </c>
      <c r="C6" s="44"/>
      <c r="D6" s="32" t="s">
        <v>125</v>
      </c>
      <c r="E6" s="88">
        <v>0</v>
      </c>
      <c r="F6" s="121" t="s">
        <v>144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67000</v>
      </c>
      <c r="V6" s="130">
        <f>GA55A!H12</f>
        <v>22780</v>
      </c>
      <c r="W6" s="130">
        <f>GA55A!I12</f>
        <v>6030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80</v>
      </c>
      <c r="B7" s="85">
        <v>0</v>
      </c>
      <c r="C7" s="44"/>
      <c r="D7" s="46" t="s">
        <v>113</v>
      </c>
      <c r="E7" s="89">
        <v>0</v>
      </c>
      <c r="F7" s="120">
        <f>'Tax (Old Regime)'!P61</f>
        <v>123502</v>
      </c>
      <c r="G7" s="117" t="s">
        <v>206</v>
      </c>
      <c r="H7" s="217">
        <f>IF(K7-150001&lt;0,0,IF(K7-150000&lt;50000,K7-150000,50000))</f>
        <v>0</v>
      </c>
      <c r="I7" s="47"/>
      <c r="J7" s="47"/>
      <c r="K7" s="215">
        <f>SUM(K4:K6)</f>
        <v>145784</v>
      </c>
      <c r="L7" s="47"/>
      <c r="M7" s="53"/>
      <c r="N7" s="54"/>
      <c r="O7" s="90"/>
      <c r="P7" s="91" t="s">
        <v>176</v>
      </c>
      <c r="Q7" s="91" t="s">
        <v>177</v>
      </c>
      <c r="R7" s="91" t="s">
        <v>52</v>
      </c>
      <c r="S7" s="54"/>
      <c r="T7" s="131">
        <v>8</v>
      </c>
      <c r="U7" s="130">
        <f>GA55A!D13</f>
        <v>67000</v>
      </c>
      <c r="V7" s="130">
        <f>GA55A!H13</f>
        <v>22780</v>
      </c>
      <c r="W7" s="130">
        <f>GA55A!I13</f>
        <v>6030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167</v>
      </c>
      <c r="B8" s="87">
        <v>0</v>
      </c>
      <c r="C8" s="44"/>
      <c r="D8" s="33" t="s">
        <v>114</v>
      </c>
      <c r="E8" s="88">
        <v>0</v>
      </c>
      <c r="F8" s="121" t="s">
        <v>180</v>
      </c>
      <c r="G8" s="117" t="s">
        <v>207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65000</v>
      </c>
      <c r="Q8" s="93">
        <f>GA55A!H8</f>
        <v>20150</v>
      </c>
      <c r="R8" s="93">
        <f>SUM(P8:Q8)</f>
        <v>85150</v>
      </c>
      <c r="S8" s="54"/>
      <c r="T8" s="131">
        <v>9</v>
      </c>
      <c r="U8" s="130">
        <f>GA55A!D14</f>
        <v>67000</v>
      </c>
      <c r="V8" s="130">
        <f>GA55A!H14</f>
        <v>22780</v>
      </c>
      <c r="W8" s="130">
        <f>GA55A!I14</f>
        <v>6030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168</v>
      </c>
      <c r="B9" s="85">
        <v>0</v>
      </c>
      <c r="C9" s="44"/>
      <c r="D9" s="230" t="s">
        <v>346</v>
      </c>
      <c r="E9" s="89">
        <v>0</v>
      </c>
      <c r="F9" s="120">
        <f>'Tax (New Regime)'!P53</f>
        <v>123057</v>
      </c>
      <c r="G9" s="117" t="s">
        <v>208</v>
      </c>
      <c r="H9" s="47"/>
      <c r="I9" s="81">
        <f>IF(J9&gt;K9,K9,J9)</f>
        <v>61784</v>
      </c>
      <c r="J9" s="82">
        <f>IF(Master!B11="No",0,ROUND(10%*GA55A!N28,0))</f>
        <v>121662</v>
      </c>
      <c r="K9" s="82">
        <f>IF(Master!B11="No",0,GA55A!O28)</f>
        <v>61784</v>
      </c>
      <c r="L9" s="47"/>
      <c r="M9" s="53"/>
      <c r="N9" s="54"/>
      <c r="O9" s="92">
        <v>2</v>
      </c>
      <c r="P9" s="93">
        <f>GA55A!D9</f>
        <v>65000</v>
      </c>
      <c r="Q9" s="93">
        <f>GA55A!H9</f>
        <v>22100</v>
      </c>
      <c r="R9" s="93">
        <f t="shared" ref="R9:R19" si="0">SUM(P9:Q9)</f>
        <v>87100</v>
      </c>
      <c r="S9" s="54"/>
      <c r="T9" s="131">
        <v>10</v>
      </c>
      <c r="U9" s="130">
        <f>GA55A!D15</f>
        <v>67000</v>
      </c>
      <c r="V9" s="130">
        <f>GA55A!H15</f>
        <v>25460</v>
      </c>
      <c r="W9" s="130">
        <f>GA55A!I15</f>
        <v>6030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81</v>
      </c>
      <c r="B10" s="87">
        <v>0</v>
      </c>
      <c r="C10" s="44"/>
      <c r="D10" s="33" t="s">
        <v>115</v>
      </c>
      <c r="E10" s="88">
        <v>0</v>
      </c>
      <c r="F10" s="122" t="s">
        <v>57</v>
      </c>
      <c r="G10" s="116"/>
      <c r="H10" s="216">
        <f>IF(Master!B11="NO",50000,H7)</f>
        <v>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65000</v>
      </c>
      <c r="Q10" s="93">
        <f>GA55A!H10</f>
        <v>22100</v>
      </c>
      <c r="R10" s="93">
        <f t="shared" si="0"/>
        <v>87100</v>
      </c>
      <c r="S10" s="54"/>
      <c r="T10" s="131">
        <v>11</v>
      </c>
      <c r="U10" s="130">
        <f>GA55A!D16</f>
        <v>67000</v>
      </c>
      <c r="V10" s="130">
        <f>GA55A!H16</f>
        <v>25460</v>
      </c>
      <c r="W10" s="130">
        <f>GA55A!I16</f>
        <v>6030</v>
      </c>
      <c r="X10" s="47"/>
      <c r="Y10" s="47"/>
      <c r="Z10" s="47"/>
      <c r="AA10" s="47"/>
      <c r="AB10" s="47"/>
      <c r="AC10" s="47"/>
      <c r="DS10" s="2" t="s">
        <v>16</v>
      </c>
    </row>
    <row r="11" spans="1:123" s="1" customFormat="1" ht="15" customHeight="1" x14ac:dyDescent="0.25">
      <c r="A11" s="55" t="s">
        <v>82</v>
      </c>
      <c r="B11" s="85">
        <v>0</v>
      </c>
      <c r="C11" s="44"/>
      <c r="D11" s="43" t="s">
        <v>120</v>
      </c>
      <c r="E11" s="89">
        <v>0</v>
      </c>
      <c r="F11" s="120">
        <f>GA55A!V28</f>
        <v>120000</v>
      </c>
      <c r="G11" s="53"/>
      <c r="H11" s="79"/>
      <c r="I11" s="81">
        <f>IF(Master!B15="No",25000,50000)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65000</v>
      </c>
      <c r="Q11" s="93">
        <f>GA55A!H11</f>
        <v>22100</v>
      </c>
      <c r="R11" s="93">
        <f t="shared" si="0"/>
        <v>87100</v>
      </c>
      <c r="S11" s="54"/>
      <c r="T11" s="131">
        <v>12</v>
      </c>
      <c r="U11" s="130">
        <f>GA55A!D17</f>
        <v>67000</v>
      </c>
      <c r="V11" s="130">
        <f>GA55A!H17</f>
        <v>25460</v>
      </c>
      <c r="W11" s="130">
        <f>GA55A!I17</f>
        <v>6030</v>
      </c>
      <c r="X11" s="47"/>
      <c r="Y11" s="47"/>
      <c r="Z11" s="47"/>
      <c r="AA11" s="47"/>
      <c r="AB11" s="47"/>
      <c r="AC11" s="47"/>
      <c r="DS11" s="2" t="s">
        <v>18</v>
      </c>
    </row>
    <row r="12" spans="1:123" s="1" customFormat="1" ht="15" customHeight="1" x14ac:dyDescent="0.25">
      <c r="A12" s="58" t="s">
        <v>83</v>
      </c>
      <c r="B12" s="87">
        <v>0</v>
      </c>
      <c r="C12" s="44"/>
      <c r="D12" s="33" t="s">
        <v>116</v>
      </c>
      <c r="E12" s="88">
        <v>0</v>
      </c>
      <c r="F12" s="330" t="s">
        <v>175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67000</v>
      </c>
      <c r="Q12" s="93">
        <f>GA55A!H12</f>
        <v>22780</v>
      </c>
      <c r="R12" s="93">
        <f t="shared" si="0"/>
        <v>89780</v>
      </c>
      <c r="S12" s="54"/>
      <c r="T12" s="131">
        <v>1</v>
      </c>
      <c r="U12" s="130">
        <f>GA55A!D18</f>
        <v>67000</v>
      </c>
      <c r="V12" s="130">
        <f>GA55A!H18</f>
        <v>25460</v>
      </c>
      <c r="W12" s="130">
        <f>GA55A!I18</f>
        <v>6030</v>
      </c>
      <c r="X12" s="47"/>
      <c r="Y12" s="47"/>
      <c r="Z12" s="47"/>
      <c r="AA12" s="47"/>
      <c r="AB12" s="47"/>
      <c r="AC12" s="47"/>
      <c r="DS12" s="2" t="s">
        <v>4</v>
      </c>
    </row>
    <row r="13" spans="1:123" s="1" customFormat="1" ht="15" customHeight="1" x14ac:dyDescent="0.25">
      <c r="A13" s="55" t="s">
        <v>84</v>
      </c>
      <c r="B13" s="85">
        <v>0</v>
      </c>
      <c r="C13" s="44"/>
      <c r="D13" s="43" t="s">
        <v>117</v>
      </c>
      <c r="E13" s="89">
        <v>0</v>
      </c>
      <c r="F13" s="331"/>
      <c r="G13" s="53"/>
      <c r="H13" s="79"/>
      <c r="I13" s="81">
        <f>IF(Master!B15="No",40000,100000)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67000</v>
      </c>
      <c r="Q13" s="93">
        <f>GA55A!H13</f>
        <v>22780</v>
      </c>
      <c r="R13" s="93">
        <f t="shared" si="0"/>
        <v>89780</v>
      </c>
      <c r="S13" s="54"/>
      <c r="T13" s="131">
        <v>2</v>
      </c>
      <c r="U13" s="130">
        <f>GA55A!D19</f>
        <v>67000</v>
      </c>
      <c r="V13" s="130">
        <f>GA55A!H19</f>
        <v>25460</v>
      </c>
      <c r="W13" s="130">
        <f>GA55A!I19</f>
        <v>6030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85</v>
      </c>
      <c r="B14" s="87">
        <v>0</v>
      </c>
      <c r="C14" s="44"/>
      <c r="D14" s="33" t="s">
        <v>119</v>
      </c>
      <c r="E14" s="88">
        <v>0</v>
      </c>
      <c r="F14" s="331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67000</v>
      </c>
      <c r="Q14" s="93">
        <f>GA55A!H14</f>
        <v>22780</v>
      </c>
      <c r="R14" s="93">
        <f t="shared" si="0"/>
        <v>89780</v>
      </c>
      <c r="S14" s="54"/>
      <c r="T14" s="131"/>
      <c r="U14" s="133">
        <f>SUM(U2:U13)</f>
        <v>796000</v>
      </c>
      <c r="V14" s="133">
        <f t="shared" ref="V14:W14" si="1">SUM(V2:V13)</f>
        <v>282090</v>
      </c>
      <c r="W14" s="133">
        <f t="shared" si="1"/>
        <v>71640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86</v>
      </c>
      <c r="B15" s="85">
        <v>0</v>
      </c>
      <c r="C15" s="44"/>
      <c r="D15" s="43" t="s">
        <v>118</v>
      </c>
      <c r="E15" s="89">
        <f>GA55A!X28</f>
        <v>0</v>
      </c>
      <c r="F15" s="123">
        <f>'Tax (Old Regime)'!P31</f>
        <v>145784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67000</v>
      </c>
      <c r="Q15" s="93">
        <f>GA55A!H15</f>
        <v>25460</v>
      </c>
      <c r="R15" s="93">
        <f t="shared" si="0"/>
        <v>92460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18</v>
      </c>
    </row>
    <row r="16" spans="1:123" s="1" customFormat="1" ht="15" customHeight="1" x14ac:dyDescent="0.25">
      <c r="A16" s="58" t="s">
        <v>87</v>
      </c>
      <c r="B16" s="87">
        <v>0</v>
      </c>
      <c r="C16" s="44"/>
      <c r="D16" s="33" t="s">
        <v>121</v>
      </c>
      <c r="E16" s="88">
        <v>0</v>
      </c>
      <c r="F16" s="328" t="s">
        <v>8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67000</v>
      </c>
      <c r="Q16" s="93">
        <f>GA55A!H16</f>
        <v>25460</v>
      </c>
      <c r="R16" s="93">
        <f t="shared" si="0"/>
        <v>92460</v>
      </c>
      <c r="S16" s="54"/>
      <c r="T16" s="126" t="s">
        <v>206</v>
      </c>
      <c r="U16" s="134">
        <f>U14+V14</f>
        <v>1078090</v>
      </c>
      <c r="V16" s="47"/>
      <c r="W16" s="47"/>
      <c r="X16" s="47"/>
      <c r="Y16" s="47"/>
      <c r="Z16" s="47"/>
      <c r="AA16" s="47"/>
      <c r="AB16" s="47"/>
      <c r="AC16" s="47"/>
      <c r="DS16" s="2" t="s">
        <v>19</v>
      </c>
    </row>
    <row r="17" spans="1:123" s="1" customFormat="1" ht="15" customHeight="1" x14ac:dyDescent="0.25">
      <c r="A17" s="55" t="s">
        <v>124</v>
      </c>
      <c r="B17" s="85">
        <v>0</v>
      </c>
      <c r="C17" s="44"/>
      <c r="D17" s="43" t="s">
        <v>332</v>
      </c>
      <c r="E17" s="89">
        <v>0</v>
      </c>
      <c r="F17" s="329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67000</v>
      </c>
      <c r="Q17" s="93">
        <f>GA55A!H17</f>
        <v>25460</v>
      </c>
      <c r="R17" s="93">
        <f t="shared" si="0"/>
        <v>92460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5</v>
      </c>
    </row>
    <row r="18" spans="1:123" s="1" customFormat="1" ht="15" customHeight="1" x14ac:dyDescent="0.25">
      <c r="A18" s="58" t="s">
        <v>102</v>
      </c>
      <c r="B18" s="87">
        <v>0</v>
      </c>
      <c r="C18" s="44"/>
      <c r="D18" s="33" t="s">
        <v>122</v>
      </c>
      <c r="E18" s="88">
        <v>0</v>
      </c>
      <c r="F18" s="329"/>
      <c r="G18" s="53"/>
      <c r="H18" s="79"/>
      <c r="I18" s="81">
        <f>R21</f>
        <v>107809</v>
      </c>
      <c r="J18" s="81"/>
      <c r="K18" s="81"/>
      <c r="L18" s="47"/>
      <c r="M18" s="53"/>
      <c r="N18" s="54"/>
      <c r="O18" s="92">
        <v>11</v>
      </c>
      <c r="P18" s="93">
        <f>GA55A!D18</f>
        <v>67000</v>
      </c>
      <c r="Q18" s="93">
        <f>GA55A!H18</f>
        <v>25460</v>
      </c>
      <c r="R18" s="93">
        <f t="shared" si="0"/>
        <v>92460</v>
      </c>
      <c r="S18" s="54"/>
      <c r="T18" s="126">
        <v>0.1</v>
      </c>
      <c r="U18" s="134">
        <f>ROUND(U16*10%,0)</f>
        <v>107809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107</v>
      </c>
      <c r="B19" s="85">
        <v>0</v>
      </c>
      <c r="C19" s="44"/>
      <c r="D19" s="43" t="s">
        <v>123</v>
      </c>
      <c r="E19" s="89">
        <v>0</v>
      </c>
      <c r="F19" s="327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67000</v>
      </c>
      <c r="Q19" s="93">
        <f>GA55A!H19</f>
        <v>25460</v>
      </c>
      <c r="R19" s="93">
        <f t="shared" si="0"/>
        <v>92460</v>
      </c>
      <c r="S19" s="54"/>
      <c r="T19" s="126">
        <v>0.4</v>
      </c>
      <c r="U19" s="134">
        <f>ROUND(U16*40%,0)</f>
        <v>431236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108</v>
      </c>
      <c r="B20" s="87">
        <v>0</v>
      </c>
      <c r="C20" s="44"/>
      <c r="D20" s="33" t="s">
        <v>126</v>
      </c>
      <c r="E20" s="88">
        <v>0</v>
      </c>
      <c r="F20" s="327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1078090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20</v>
      </c>
    </row>
    <row r="21" spans="1:123" s="1" customFormat="1" ht="19.5" customHeight="1" x14ac:dyDescent="0.25">
      <c r="A21" s="325" t="str">
        <f>'Tax (Old Regime)'!B64</f>
        <v>Income Tax Payable (Old Tax Regime)</v>
      </c>
      <c r="B21" s="326"/>
      <c r="C21" s="168"/>
      <c r="D21" s="169">
        <f>'Tax (Old Regime)'!P64</f>
        <v>3502</v>
      </c>
      <c r="E21" s="170"/>
      <c r="F21" s="171"/>
      <c r="G21" s="53"/>
      <c r="H21" s="47"/>
      <c r="I21" s="83">
        <f>GA55A!I28</f>
        <v>71640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107809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7</v>
      </c>
    </row>
    <row r="22" spans="1:123" s="1" customFormat="1" ht="19.5" customHeight="1" x14ac:dyDescent="0.25">
      <c r="A22" s="323" t="str">
        <f>"Total Rebate of (US 80C, 80CCC,80CCD(1)) =  "&amp;'Tax (Old Regime)'!N30</f>
        <v>Total Rebate of (US 80C, 80CCC,80CCD(1)) =  145784</v>
      </c>
      <c r="B22" s="324"/>
      <c r="C22" s="172"/>
      <c r="D22" s="173" t="str">
        <f>"Investable Amount = "&amp;(150000-'Tax (Old Regime)'!P31)</f>
        <v>Investable Amount = 4216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17</v>
      </c>
    </row>
    <row r="23" spans="1:123" s="1" customFormat="1" ht="48" hidden="1" customHeight="1" x14ac:dyDescent="0.25">
      <c r="A23" s="315" t="s">
        <v>74</v>
      </c>
      <c r="B23" s="316"/>
      <c r="C23" s="316"/>
      <c r="D23" s="316"/>
      <c r="E23" s="316"/>
      <c r="F23" s="316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12" t="s">
        <v>214</v>
      </c>
      <c r="B24" s="313"/>
      <c r="C24" s="313"/>
      <c r="D24" s="314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32" t="s">
        <v>217</v>
      </c>
      <c r="B25" s="332"/>
      <c r="D25" s="176">
        <f>U14</f>
        <v>796000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71640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32" t="s">
        <v>216</v>
      </c>
      <c r="B26" s="332"/>
      <c r="D26" s="166">
        <f>V14</f>
        <v>282090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431236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32" t="s">
        <v>215</v>
      </c>
      <c r="B27" s="332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34"/>
      <c r="B28" s="335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33" t="s">
        <v>219</v>
      </c>
      <c r="B29" s="333"/>
      <c r="C29" s="1"/>
      <c r="D29" s="164">
        <f>U19</f>
        <v>431236</v>
      </c>
      <c r="E29" s="160"/>
      <c r="F29" s="161"/>
      <c r="G29" s="53"/>
      <c r="H29" s="125"/>
    </row>
    <row r="30" spans="1:123" ht="17.25" customHeight="1" x14ac:dyDescent="0.3">
      <c r="A30" s="333" t="s">
        <v>218</v>
      </c>
      <c r="B30" s="333"/>
      <c r="C30" s="1"/>
      <c r="D30" s="164">
        <f>W14+GA55A!I20</f>
        <v>71640</v>
      </c>
      <c r="E30" s="160"/>
      <c r="F30" s="161"/>
      <c r="G30" s="53"/>
      <c r="H30" s="125"/>
    </row>
    <row r="31" spans="1:123" ht="17.25" customHeight="1" x14ac:dyDescent="0.3">
      <c r="A31" s="333" t="s">
        <v>220</v>
      </c>
      <c r="B31" s="333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34"/>
      <c r="B32" s="335"/>
      <c r="C32" s="1"/>
      <c r="D32" s="158"/>
      <c r="E32" s="160"/>
      <c r="F32" s="161"/>
      <c r="G32" s="53"/>
      <c r="H32" s="125"/>
    </row>
    <row r="33" spans="1:8" ht="18.75" customHeight="1" x14ac:dyDescent="0.3">
      <c r="A33" s="336" t="s">
        <v>212</v>
      </c>
      <c r="B33" s="336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36" t="s">
        <v>213</v>
      </c>
      <c r="B34" s="336"/>
      <c r="C34" s="138"/>
      <c r="D34" s="167">
        <f>D30-D33</f>
        <v>71640</v>
      </c>
      <c r="E34" s="160"/>
      <c r="F34" s="161"/>
      <c r="G34" s="53"/>
      <c r="H34" s="125"/>
    </row>
    <row r="35" spans="1:8" ht="50.25" customHeight="1" x14ac:dyDescent="0.25">
      <c r="A35" s="337" t="s">
        <v>309</v>
      </c>
      <c r="B35" s="338"/>
      <c r="C35" s="338"/>
      <c r="D35" s="339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grtB83NSsvkK/1Uli0t+SZDKdNRJpSbYiitrh0dnSb0hxLApXU/JoKoFiHtKMTPDHq0B1JdEcmG6KMwgew0tUw==" saltValue="a16pB1yqGxmyX8Avh7+yd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7" sqref="P7:Q9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8" t="str">
        <f>GA55A!C2</f>
        <v>Office of the Principal, Govt. Sr. Secondary School Todaraisingh (Tonk)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4" t="s">
        <v>144</v>
      </c>
      <c r="P1" s="414"/>
      <c r="Q1" s="415"/>
    </row>
    <row r="2" spans="2:17" s="11" customFormat="1" ht="24" thickBot="1" x14ac:dyDescent="0.25">
      <c r="B2" s="412" t="s">
        <v>334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6"/>
      <c r="P2" s="416"/>
      <c r="Q2" s="417"/>
    </row>
    <row r="3" spans="2:17" s="11" customFormat="1" ht="15.6" customHeight="1" x14ac:dyDescent="0.2">
      <c r="B3" s="154">
        <v>1</v>
      </c>
      <c r="C3" s="420" t="s">
        <v>10</v>
      </c>
      <c r="D3" s="421"/>
      <c r="E3" s="397" t="str">
        <f>GA55A!D5</f>
        <v>Chandra Prakash Kurmi</v>
      </c>
      <c r="F3" s="397"/>
      <c r="G3" s="397"/>
      <c r="H3" s="397"/>
      <c r="I3" s="397"/>
      <c r="J3" s="397"/>
      <c r="K3" s="145" t="s">
        <v>26</v>
      </c>
      <c r="L3" s="398" t="str">
        <f>GA55A!D6</f>
        <v>Lecturer (L-13)</v>
      </c>
      <c r="M3" s="398"/>
      <c r="N3" s="398"/>
      <c r="O3" s="146" t="s">
        <v>24</v>
      </c>
      <c r="P3" s="422" t="str">
        <f>IF(GA55A!M5="","",GA55A!M5)</f>
        <v>AAAAAXXXXA</v>
      </c>
      <c r="Q3" s="423"/>
    </row>
    <row r="4" spans="2:17" s="11" customFormat="1" ht="15.6" customHeight="1" x14ac:dyDescent="0.2">
      <c r="B4" s="155">
        <v>2</v>
      </c>
      <c r="C4" s="424" t="s">
        <v>335</v>
      </c>
      <c r="D4" s="424"/>
      <c r="E4" s="356"/>
      <c r="F4" s="356"/>
      <c r="G4" s="356"/>
      <c r="H4" s="356"/>
      <c r="I4" s="356"/>
      <c r="J4" s="356"/>
      <c r="K4" s="424"/>
      <c r="L4" s="356"/>
      <c r="M4" s="356"/>
      <c r="N4" s="356"/>
      <c r="O4" s="424"/>
      <c r="P4" s="402">
        <f>GA55A!N28</f>
        <v>1216624</v>
      </c>
      <c r="Q4" s="403"/>
    </row>
    <row r="5" spans="2:17" s="11" customFormat="1" ht="15.6" customHeight="1" x14ac:dyDescent="0.2">
      <c r="B5" s="155">
        <v>3</v>
      </c>
      <c r="C5" s="356" t="s">
        <v>273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404">
        <f>'Other Deduction'!B3+'Other Deduction'!E20</f>
        <v>0</v>
      </c>
      <c r="Q5" s="405"/>
    </row>
    <row r="6" spans="2:17" s="11" customFormat="1" ht="15.6" customHeight="1" x14ac:dyDescent="0.2">
      <c r="B6" s="155">
        <v>4</v>
      </c>
      <c r="C6" s="371" t="s">
        <v>269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404">
        <f>P4-P5</f>
        <v>1216624</v>
      </c>
      <c r="Q6" s="405"/>
    </row>
    <row r="7" spans="2:17" s="11" customFormat="1" ht="15.6" customHeight="1" x14ac:dyDescent="0.2">
      <c r="B7" s="358">
        <v>5</v>
      </c>
      <c r="C7" s="365" t="s">
        <v>230</v>
      </c>
      <c r="D7" s="366"/>
      <c r="E7" s="366"/>
      <c r="F7" s="366"/>
      <c r="G7" s="366"/>
      <c r="H7" s="366"/>
      <c r="I7" s="366"/>
      <c r="J7" s="366"/>
      <c r="K7" s="366"/>
      <c r="L7" s="366"/>
      <c r="M7" s="355">
        <f>IF('Other Deduction'!E3=0,0,(IF(AND(P6&gt;50000,'Other Deduction'!E3=50000),50000,P6)))</f>
        <v>50000</v>
      </c>
      <c r="N7" s="355"/>
      <c r="O7" s="355"/>
      <c r="P7" s="406"/>
      <c r="Q7" s="407"/>
    </row>
    <row r="8" spans="2:17" s="11" customFormat="1" ht="15.6" customHeight="1" x14ac:dyDescent="0.2">
      <c r="B8" s="359"/>
      <c r="C8" s="365" t="s">
        <v>274</v>
      </c>
      <c r="D8" s="366"/>
      <c r="E8" s="366"/>
      <c r="F8" s="366"/>
      <c r="G8" s="366"/>
      <c r="H8" s="366"/>
      <c r="I8" s="366"/>
      <c r="J8" s="366"/>
      <c r="K8" s="366"/>
      <c r="L8" s="366"/>
      <c r="M8" s="355">
        <f>'Other Deduction'!B4</f>
        <v>0</v>
      </c>
      <c r="N8" s="355"/>
      <c r="O8" s="355"/>
      <c r="P8" s="408"/>
      <c r="Q8" s="409"/>
    </row>
    <row r="9" spans="2:17" s="11" customFormat="1" ht="15.6" customHeight="1" x14ac:dyDescent="0.2">
      <c r="B9" s="359"/>
      <c r="C9" s="365" t="s">
        <v>275</v>
      </c>
      <c r="D9" s="366"/>
      <c r="E9" s="366"/>
      <c r="F9" s="366"/>
      <c r="G9" s="366"/>
      <c r="H9" s="366"/>
      <c r="I9" s="366"/>
      <c r="J9" s="366"/>
      <c r="K9" s="366"/>
      <c r="L9" s="366"/>
      <c r="M9" s="355">
        <f>'Other Deduction'!B5</f>
        <v>0</v>
      </c>
      <c r="N9" s="355"/>
      <c r="O9" s="355"/>
      <c r="P9" s="410"/>
      <c r="Q9" s="411"/>
    </row>
    <row r="10" spans="2:17" s="11" customFormat="1" ht="15.6" customHeight="1" x14ac:dyDescent="0.2">
      <c r="B10" s="360"/>
      <c r="C10" s="380" t="s">
        <v>235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2"/>
      <c r="P10" s="404">
        <f>SUM(M7:O9)</f>
        <v>50000</v>
      </c>
      <c r="Q10" s="405"/>
    </row>
    <row r="11" spans="2:17" s="11" customFormat="1" ht="15.6" customHeight="1" x14ac:dyDescent="0.2">
      <c r="B11" s="155">
        <v>6</v>
      </c>
      <c r="C11" s="380" t="s">
        <v>236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  <c r="P11" s="402">
        <f>P6-P10</f>
        <v>1166624</v>
      </c>
      <c r="Q11" s="403"/>
    </row>
    <row r="12" spans="2:17" s="11" customFormat="1" ht="15.6" customHeight="1" x14ac:dyDescent="0.2">
      <c r="B12" s="341">
        <v>7</v>
      </c>
      <c r="C12" s="342" t="s">
        <v>260</v>
      </c>
      <c r="D12" s="342"/>
      <c r="E12" s="342"/>
      <c r="F12" s="342"/>
      <c r="G12" s="342"/>
      <c r="H12" s="342"/>
      <c r="I12" s="342"/>
      <c r="J12" s="342"/>
      <c r="K12" s="343" t="s">
        <v>28</v>
      </c>
      <c r="L12" s="343"/>
      <c r="M12" s="355">
        <f>'Other Deduction'!B6</f>
        <v>0</v>
      </c>
      <c r="N12" s="355"/>
      <c r="O12" s="355"/>
      <c r="P12" s="399"/>
      <c r="Q12" s="400"/>
    </row>
    <row r="13" spans="2:17" s="11" customFormat="1" ht="15.6" customHeight="1" x14ac:dyDescent="0.2">
      <c r="B13" s="341"/>
      <c r="C13" s="350" t="s">
        <v>29</v>
      </c>
      <c r="D13" s="351"/>
      <c r="E13" s="347" t="s">
        <v>229</v>
      </c>
      <c r="F13" s="348"/>
      <c r="G13" s="349"/>
      <c r="H13" s="401" t="s">
        <v>11</v>
      </c>
      <c r="I13" s="401"/>
      <c r="J13" s="401"/>
      <c r="K13" s="343" t="s">
        <v>30</v>
      </c>
      <c r="L13" s="343"/>
      <c r="M13" s="343" t="s">
        <v>55</v>
      </c>
      <c r="N13" s="343"/>
      <c r="O13" s="343"/>
      <c r="P13" s="399"/>
      <c r="Q13" s="400"/>
    </row>
    <row r="14" spans="2:17" s="11" customFormat="1" ht="15.6" customHeight="1" x14ac:dyDescent="0.2">
      <c r="B14" s="341"/>
      <c r="C14" s="352"/>
      <c r="D14" s="353"/>
      <c r="E14" s="344">
        <f>ROUND(M12*0.3,0)</f>
        <v>0</v>
      </c>
      <c r="F14" s="345"/>
      <c r="G14" s="346"/>
      <c r="H14" s="355">
        <f>IF('Other Deduction'!B9&gt;200000,200000,'Other Deduction'!B9)</f>
        <v>0</v>
      </c>
      <c r="I14" s="355"/>
      <c r="J14" s="355"/>
      <c r="K14" s="355">
        <f>'Other Deduction'!B7</f>
        <v>0</v>
      </c>
      <c r="L14" s="355"/>
      <c r="M14" s="355">
        <f>E14+H14+K14</f>
        <v>0</v>
      </c>
      <c r="N14" s="355"/>
      <c r="O14" s="355"/>
      <c r="P14" s="399"/>
      <c r="Q14" s="400"/>
    </row>
    <row r="15" spans="2:17" s="11" customFormat="1" ht="15.6" customHeight="1" x14ac:dyDescent="0.2">
      <c r="B15" s="155"/>
      <c r="C15" s="380" t="s">
        <v>272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  <c r="P15" s="404">
        <f>M12-M14</f>
        <v>0</v>
      </c>
      <c r="Q15" s="405"/>
    </row>
    <row r="16" spans="2:17" s="11" customFormat="1" ht="15.6" customHeight="1" x14ac:dyDescent="0.2">
      <c r="B16" s="155">
        <v>8</v>
      </c>
      <c r="C16" s="380" t="s">
        <v>270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/>
      <c r="P16" s="404">
        <f>P11+P15</f>
        <v>1166624</v>
      </c>
      <c r="Q16" s="405"/>
    </row>
    <row r="17" spans="2:17" s="11" customFormat="1" ht="15.6" customHeight="1" x14ac:dyDescent="0.2">
      <c r="B17" s="155">
        <v>9</v>
      </c>
      <c r="C17" s="383" t="s">
        <v>23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404">
        <f>'Other Deduction'!J6</f>
        <v>0</v>
      </c>
      <c r="Q17" s="405"/>
    </row>
    <row r="18" spans="2:17" s="11" customFormat="1" ht="15.6" customHeight="1" x14ac:dyDescent="0.2">
      <c r="B18" s="155">
        <v>10</v>
      </c>
      <c r="C18" s="384" t="s">
        <v>271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402">
        <f>P16+P17</f>
        <v>1166624</v>
      </c>
      <c r="Q18" s="403"/>
    </row>
    <row r="19" spans="2:17" s="11" customFormat="1" ht="15.6" customHeight="1" x14ac:dyDescent="0.2">
      <c r="B19" s="358">
        <v>11</v>
      </c>
      <c r="C19" s="384" t="s">
        <v>262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5"/>
    </row>
    <row r="20" spans="2:17" s="11" customFormat="1" ht="15.6" customHeight="1" x14ac:dyDescent="0.2">
      <c r="B20" s="359"/>
      <c r="C20" s="386" t="s">
        <v>276</v>
      </c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/>
    </row>
    <row r="21" spans="2:17" s="11" customFormat="1" ht="15.6" customHeight="1" x14ac:dyDescent="0.2">
      <c r="B21" s="359"/>
      <c r="C21" s="156" t="s">
        <v>31</v>
      </c>
      <c r="D21" s="356" t="s">
        <v>277</v>
      </c>
      <c r="E21" s="356"/>
      <c r="F21" s="356"/>
      <c r="G21" s="356"/>
      <c r="H21" s="395">
        <f>GA55A!Q28</f>
        <v>84000</v>
      </c>
      <c r="I21" s="396"/>
      <c r="J21" s="378" t="s">
        <v>34</v>
      </c>
      <c r="K21" s="372" t="s">
        <v>278</v>
      </c>
      <c r="L21" s="373"/>
      <c r="M21" s="374"/>
      <c r="N21" s="479">
        <v>0</v>
      </c>
      <c r="O21" s="480"/>
      <c r="P21" s="388"/>
      <c r="Q21" s="389"/>
    </row>
    <row r="22" spans="2:17" s="11" customFormat="1" ht="15.6" customHeight="1" x14ac:dyDescent="0.2">
      <c r="B22" s="359"/>
      <c r="C22" s="156" t="s">
        <v>33</v>
      </c>
      <c r="D22" s="365" t="s">
        <v>279</v>
      </c>
      <c r="E22" s="366"/>
      <c r="F22" s="366"/>
      <c r="G22" s="367"/>
      <c r="H22" s="395">
        <f>'Other Deduction'!B10+GA55A!T28</f>
        <v>0</v>
      </c>
      <c r="I22" s="396"/>
      <c r="J22" s="379"/>
      <c r="K22" s="375"/>
      <c r="L22" s="376"/>
      <c r="M22" s="377"/>
      <c r="N22" s="481"/>
      <c r="O22" s="482"/>
      <c r="P22" s="390"/>
      <c r="Q22" s="391"/>
    </row>
    <row r="23" spans="2:17" s="11" customFormat="1" ht="15.6" customHeight="1" x14ac:dyDescent="0.2">
      <c r="B23" s="359"/>
      <c r="C23" s="156" t="s">
        <v>35</v>
      </c>
      <c r="D23" s="365" t="s">
        <v>280</v>
      </c>
      <c r="E23" s="366"/>
      <c r="F23" s="366"/>
      <c r="G23" s="367"/>
      <c r="H23" s="395">
        <f>'Other Deduction'!B14</f>
        <v>0</v>
      </c>
      <c r="I23" s="396"/>
      <c r="J23" s="156" t="s">
        <v>36</v>
      </c>
      <c r="K23" s="364" t="s">
        <v>281</v>
      </c>
      <c r="L23" s="364"/>
      <c r="M23" s="364"/>
      <c r="N23" s="477">
        <f>'Other Deduction'!E8</f>
        <v>0</v>
      </c>
      <c r="O23" s="478"/>
      <c r="P23" s="390"/>
      <c r="Q23" s="391"/>
    </row>
    <row r="24" spans="2:17" s="11" customFormat="1" ht="15.6" customHeight="1" x14ac:dyDescent="0.2">
      <c r="B24" s="359"/>
      <c r="C24" s="156" t="s">
        <v>37</v>
      </c>
      <c r="D24" s="365" t="s">
        <v>282</v>
      </c>
      <c r="E24" s="366"/>
      <c r="F24" s="366"/>
      <c r="G24" s="367"/>
      <c r="H24" s="395">
        <f>'Other Deduction'!B16</f>
        <v>0</v>
      </c>
      <c r="I24" s="396"/>
      <c r="J24" s="156" t="s">
        <v>38</v>
      </c>
      <c r="K24" s="364" t="s">
        <v>14</v>
      </c>
      <c r="L24" s="364"/>
      <c r="M24" s="364"/>
      <c r="N24" s="477">
        <f>'Other Deduction'!B15</f>
        <v>0</v>
      </c>
      <c r="O24" s="478"/>
      <c r="P24" s="390"/>
      <c r="Q24" s="391"/>
    </row>
    <row r="25" spans="2:17" s="11" customFormat="1" ht="15.6" customHeight="1" x14ac:dyDescent="0.2">
      <c r="B25" s="359"/>
      <c r="C25" s="156" t="s">
        <v>39</v>
      </c>
      <c r="D25" s="365" t="s">
        <v>283</v>
      </c>
      <c r="E25" s="366"/>
      <c r="F25" s="366"/>
      <c r="G25" s="367"/>
      <c r="H25" s="395">
        <f>'Other Deduction'!B17</f>
        <v>0</v>
      </c>
      <c r="I25" s="396"/>
      <c r="J25" s="156" t="s">
        <v>40</v>
      </c>
      <c r="K25" s="364" t="s">
        <v>71</v>
      </c>
      <c r="L25" s="364"/>
      <c r="M25" s="364"/>
      <c r="N25" s="477">
        <f>'Other Deduction'!B12</f>
        <v>0</v>
      </c>
      <c r="O25" s="478"/>
      <c r="P25" s="390"/>
      <c r="Q25" s="391"/>
    </row>
    <row r="26" spans="2:17" s="11" customFormat="1" ht="15.6" customHeight="1" x14ac:dyDescent="0.2">
      <c r="B26" s="359"/>
      <c r="C26" s="156" t="s">
        <v>41</v>
      </c>
      <c r="D26" s="392" t="str">
        <f>IF(Master!B11="NO","Gen.Provident Fund (GPF)","Gen.Prov.Fund (GPF 2004)")</f>
        <v>Gen.Prov.Fund (GPF 2004)</v>
      </c>
      <c r="E26" s="393"/>
      <c r="F26" s="393"/>
      <c r="G26" s="394"/>
      <c r="H26" s="395">
        <f>GA55A!O28</f>
        <v>61784</v>
      </c>
      <c r="I26" s="396"/>
      <c r="J26" s="156" t="s">
        <v>42</v>
      </c>
      <c r="K26" s="364" t="s">
        <v>72</v>
      </c>
      <c r="L26" s="364"/>
      <c r="M26" s="364"/>
      <c r="N26" s="477">
        <f>'Other Deduction'!B19</f>
        <v>0</v>
      </c>
      <c r="O26" s="478"/>
      <c r="P26" s="390"/>
      <c r="Q26" s="391"/>
    </row>
    <row r="27" spans="2:17" s="11" customFormat="1" ht="15.6" customHeight="1" x14ac:dyDescent="0.2">
      <c r="B27" s="359"/>
      <c r="C27" s="156" t="s">
        <v>43</v>
      </c>
      <c r="D27" s="365" t="s">
        <v>284</v>
      </c>
      <c r="E27" s="366"/>
      <c r="F27" s="366"/>
      <c r="G27" s="367"/>
      <c r="H27" s="477">
        <f>GA55A!U28</f>
        <v>0</v>
      </c>
      <c r="I27" s="478"/>
      <c r="J27" s="156" t="s">
        <v>44</v>
      </c>
      <c r="K27" s="364" t="s">
        <v>285</v>
      </c>
      <c r="L27" s="364"/>
      <c r="M27" s="364"/>
      <c r="N27" s="477">
        <f>'Other Deduction'!B20</f>
        <v>0</v>
      </c>
      <c r="O27" s="478"/>
      <c r="P27" s="390"/>
      <c r="Q27" s="391"/>
    </row>
    <row r="28" spans="2:17" s="11" customFormat="1" ht="15.6" customHeight="1" x14ac:dyDescent="0.2">
      <c r="B28" s="359"/>
      <c r="C28" s="156" t="s">
        <v>45</v>
      </c>
      <c r="D28" s="365" t="s">
        <v>9</v>
      </c>
      <c r="E28" s="366"/>
      <c r="F28" s="366"/>
      <c r="G28" s="367"/>
      <c r="H28" s="477">
        <f>'Other Deduction'!B13</f>
        <v>0</v>
      </c>
      <c r="I28" s="478"/>
      <c r="J28" s="156" t="s">
        <v>46</v>
      </c>
      <c r="K28" s="357" t="s">
        <v>286</v>
      </c>
      <c r="L28" s="357"/>
      <c r="M28" s="357"/>
      <c r="N28" s="477">
        <f>'Other Deduction'!B11</f>
        <v>0</v>
      </c>
      <c r="O28" s="478"/>
      <c r="P28" s="390"/>
      <c r="Q28" s="391"/>
    </row>
    <row r="29" spans="2:17" s="11" customFormat="1" ht="15.6" customHeight="1" x14ac:dyDescent="0.2">
      <c r="B29" s="359"/>
      <c r="C29" s="156" t="s">
        <v>47</v>
      </c>
      <c r="D29" s="356" t="s">
        <v>287</v>
      </c>
      <c r="E29" s="356"/>
      <c r="F29" s="356"/>
      <c r="G29" s="356"/>
      <c r="H29" s="477">
        <f>'Other Deduction'!B8</f>
        <v>0</v>
      </c>
      <c r="I29" s="478"/>
      <c r="J29" s="156" t="s">
        <v>103</v>
      </c>
      <c r="K29" s="357" t="s">
        <v>109</v>
      </c>
      <c r="L29" s="357"/>
      <c r="M29" s="357"/>
      <c r="N29" s="477">
        <f>'Other Deduction'!E7</f>
        <v>0</v>
      </c>
      <c r="O29" s="478"/>
      <c r="P29" s="390"/>
      <c r="Q29" s="391"/>
    </row>
    <row r="30" spans="2:17" s="11" customFormat="1" ht="15.6" customHeight="1" x14ac:dyDescent="0.2">
      <c r="B30" s="359"/>
      <c r="C30" s="156" t="s">
        <v>32</v>
      </c>
      <c r="D30" s="356" t="s">
        <v>104</v>
      </c>
      <c r="E30" s="356"/>
      <c r="F30" s="356"/>
      <c r="G30" s="356"/>
      <c r="H30" s="477">
        <f>'Other Deduction'!B18</f>
        <v>0</v>
      </c>
      <c r="I30" s="478"/>
      <c r="J30" s="156" t="s">
        <v>106</v>
      </c>
      <c r="K30" s="361" t="s">
        <v>288</v>
      </c>
      <c r="L30" s="362"/>
      <c r="M30" s="363"/>
      <c r="N30" s="483">
        <f>SUM(H21:I30)+SUM(N21:O29)</f>
        <v>145784</v>
      </c>
      <c r="O30" s="484"/>
      <c r="P30" s="390"/>
      <c r="Q30" s="391"/>
    </row>
    <row r="31" spans="2:17" s="11" customFormat="1" ht="15.6" customHeight="1" x14ac:dyDescent="0.2">
      <c r="B31" s="359"/>
      <c r="C31" s="371" t="s">
        <v>263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402">
        <f>IF(N30&lt;150001,ROUND(N30,0),150000)</f>
        <v>145784</v>
      </c>
      <c r="Q31" s="403"/>
    </row>
    <row r="32" spans="2:17" s="11" customFormat="1" ht="15.6" customHeight="1" x14ac:dyDescent="0.2">
      <c r="B32" s="359"/>
      <c r="C32" s="368" t="s">
        <v>350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  <c r="P32" s="485">
        <v>0</v>
      </c>
      <c r="Q32" s="486"/>
    </row>
    <row r="33" spans="2:17" s="11" customFormat="1" ht="15.6" customHeight="1" x14ac:dyDescent="0.2">
      <c r="B33" s="359"/>
      <c r="C33" s="471" t="s">
        <v>239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3"/>
      <c r="P33" s="404">
        <f>IF('Other Deduction'!E10&gt;=50000,50000,'Other Deduction'!E10)</f>
        <v>0</v>
      </c>
      <c r="Q33" s="405"/>
    </row>
    <row r="34" spans="2:17" s="11" customFormat="1" ht="15.6" customHeight="1" x14ac:dyDescent="0.25">
      <c r="B34" s="360"/>
      <c r="C34" s="474" t="s">
        <v>226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6"/>
      <c r="P34" s="402">
        <f>SUM(P31:Q33)</f>
        <v>145784</v>
      </c>
      <c r="Q34" s="403"/>
    </row>
    <row r="35" spans="2:17" s="11" customFormat="1" ht="15.6" customHeight="1" x14ac:dyDescent="0.2">
      <c r="B35" s="358">
        <v>12</v>
      </c>
      <c r="C35" s="384" t="s">
        <v>75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5"/>
    </row>
    <row r="36" spans="2:17" s="11" customFormat="1" ht="15.6" customHeight="1" x14ac:dyDescent="0.2">
      <c r="B36" s="359"/>
      <c r="C36" s="464" t="s">
        <v>289</v>
      </c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6"/>
      <c r="P36" s="404">
        <f>'Other Deduction'!E11</f>
        <v>0</v>
      </c>
      <c r="Q36" s="405"/>
    </row>
    <row r="37" spans="2:17" s="11" customFormat="1" ht="15.6" customHeight="1" x14ac:dyDescent="0.2">
      <c r="B37" s="359"/>
      <c r="C37" s="356" t="s">
        <v>290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404">
        <f>'Other Deduction'!E12</f>
        <v>0</v>
      </c>
      <c r="Q37" s="405"/>
    </row>
    <row r="38" spans="2:17" s="11" customFormat="1" ht="15.6" customHeight="1" x14ac:dyDescent="0.2">
      <c r="B38" s="359"/>
      <c r="C38" s="467" t="s">
        <v>291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04">
        <f>'Other Deduction'!E13</f>
        <v>0</v>
      </c>
      <c r="Q38" s="405"/>
    </row>
    <row r="39" spans="2:17" s="11" customFormat="1" ht="15.6" customHeight="1" x14ac:dyDescent="0.2">
      <c r="B39" s="359"/>
      <c r="C39" s="356" t="s">
        <v>292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404">
        <f>'Other Deduction'!E14</f>
        <v>0</v>
      </c>
      <c r="Q39" s="405"/>
    </row>
    <row r="40" spans="2:17" s="11" customFormat="1" ht="15.6" customHeight="1" x14ac:dyDescent="0.2">
      <c r="B40" s="359"/>
      <c r="C40" s="356" t="s">
        <v>293</v>
      </c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404">
        <f>'Other Deduction'!E15</f>
        <v>0</v>
      </c>
      <c r="Q40" s="405"/>
    </row>
    <row r="41" spans="2:17" s="11" customFormat="1" ht="15.6" customHeight="1" x14ac:dyDescent="0.2">
      <c r="B41" s="359"/>
      <c r="C41" s="464" t="s">
        <v>294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6"/>
      <c r="P41" s="404">
        <f>'Other Deduction'!E16</f>
        <v>0</v>
      </c>
      <c r="Q41" s="405"/>
    </row>
    <row r="42" spans="2:17" s="11" customFormat="1" ht="15.6" customHeight="1" x14ac:dyDescent="0.2">
      <c r="B42" s="359"/>
      <c r="C42" s="365" t="s">
        <v>295</v>
      </c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7"/>
      <c r="P42" s="404">
        <f>IF(Master!B15="Yes",0,IF('Other Deduction'!E4&gt;10000,10000,'Other Deduction'!E4))</f>
        <v>0</v>
      </c>
      <c r="Q42" s="405"/>
    </row>
    <row r="43" spans="2:17" s="11" customFormat="1" ht="15.6" customHeight="1" x14ac:dyDescent="0.2">
      <c r="B43" s="359"/>
      <c r="C43" s="365" t="s">
        <v>296</v>
      </c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7"/>
      <c r="P43" s="404">
        <f>IF(Master!B15="No",0,IF('Other Deduction'!J5&lt;50001,'Other Deduction'!J5,50000))</f>
        <v>0</v>
      </c>
      <c r="Q43" s="405"/>
    </row>
    <row r="44" spans="2:17" s="11" customFormat="1" ht="15.6" customHeight="1" x14ac:dyDescent="0.2">
      <c r="B44" s="359"/>
      <c r="C44" s="365" t="s">
        <v>336</v>
      </c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7"/>
      <c r="P44" s="404">
        <f>'Other Deduction'!E17</f>
        <v>0</v>
      </c>
      <c r="Q44" s="405"/>
    </row>
    <row r="45" spans="2:17" s="11" customFormat="1" ht="15.6" customHeight="1" x14ac:dyDescent="0.2">
      <c r="B45" s="360"/>
      <c r="C45" s="468" t="s">
        <v>264</v>
      </c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9">
        <f>SUM(P36:Q44)</f>
        <v>0</v>
      </c>
      <c r="Q45" s="470"/>
    </row>
    <row r="46" spans="2:17" s="11" customFormat="1" ht="15.6" customHeight="1" x14ac:dyDescent="0.2">
      <c r="B46" s="155">
        <v>13</v>
      </c>
      <c r="C46" s="342" t="s">
        <v>297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404">
        <f>P34+P45</f>
        <v>145784</v>
      </c>
      <c r="Q46" s="405"/>
    </row>
    <row r="47" spans="2:17" s="11" customFormat="1" ht="15.6" customHeight="1" x14ac:dyDescent="0.2">
      <c r="B47" s="155">
        <v>14</v>
      </c>
      <c r="C47" s="342" t="s">
        <v>298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404">
        <f>(P18-P46)</f>
        <v>1020840</v>
      </c>
      <c r="Q47" s="405"/>
    </row>
    <row r="48" spans="2:17" s="11" customFormat="1" ht="15.6" customHeight="1" x14ac:dyDescent="0.2">
      <c r="B48" s="155">
        <v>15</v>
      </c>
      <c r="C48" s="384" t="s">
        <v>261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402">
        <f>ROUND(P47,-1)</f>
        <v>1020840</v>
      </c>
      <c r="Q48" s="403"/>
    </row>
    <row r="49" spans="2:17" s="11" customFormat="1" ht="15.6" customHeight="1" x14ac:dyDescent="0.2">
      <c r="B49" s="358">
        <v>16</v>
      </c>
      <c r="C49" s="342" t="s">
        <v>299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451"/>
    </row>
    <row r="50" spans="2:17" s="11" customFormat="1" ht="15.6" customHeight="1" x14ac:dyDescent="0.2">
      <c r="B50" s="359"/>
      <c r="C50" s="452" t="s">
        <v>58</v>
      </c>
      <c r="D50" s="452"/>
      <c r="E50" s="452"/>
      <c r="F50" s="452"/>
      <c r="G50" s="452"/>
      <c r="H50" s="452" t="s">
        <v>300</v>
      </c>
      <c r="I50" s="452"/>
      <c r="J50" s="452"/>
      <c r="K50" s="452"/>
      <c r="L50" s="453" t="s">
        <v>301</v>
      </c>
      <c r="M50" s="454"/>
      <c r="N50" s="454"/>
      <c r="O50" s="455"/>
      <c r="P50" s="495"/>
      <c r="Q50" s="496"/>
    </row>
    <row r="51" spans="2:17" s="11" customFormat="1" ht="15.6" customHeight="1" x14ac:dyDescent="0.2">
      <c r="B51" s="359"/>
      <c r="C51" s="427" t="s">
        <v>302</v>
      </c>
      <c r="D51" s="428"/>
      <c r="E51" s="429"/>
      <c r="F51" s="426" t="s">
        <v>48</v>
      </c>
      <c r="G51" s="426"/>
      <c r="H51" s="427" t="s">
        <v>221</v>
      </c>
      <c r="I51" s="428"/>
      <c r="J51" s="429"/>
      <c r="K51" s="142" t="s">
        <v>48</v>
      </c>
      <c r="L51" s="427"/>
      <c r="M51" s="428"/>
      <c r="N51" s="429"/>
      <c r="O51" s="142"/>
      <c r="P51" s="404">
        <v>0</v>
      </c>
      <c r="Q51" s="405"/>
    </row>
    <row r="52" spans="2:17" s="11" customFormat="1" ht="15.6" customHeight="1" x14ac:dyDescent="0.2">
      <c r="B52" s="359"/>
      <c r="C52" s="427" t="s">
        <v>49</v>
      </c>
      <c r="D52" s="428"/>
      <c r="E52" s="429"/>
      <c r="F52" s="425">
        <v>0.05</v>
      </c>
      <c r="G52" s="426"/>
      <c r="H52" s="426" t="s">
        <v>68</v>
      </c>
      <c r="I52" s="426"/>
      <c r="J52" s="426"/>
      <c r="K52" s="144">
        <v>0.05</v>
      </c>
      <c r="L52" s="427" t="s">
        <v>303</v>
      </c>
      <c r="M52" s="428"/>
      <c r="N52" s="429"/>
      <c r="O52" s="142" t="s">
        <v>48</v>
      </c>
      <c r="P52" s="404">
        <f>ROUND(IF(Master!$B$15="NO",IF(P48&lt;250001,0,IF(P48&gt;500000,12500,((P48-250000)*0.05))),IF(P48&lt;300001,0,IF(P48&gt;500000,10000,((P48-300000)*0.05)))),0)</f>
        <v>12500</v>
      </c>
      <c r="Q52" s="405"/>
    </row>
    <row r="53" spans="2:17" s="11" customFormat="1" ht="15.6" customHeight="1" x14ac:dyDescent="0.2">
      <c r="B53" s="359"/>
      <c r="C53" s="427" t="s">
        <v>50</v>
      </c>
      <c r="D53" s="428"/>
      <c r="E53" s="429"/>
      <c r="F53" s="425">
        <v>0.2</v>
      </c>
      <c r="G53" s="426"/>
      <c r="H53" s="426" t="s">
        <v>50</v>
      </c>
      <c r="I53" s="426"/>
      <c r="J53" s="426"/>
      <c r="K53" s="144">
        <v>0.2</v>
      </c>
      <c r="L53" s="427" t="s">
        <v>50</v>
      </c>
      <c r="M53" s="428"/>
      <c r="N53" s="429"/>
      <c r="O53" s="144">
        <v>0.2</v>
      </c>
      <c r="P53" s="404">
        <f>IF(P48&lt;500001,0,IF(P48&gt;1000000,100000,((P48-500000)*0.2)))</f>
        <v>100000</v>
      </c>
      <c r="Q53" s="405"/>
    </row>
    <row r="54" spans="2:17" s="11" customFormat="1" ht="15.6" customHeight="1" x14ac:dyDescent="0.2">
      <c r="B54" s="359"/>
      <c r="C54" s="456" t="s">
        <v>304</v>
      </c>
      <c r="D54" s="457"/>
      <c r="E54" s="458"/>
      <c r="F54" s="425">
        <v>0.3</v>
      </c>
      <c r="G54" s="426"/>
      <c r="H54" s="426" t="s">
        <v>305</v>
      </c>
      <c r="I54" s="426"/>
      <c r="J54" s="426"/>
      <c r="K54" s="144">
        <v>0.3</v>
      </c>
      <c r="L54" s="427" t="s">
        <v>305</v>
      </c>
      <c r="M54" s="428"/>
      <c r="N54" s="429"/>
      <c r="O54" s="144">
        <v>0.3</v>
      </c>
      <c r="P54" s="404">
        <f>IF(P48&lt;1000001,0,((P48-1000000)*0.3))</f>
        <v>6252</v>
      </c>
      <c r="Q54" s="405"/>
    </row>
    <row r="55" spans="2:17" s="11" customFormat="1" ht="15.6" customHeight="1" x14ac:dyDescent="0.2">
      <c r="B55" s="359"/>
      <c r="C55" s="446" t="s">
        <v>56</v>
      </c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8"/>
      <c r="P55" s="487">
        <f>SUM(P51:Q54)</f>
        <v>118752</v>
      </c>
      <c r="Q55" s="488"/>
    </row>
    <row r="56" spans="2:17" s="11" customFormat="1" ht="15.6" customHeight="1" x14ac:dyDescent="0.2">
      <c r="B56" s="359"/>
      <c r="C56" s="459" t="s">
        <v>267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1"/>
      <c r="P56" s="489">
        <f>IF(P48&gt;500000,0,IF(P55&lt;12501,P55,12500))</f>
        <v>0</v>
      </c>
      <c r="Q56" s="490"/>
    </row>
    <row r="57" spans="2:17" s="11" customFormat="1" ht="15.6" customHeight="1" x14ac:dyDescent="0.2">
      <c r="B57" s="359"/>
      <c r="C57" s="446" t="s">
        <v>265</v>
      </c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8"/>
      <c r="P57" s="487">
        <f>P55-P56</f>
        <v>118752</v>
      </c>
      <c r="Q57" s="488"/>
    </row>
    <row r="58" spans="2:17" s="11" customFormat="1" ht="15.6" customHeight="1" x14ac:dyDescent="0.2">
      <c r="B58" s="359"/>
      <c r="C58" s="449" t="s">
        <v>268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89">
        <f>ROUND(P57*0.04,0)</f>
        <v>4750</v>
      </c>
      <c r="Q58" s="490"/>
    </row>
    <row r="59" spans="2:17" s="11" customFormat="1" ht="15.6" customHeight="1" x14ac:dyDescent="0.2">
      <c r="B59" s="360"/>
      <c r="C59" s="450" t="s">
        <v>266</v>
      </c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02">
        <f>SUM(P57:Q58)</f>
        <v>123502</v>
      </c>
      <c r="Q59" s="403"/>
    </row>
    <row r="60" spans="2:17" s="11" customFormat="1" ht="15.6" customHeight="1" x14ac:dyDescent="0.2">
      <c r="B60" s="155">
        <v>17</v>
      </c>
      <c r="C60" s="434" t="s">
        <v>306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6"/>
      <c r="P60" s="489">
        <f>'Other Deduction'!E18</f>
        <v>0</v>
      </c>
      <c r="Q60" s="490"/>
    </row>
    <row r="61" spans="2:17" s="11" customFormat="1" ht="15.6" customHeight="1" x14ac:dyDescent="0.2">
      <c r="B61" s="155">
        <v>18</v>
      </c>
      <c r="C61" s="437" t="s">
        <v>59</v>
      </c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87">
        <f>P59-P60</f>
        <v>123502</v>
      </c>
      <c r="Q61" s="488"/>
    </row>
    <row r="62" spans="2:17" ht="30" customHeight="1" x14ac:dyDescent="0.2">
      <c r="B62" s="358">
        <v>19</v>
      </c>
      <c r="C62" s="441" t="s">
        <v>51</v>
      </c>
      <c r="D62" s="441"/>
      <c r="E62" s="442"/>
      <c r="F62" s="438" t="s">
        <v>337</v>
      </c>
      <c r="G62" s="438"/>
      <c r="H62" s="438"/>
      <c r="I62" s="438"/>
      <c r="J62" s="439" t="s">
        <v>338</v>
      </c>
      <c r="K62" s="440"/>
      <c r="L62" s="228" t="s">
        <v>339</v>
      </c>
      <c r="M62" s="439" t="s">
        <v>340</v>
      </c>
      <c r="N62" s="440"/>
      <c r="O62" s="157" t="s">
        <v>60</v>
      </c>
      <c r="P62" s="462" t="s">
        <v>307</v>
      </c>
      <c r="Q62" s="463"/>
    </row>
    <row r="63" spans="2:17" ht="15.6" customHeight="1" x14ac:dyDescent="0.2">
      <c r="B63" s="360"/>
      <c r="C63" s="443"/>
      <c r="D63" s="443"/>
      <c r="E63" s="444"/>
      <c r="F63" s="430">
        <f>SUM(GA55A!V8:V14)</f>
        <v>70000</v>
      </c>
      <c r="G63" s="430"/>
      <c r="H63" s="430"/>
      <c r="I63" s="430"/>
      <c r="J63" s="430">
        <f>SUM(GA55A!V15:V17)</f>
        <v>30000</v>
      </c>
      <c r="K63" s="430"/>
      <c r="L63" s="140">
        <f>GA55A!V18</f>
        <v>10000</v>
      </c>
      <c r="M63" s="430">
        <f>GA55A!V19</f>
        <v>10000</v>
      </c>
      <c r="N63" s="430"/>
      <c r="O63" s="141">
        <f>SUM(GA55A!V20:V27)+'Other Deduction'!E19</f>
        <v>0</v>
      </c>
      <c r="P63" s="491">
        <f>F63+J63+L63+M63+O63</f>
        <v>120000</v>
      </c>
      <c r="Q63" s="492"/>
    </row>
    <row r="64" spans="2:17" ht="15.6" customHeight="1" thickBot="1" x14ac:dyDescent="0.25">
      <c r="B64" s="431" t="str">
        <f>IF(P61&gt;P63,"Income Tax Payable (Old Tax Regime)",IF(P61&lt;P63,"Income Tax Refundable (Old Tax Regime)","Income Tax Payble/Refundable (Old Tax Regime)"))</f>
        <v>Income Tax Payable (Old Tax Regime)</v>
      </c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3"/>
      <c r="P64" s="493">
        <f>P61-P63</f>
        <v>3502</v>
      </c>
      <c r="Q64" s="494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E66" s="211" t="s">
        <v>53</v>
      </c>
      <c r="F66" s="5"/>
      <c r="G66" s="5"/>
      <c r="H66" s="5"/>
      <c r="I66" s="5"/>
      <c r="J66" s="5"/>
      <c r="K66" s="5"/>
      <c r="L66" s="5"/>
      <c r="M66" s="5"/>
      <c r="N66" s="5"/>
      <c r="O66" s="211" t="s">
        <v>54</v>
      </c>
      <c r="P66" s="6"/>
      <c r="Q66" s="7"/>
    </row>
    <row r="67" spans="1:18" s="75" customFormat="1" ht="56.25" customHeight="1" x14ac:dyDescent="0.3">
      <c r="A67" s="340" t="s">
        <v>308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445"/>
      <c r="M71" s="445"/>
      <c r="N71" s="445"/>
      <c r="O71" s="445"/>
      <c r="P71" s="445"/>
      <c r="Q71" s="445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445"/>
      <c r="M72" s="445"/>
      <c r="N72" s="445"/>
      <c r="O72" s="445"/>
      <c r="P72" s="445"/>
      <c r="Q72" s="445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445"/>
      <c r="M73" s="445"/>
      <c r="N73" s="445"/>
      <c r="O73" s="445"/>
      <c r="P73" s="445"/>
      <c r="Q73" s="445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445"/>
      <c r="M74" s="445"/>
      <c r="N74" s="445"/>
      <c r="O74" s="445"/>
      <c r="P74" s="445"/>
      <c r="Q74" s="445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445"/>
      <c r="M75" s="445"/>
      <c r="N75" s="445"/>
      <c r="O75" s="445"/>
      <c r="P75" s="445"/>
      <c r="Q75" s="445"/>
    </row>
    <row r="76" spans="1:18" s="34" customFormat="1" hidden="1" x14ac:dyDescent="0.2">
      <c r="B76" s="98"/>
      <c r="C76" s="36"/>
      <c r="D76" s="354"/>
      <c r="E76" s="354"/>
      <c r="F76" s="354"/>
      <c r="G76" s="354"/>
      <c r="H76" s="354"/>
      <c r="I76" s="354"/>
      <c r="J76" s="354"/>
      <c r="K76" s="36"/>
      <c r="L76" s="445"/>
      <c r="M76" s="445"/>
      <c r="N76" s="445"/>
      <c r="O76" s="445"/>
      <c r="P76" s="445"/>
      <c r="Q76" s="445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445"/>
      <c r="M77" s="445"/>
      <c r="N77" s="445"/>
      <c r="O77" s="445"/>
      <c r="P77" s="445"/>
      <c r="Q77" s="445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1jkPAamcuTAEq14RgiThwnYpAAFqca8svvHZP2b3Vt+KuOxH3TJQBnml2LbDeOZj3UhWlD7tDSZRhp+gDGPGcQ==" saltValue="2hwD3MFa3/tmAkY9QHmu7Q==" spinCount="100000" sheet="1" objects="1" scenarios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7" sqref="P7:Q9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18" t="str">
        <f>GA55A!C2</f>
        <v>Office of the Principal, Govt. Sr. Secondary School Todaraisingh (Tonk)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4" t="s">
        <v>144</v>
      </c>
      <c r="P1" s="414"/>
      <c r="Q1" s="415"/>
    </row>
    <row r="2" spans="2:17" s="11" customFormat="1" ht="24" thickBot="1" x14ac:dyDescent="0.25">
      <c r="B2" s="412" t="s">
        <v>334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6"/>
      <c r="P2" s="416"/>
      <c r="Q2" s="417"/>
    </row>
    <row r="3" spans="2:17" s="11" customFormat="1" ht="17.100000000000001" customHeight="1" x14ac:dyDescent="0.2">
      <c r="B3" s="148">
        <v>1</v>
      </c>
      <c r="C3" s="420" t="s">
        <v>10</v>
      </c>
      <c r="D3" s="421"/>
      <c r="E3" s="397" t="str">
        <f>GA55A!D5</f>
        <v>Chandra Prakash Kurmi</v>
      </c>
      <c r="F3" s="397"/>
      <c r="G3" s="397"/>
      <c r="H3" s="397"/>
      <c r="I3" s="397"/>
      <c r="J3" s="397"/>
      <c r="K3" s="145" t="s">
        <v>26</v>
      </c>
      <c r="L3" s="398" t="str">
        <f>GA55A!D6</f>
        <v>Lecturer (L-13)</v>
      </c>
      <c r="M3" s="398"/>
      <c r="N3" s="398"/>
      <c r="O3" s="146" t="s">
        <v>24</v>
      </c>
      <c r="P3" s="500" t="str">
        <f>IF(GA55A!M5="","",GA55A!M5)</f>
        <v>AAAAAXXXXA</v>
      </c>
      <c r="Q3" s="501"/>
    </row>
    <row r="4" spans="2:17" s="11" customFormat="1" ht="17.100000000000001" customHeight="1" x14ac:dyDescent="0.2">
      <c r="B4" s="149">
        <v>2</v>
      </c>
      <c r="C4" s="424" t="s">
        <v>341</v>
      </c>
      <c r="D4" s="424"/>
      <c r="E4" s="356"/>
      <c r="F4" s="356"/>
      <c r="G4" s="356"/>
      <c r="H4" s="356"/>
      <c r="I4" s="356"/>
      <c r="J4" s="356"/>
      <c r="K4" s="424"/>
      <c r="L4" s="356"/>
      <c r="M4" s="356"/>
      <c r="N4" s="356"/>
      <c r="O4" s="424"/>
      <c r="P4" s="520">
        <f>GA55A!N28</f>
        <v>1216624</v>
      </c>
      <c r="Q4" s="521"/>
    </row>
    <row r="5" spans="2:17" s="11" customFormat="1" ht="17.100000000000001" customHeight="1" x14ac:dyDescent="0.2">
      <c r="B5" s="149">
        <v>3</v>
      </c>
      <c r="C5" s="356" t="s">
        <v>231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518">
        <f>'Other Deduction'!E20</f>
        <v>0</v>
      </c>
      <c r="Q5" s="519"/>
    </row>
    <row r="6" spans="2:17" s="11" customFormat="1" ht="17.100000000000001" customHeight="1" x14ac:dyDescent="0.2">
      <c r="B6" s="149">
        <v>4</v>
      </c>
      <c r="C6" s="371" t="s">
        <v>27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520">
        <f>P4-P5</f>
        <v>1216624</v>
      </c>
      <c r="Q6" s="521"/>
    </row>
    <row r="7" spans="2:17" s="11" customFormat="1" ht="17.100000000000001" customHeight="1" x14ac:dyDescent="0.2">
      <c r="B7" s="497">
        <v>5</v>
      </c>
      <c r="C7" s="365" t="s">
        <v>232</v>
      </c>
      <c r="D7" s="366"/>
      <c r="E7" s="366"/>
      <c r="F7" s="366"/>
      <c r="G7" s="366"/>
      <c r="H7" s="366"/>
      <c r="I7" s="366"/>
      <c r="J7" s="366"/>
      <c r="K7" s="366"/>
      <c r="L7" s="366"/>
      <c r="M7" s="355">
        <v>0</v>
      </c>
      <c r="N7" s="355"/>
      <c r="O7" s="355"/>
      <c r="P7" s="388"/>
      <c r="Q7" s="502"/>
    </row>
    <row r="8" spans="2:17" s="11" customFormat="1" ht="17.100000000000001" customHeight="1" x14ac:dyDescent="0.2">
      <c r="B8" s="498"/>
      <c r="C8" s="365" t="s">
        <v>233</v>
      </c>
      <c r="D8" s="366"/>
      <c r="E8" s="366"/>
      <c r="F8" s="366"/>
      <c r="G8" s="366"/>
      <c r="H8" s="366"/>
      <c r="I8" s="366"/>
      <c r="J8" s="366"/>
      <c r="K8" s="366"/>
      <c r="L8" s="366"/>
      <c r="M8" s="355">
        <v>0</v>
      </c>
      <c r="N8" s="355"/>
      <c r="O8" s="355"/>
      <c r="P8" s="503"/>
      <c r="Q8" s="504"/>
    </row>
    <row r="9" spans="2:17" s="11" customFormat="1" ht="17.100000000000001" customHeight="1" x14ac:dyDescent="0.2">
      <c r="B9" s="498"/>
      <c r="C9" s="365" t="s">
        <v>234</v>
      </c>
      <c r="D9" s="366"/>
      <c r="E9" s="366"/>
      <c r="F9" s="366"/>
      <c r="G9" s="366"/>
      <c r="H9" s="366"/>
      <c r="I9" s="366"/>
      <c r="J9" s="366"/>
      <c r="K9" s="366"/>
      <c r="L9" s="366"/>
      <c r="M9" s="355">
        <v>0</v>
      </c>
      <c r="N9" s="355"/>
      <c r="O9" s="355"/>
      <c r="P9" s="505"/>
      <c r="Q9" s="506"/>
    </row>
    <row r="10" spans="2:17" s="11" customFormat="1" ht="17.100000000000001" customHeight="1" x14ac:dyDescent="0.2">
      <c r="B10" s="499"/>
      <c r="C10" s="380" t="s">
        <v>235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2"/>
      <c r="P10" s="518">
        <f>SUM(M7:O9)</f>
        <v>0</v>
      </c>
      <c r="Q10" s="519"/>
    </row>
    <row r="11" spans="2:17" s="11" customFormat="1" ht="17.100000000000001" customHeight="1" x14ac:dyDescent="0.2">
      <c r="B11" s="149">
        <v>6</v>
      </c>
      <c r="C11" s="380" t="s">
        <v>236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  <c r="P11" s="520">
        <f>P6-P10</f>
        <v>1216624</v>
      </c>
      <c r="Q11" s="521"/>
    </row>
    <row r="12" spans="2:17" s="11" customFormat="1" ht="17.100000000000001" customHeight="1" x14ac:dyDescent="0.2">
      <c r="B12" s="507">
        <v>7</v>
      </c>
      <c r="C12" s="342" t="s">
        <v>260</v>
      </c>
      <c r="D12" s="342"/>
      <c r="E12" s="342"/>
      <c r="F12" s="342"/>
      <c r="G12" s="342"/>
      <c r="H12" s="342"/>
      <c r="I12" s="342"/>
      <c r="J12" s="342"/>
      <c r="K12" s="343" t="s">
        <v>28</v>
      </c>
      <c r="L12" s="343"/>
      <c r="M12" s="355">
        <f>'Other Deduction'!B6</f>
        <v>0</v>
      </c>
      <c r="N12" s="355"/>
      <c r="O12" s="355"/>
      <c r="P12" s="399"/>
      <c r="Q12" s="400"/>
    </row>
    <row r="13" spans="2:17" s="11" customFormat="1" ht="17.100000000000001" customHeight="1" x14ac:dyDescent="0.2">
      <c r="B13" s="507"/>
      <c r="C13" s="350" t="s">
        <v>29</v>
      </c>
      <c r="D13" s="351"/>
      <c r="E13" s="347" t="s">
        <v>229</v>
      </c>
      <c r="F13" s="348"/>
      <c r="G13" s="349"/>
      <c r="H13" s="401" t="s">
        <v>11</v>
      </c>
      <c r="I13" s="401"/>
      <c r="J13" s="401"/>
      <c r="K13" s="343" t="s">
        <v>30</v>
      </c>
      <c r="L13" s="343"/>
      <c r="M13" s="343" t="s">
        <v>55</v>
      </c>
      <c r="N13" s="343"/>
      <c r="O13" s="343"/>
      <c r="P13" s="399"/>
      <c r="Q13" s="400"/>
    </row>
    <row r="14" spans="2:17" s="11" customFormat="1" ht="17.100000000000001" customHeight="1" x14ac:dyDescent="0.2">
      <c r="B14" s="507"/>
      <c r="C14" s="352"/>
      <c r="D14" s="353"/>
      <c r="E14" s="344">
        <v>0</v>
      </c>
      <c r="F14" s="345"/>
      <c r="G14" s="346"/>
      <c r="H14" s="355">
        <v>0</v>
      </c>
      <c r="I14" s="355"/>
      <c r="J14" s="355"/>
      <c r="K14" s="355">
        <v>0</v>
      </c>
      <c r="L14" s="355"/>
      <c r="M14" s="355">
        <v>0</v>
      </c>
      <c r="N14" s="355"/>
      <c r="O14" s="355"/>
      <c r="P14" s="399"/>
      <c r="Q14" s="400"/>
    </row>
    <row r="15" spans="2:17" s="11" customFormat="1" ht="17.100000000000001" customHeight="1" x14ac:dyDescent="0.2">
      <c r="B15" s="150"/>
      <c r="C15" s="511" t="s">
        <v>238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3"/>
      <c r="P15" s="518">
        <f>M12</f>
        <v>0</v>
      </c>
      <c r="Q15" s="519"/>
    </row>
    <row r="16" spans="2:17" s="11" customFormat="1" ht="17.100000000000001" customHeight="1" x14ac:dyDescent="0.2">
      <c r="B16" s="149">
        <v>8</v>
      </c>
      <c r="C16" s="380" t="s">
        <v>237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/>
      <c r="P16" s="518">
        <f>P11+P15</f>
        <v>1216624</v>
      </c>
      <c r="Q16" s="519"/>
    </row>
    <row r="17" spans="2:17" s="11" customFormat="1" ht="17.100000000000001" customHeight="1" x14ac:dyDescent="0.2">
      <c r="B17" s="149">
        <v>9</v>
      </c>
      <c r="C17" s="383" t="s">
        <v>23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518">
        <f>'Other Deduction'!J6</f>
        <v>0</v>
      </c>
      <c r="Q17" s="519"/>
    </row>
    <row r="18" spans="2:17" s="11" customFormat="1" ht="17.100000000000001" customHeight="1" x14ac:dyDescent="0.2">
      <c r="B18" s="149">
        <v>10</v>
      </c>
      <c r="C18" s="384" t="s">
        <v>313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520">
        <f>P16+P17</f>
        <v>1216624</v>
      </c>
      <c r="Q18" s="521"/>
    </row>
    <row r="19" spans="2:17" s="11" customFormat="1" ht="17.100000000000001" customHeight="1" x14ac:dyDescent="0.2">
      <c r="B19" s="497">
        <v>11</v>
      </c>
      <c r="C19" s="384" t="s">
        <v>145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5"/>
    </row>
    <row r="20" spans="2:17" s="11" customFormat="1" ht="17.100000000000001" customHeight="1" x14ac:dyDescent="0.25">
      <c r="B20" s="498"/>
      <c r="C20" s="514" t="s">
        <v>240</v>
      </c>
      <c r="D20" s="515"/>
      <c r="E20" s="515"/>
      <c r="F20" s="515"/>
      <c r="G20" s="515"/>
      <c r="H20" s="515"/>
      <c r="I20" s="515"/>
      <c r="J20" s="515"/>
      <c r="K20" s="515"/>
      <c r="L20" s="516"/>
      <c r="M20" s="516"/>
      <c r="N20" s="516"/>
      <c r="O20" s="517"/>
      <c r="P20" s="518">
        <v>0</v>
      </c>
      <c r="Q20" s="519"/>
    </row>
    <row r="21" spans="2:17" s="11" customFormat="1" ht="17.100000000000001" customHeight="1" x14ac:dyDescent="0.2">
      <c r="B21" s="498"/>
      <c r="C21" s="508" t="s">
        <v>241</v>
      </c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10"/>
      <c r="P21" s="518">
        <v>0</v>
      </c>
      <c r="Q21" s="519"/>
    </row>
    <row r="22" spans="2:17" s="11" customFormat="1" ht="17.100000000000001" customHeight="1" x14ac:dyDescent="0.2">
      <c r="B22" s="498"/>
      <c r="C22" s="471" t="s">
        <v>242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3"/>
      <c r="P22" s="518">
        <v>0</v>
      </c>
      <c r="Q22" s="519"/>
    </row>
    <row r="23" spans="2:17" s="11" customFormat="1" ht="17.100000000000001" customHeight="1" x14ac:dyDescent="0.25">
      <c r="B23" s="499"/>
      <c r="C23" s="474" t="s">
        <v>226</v>
      </c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6"/>
      <c r="P23" s="520">
        <f>SUM(P20:Q22)</f>
        <v>0</v>
      </c>
      <c r="Q23" s="521"/>
    </row>
    <row r="24" spans="2:17" s="11" customFormat="1" ht="17.100000000000001" customHeight="1" x14ac:dyDescent="0.2">
      <c r="B24" s="497">
        <v>12</v>
      </c>
      <c r="C24" s="384" t="s">
        <v>75</v>
      </c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5"/>
    </row>
    <row r="25" spans="2:17" s="11" customFormat="1" ht="17.100000000000001" customHeight="1" x14ac:dyDescent="0.2">
      <c r="B25" s="498"/>
      <c r="C25" s="464" t="s">
        <v>259</v>
      </c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6"/>
      <c r="P25" s="518">
        <v>0</v>
      </c>
      <c r="Q25" s="519"/>
    </row>
    <row r="26" spans="2:17" s="11" customFormat="1" ht="17.100000000000001" customHeight="1" x14ac:dyDescent="0.2">
      <c r="B26" s="498"/>
      <c r="C26" s="356" t="s">
        <v>243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518">
        <v>0</v>
      </c>
      <c r="Q26" s="519"/>
    </row>
    <row r="27" spans="2:17" s="11" customFormat="1" ht="17.100000000000001" customHeight="1" x14ac:dyDescent="0.2">
      <c r="B27" s="498"/>
      <c r="C27" s="356" t="s">
        <v>244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518">
        <v>0</v>
      </c>
      <c r="Q27" s="519"/>
    </row>
    <row r="28" spans="2:17" s="11" customFormat="1" ht="17.100000000000001" customHeight="1" x14ac:dyDescent="0.2">
      <c r="B28" s="498"/>
      <c r="C28" s="356" t="s">
        <v>227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518">
        <v>0</v>
      </c>
      <c r="Q28" s="519"/>
    </row>
    <row r="29" spans="2:17" s="11" customFormat="1" ht="17.100000000000001" customHeight="1" x14ac:dyDescent="0.2">
      <c r="B29" s="498"/>
      <c r="C29" s="356" t="s">
        <v>245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518">
        <v>0</v>
      </c>
      <c r="Q29" s="519"/>
    </row>
    <row r="30" spans="2:17" s="11" customFormat="1" ht="17.100000000000001" customHeight="1" x14ac:dyDescent="0.2">
      <c r="B30" s="498"/>
      <c r="C30" s="464" t="s">
        <v>246</v>
      </c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6"/>
      <c r="P30" s="518">
        <v>0</v>
      </c>
      <c r="Q30" s="519"/>
    </row>
    <row r="31" spans="2:17" s="11" customFormat="1" ht="17.100000000000001" customHeight="1" x14ac:dyDescent="0.2">
      <c r="B31" s="498"/>
      <c r="C31" s="365" t="s">
        <v>247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518">
        <v>0</v>
      </c>
      <c r="Q31" s="519"/>
    </row>
    <row r="32" spans="2:17" s="11" customFormat="1" ht="17.100000000000001" customHeight="1" x14ac:dyDescent="0.2">
      <c r="B32" s="498"/>
      <c r="C32" s="365" t="s">
        <v>248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7"/>
      <c r="P32" s="518">
        <v>0</v>
      </c>
      <c r="Q32" s="519"/>
    </row>
    <row r="33" spans="2:17" s="11" customFormat="1" ht="17.100000000000001" customHeight="1" x14ac:dyDescent="0.2">
      <c r="B33" s="498"/>
      <c r="C33" s="365" t="s">
        <v>228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518">
        <v>0</v>
      </c>
      <c r="Q33" s="519"/>
    </row>
    <row r="34" spans="2:17" s="11" customFormat="1" ht="17.100000000000001" customHeight="1" x14ac:dyDescent="0.2">
      <c r="B34" s="499"/>
      <c r="C34" s="468" t="s">
        <v>150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518">
        <f>SUM(Q25:Q33)</f>
        <v>0</v>
      </c>
      <c r="Q34" s="519"/>
    </row>
    <row r="35" spans="2:17" s="11" customFormat="1" ht="17.100000000000001" customHeight="1" x14ac:dyDescent="0.2">
      <c r="B35" s="149">
        <v>13</v>
      </c>
      <c r="C35" s="384" t="s">
        <v>225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518">
        <f>P23+P34</f>
        <v>0</v>
      </c>
      <c r="Q35" s="519"/>
    </row>
    <row r="36" spans="2:17" s="11" customFormat="1" ht="17.100000000000001" customHeight="1" x14ac:dyDescent="0.2">
      <c r="B36" s="149">
        <v>14</v>
      </c>
      <c r="C36" s="533" t="s">
        <v>249</v>
      </c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18">
        <f>(P18-P35)</f>
        <v>1216624</v>
      </c>
      <c r="Q36" s="519"/>
    </row>
    <row r="37" spans="2:17" s="11" customFormat="1" ht="17.100000000000001" customHeight="1" x14ac:dyDescent="0.2">
      <c r="B37" s="149">
        <v>15</v>
      </c>
      <c r="C37" s="384" t="s">
        <v>224</v>
      </c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520">
        <f>ROUND(P36,-1)</f>
        <v>1216620</v>
      </c>
      <c r="Q37" s="521"/>
    </row>
    <row r="38" spans="2:17" s="11" customFormat="1" ht="17.100000000000001" customHeight="1" x14ac:dyDescent="0.2">
      <c r="B38" s="497">
        <v>16</v>
      </c>
      <c r="C38" s="356" t="s">
        <v>250</v>
      </c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522"/>
    </row>
    <row r="39" spans="2:17" s="11" customFormat="1" ht="17.100000000000001" customHeight="1" x14ac:dyDescent="0.2">
      <c r="B39" s="498"/>
      <c r="C39" s="523" t="s">
        <v>251</v>
      </c>
      <c r="D39" s="524"/>
      <c r="E39" s="524"/>
      <c r="F39" s="524"/>
      <c r="G39" s="524"/>
      <c r="H39" s="524" t="s">
        <v>252</v>
      </c>
      <c r="I39" s="524"/>
      <c r="J39" s="524"/>
      <c r="K39" s="524"/>
      <c r="L39" s="525" t="s">
        <v>253</v>
      </c>
      <c r="M39" s="526"/>
      <c r="N39" s="526"/>
      <c r="O39" s="527"/>
      <c r="P39" s="554"/>
      <c r="Q39" s="555"/>
    </row>
    <row r="40" spans="2:17" s="11" customFormat="1" ht="17.100000000000001" customHeight="1" x14ac:dyDescent="0.2">
      <c r="B40" s="498"/>
      <c r="C40" s="427" t="s">
        <v>221</v>
      </c>
      <c r="D40" s="428"/>
      <c r="E40" s="429"/>
      <c r="F40" s="426" t="s">
        <v>48</v>
      </c>
      <c r="G40" s="426"/>
      <c r="H40" s="427" t="s">
        <v>221</v>
      </c>
      <c r="I40" s="428"/>
      <c r="J40" s="429"/>
      <c r="K40" s="142" t="s">
        <v>48</v>
      </c>
      <c r="L40" s="528" t="s">
        <v>222</v>
      </c>
      <c r="M40" s="529"/>
      <c r="N40" s="530"/>
      <c r="O40" s="143" t="s">
        <v>48</v>
      </c>
      <c r="P40" s="518">
        <v>0</v>
      </c>
      <c r="Q40" s="519"/>
    </row>
    <row r="41" spans="2:17" s="11" customFormat="1" ht="17.100000000000001" customHeight="1" x14ac:dyDescent="0.2">
      <c r="B41" s="498"/>
      <c r="C41" s="426" t="s">
        <v>68</v>
      </c>
      <c r="D41" s="426"/>
      <c r="E41" s="426"/>
      <c r="F41" s="425">
        <v>0.05</v>
      </c>
      <c r="G41" s="426"/>
      <c r="H41" s="426" t="s">
        <v>68</v>
      </c>
      <c r="I41" s="426"/>
      <c r="J41" s="426"/>
      <c r="K41" s="144">
        <v>0.05</v>
      </c>
      <c r="L41" s="528" t="s">
        <v>49</v>
      </c>
      <c r="M41" s="529"/>
      <c r="N41" s="530"/>
      <c r="O41" s="144">
        <v>0.05</v>
      </c>
      <c r="P41" s="518">
        <f>ROUND(IF(Master!$B$15="NO",IF(P37&lt;250001,0,IF(P37&gt;500000,12500,((P37-250000)*0.05))),IF(P37&lt;300001,0,IF(P37&gt;500000,10000,((P37-300000)*0.05)))),0)</f>
        <v>12500</v>
      </c>
      <c r="Q41" s="519"/>
    </row>
    <row r="42" spans="2:17" s="11" customFormat="1" ht="17.100000000000001" customHeight="1" x14ac:dyDescent="0.2">
      <c r="B42" s="498"/>
      <c r="C42" s="528" t="s">
        <v>146</v>
      </c>
      <c r="D42" s="529"/>
      <c r="E42" s="530"/>
      <c r="F42" s="425">
        <v>0.1</v>
      </c>
      <c r="G42" s="426"/>
      <c r="H42" s="528" t="s">
        <v>146</v>
      </c>
      <c r="I42" s="529"/>
      <c r="J42" s="530"/>
      <c r="K42" s="144">
        <v>0.1</v>
      </c>
      <c r="L42" s="528" t="s">
        <v>146</v>
      </c>
      <c r="M42" s="529"/>
      <c r="N42" s="530"/>
      <c r="O42" s="144">
        <v>0.1</v>
      </c>
      <c r="P42" s="518">
        <f>IF(P37&lt;500001,0,IF(P37&gt;750000,25000,((P37-500000)*0.1)))</f>
        <v>25000</v>
      </c>
      <c r="Q42" s="519"/>
    </row>
    <row r="43" spans="2:17" s="11" customFormat="1" ht="17.100000000000001" customHeight="1" x14ac:dyDescent="0.2">
      <c r="B43" s="498"/>
      <c r="C43" s="528" t="s">
        <v>147</v>
      </c>
      <c r="D43" s="529"/>
      <c r="E43" s="530"/>
      <c r="F43" s="531">
        <v>0.15</v>
      </c>
      <c r="G43" s="532"/>
      <c r="H43" s="528" t="s">
        <v>147</v>
      </c>
      <c r="I43" s="529"/>
      <c r="J43" s="530"/>
      <c r="K43" s="144">
        <v>0.15</v>
      </c>
      <c r="L43" s="528" t="s">
        <v>147</v>
      </c>
      <c r="M43" s="529"/>
      <c r="N43" s="530"/>
      <c r="O43" s="144">
        <v>0.15</v>
      </c>
      <c r="P43" s="518">
        <f>IF(P37&lt;750001,0,IF(P37&gt;1000000,37500,((P37-750000)*0.15)))</f>
        <v>37500</v>
      </c>
      <c r="Q43" s="519"/>
    </row>
    <row r="44" spans="2:17" s="11" customFormat="1" ht="17.100000000000001" customHeight="1" x14ac:dyDescent="0.2">
      <c r="B44" s="498"/>
      <c r="C44" s="528" t="s">
        <v>148</v>
      </c>
      <c r="D44" s="529"/>
      <c r="E44" s="530"/>
      <c r="F44" s="531">
        <v>0.2</v>
      </c>
      <c r="G44" s="532"/>
      <c r="H44" s="528" t="s">
        <v>148</v>
      </c>
      <c r="I44" s="529"/>
      <c r="J44" s="530"/>
      <c r="K44" s="144">
        <v>0.2</v>
      </c>
      <c r="L44" s="528" t="s">
        <v>148</v>
      </c>
      <c r="M44" s="529"/>
      <c r="N44" s="530"/>
      <c r="O44" s="144">
        <v>0.2</v>
      </c>
      <c r="P44" s="518">
        <f>IF(P37&lt;1000001,0,IF(P37&gt;1250000,50000,((P37-1000000)*0.2)))</f>
        <v>43324</v>
      </c>
      <c r="Q44" s="519"/>
    </row>
    <row r="45" spans="2:17" s="11" customFormat="1" ht="17.100000000000001" customHeight="1" x14ac:dyDescent="0.2">
      <c r="B45" s="498"/>
      <c r="C45" s="528" t="s">
        <v>149</v>
      </c>
      <c r="D45" s="529"/>
      <c r="E45" s="530"/>
      <c r="F45" s="531">
        <v>0.25</v>
      </c>
      <c r="G45" s="532"/>
      <c r="H45" s="528" t="s">
        <v>149</v>
      </c>
      <c r="I45" s="529"/>
      <c r="J45" s="530"/>
      <c r="K45" s="144">
        <v>0.25</v>
      </c>
      <c r="L45" s="528" t="s">
        <v>149</v>
      </c>
      <c r="M45" s="529"/>
      <c r="N45" s="530"/>
      <c r="O45" s="144">
        <v>0.25</v>
      </c>
      <c r="P45" s="518">
        <f>IF(P37&lt;1250001,0,IF(P37&gt;1500000,62500,((P37-1250000)*0.25)))</f>
        <v>0</v>
      </c>
      <c r="Q45" s="519"/>
    </row>
    <row r="46" spans="2:17" s="11" customFormat="1" ht="17.100000000000001" customHeight="1" x14ac:dyDescent="0.2">
      <c r="B46" s="498"/>
      <c r="C46" s="528" t="s">
        <v>223</v>
      </c>
      <c r="D46" s="529"/>
      <c r="E46" s="530"/>
      <c r="F46" s="531">
        <v>0.3</v>
      </c>
      <c r="G46" s="532"/>
      <c r="H46" s="528" t="s">
        <v>223</v>
      </c>
      <c r="I46" s="529"/>
      <c r="J46" s="530"/>
      <c r="K46" s="144">
        <v>0.3</v>
      </c>
      <c r="L46" s="528" t="s">
        <v>223</v>
      </c>
      <c r="M46" s="529"/>
      <c r="N46" s="530"/>
      <c r="O46" s="144">
        <v>0.3</v>
      </c>
      <c r="P46" s="518">
        <f>IF(P37&lt;1500001,0,(P37-1500000)*0.3)</f>
        <v>0</v>
      </c>
      <c r="Q46" s="519"/>
    </row>
    <row r="47" spans="2:17" s="11" customFormat="1" ht="17.100000000000001" customHeight="1" x14ac:dyDescent="0.2">
      <c r="B47" s="498"/>
      <c r="C47" s="540" t="s">
        <v>56</v>
      </c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2"/>
      <c r="P47" s="550">
        <f>SUM(P40:Q46)</f>
        <v>118324</v>
      </c>
      <c r="Q47" s="551"/>
    </row>
    <row r="48" spans="2:17" s="11" customFormat="1" ht="17.100000000000001" customHeight="1" x14ac:dyDescent="0.2">
      <c r="B48" s="498"/>
      <c r="C48" s="543" t="s">
        <v>254</v>
      </c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5"/>
      <c r="P48" s="552">
        <f>IF(P37&gt;500000,0,IF(P47&lt;12501,P47,12500))</f>
        <v>0</v>
      </c>
      <c r="Q48" s="553"/>
    </row>
    <row r="49" spans="1:18" s="11" customFormat="1" ht="17.100000000000001" customHeight="1" x14ac:dyDescent="0.2">
      <c r="B49" s="498"/>
      <c r="C49" s="546" t="s">
        <v>70</v>
      </c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8"/>
      <c r="P49" s="550">
        <f>P47-P48</f>
        <v>118324</v>
      </c>
      <c r="Q49" s="551"/>
    </row>
    <row r="50" spans="1:18" s="11" customFormat="1" ht="17.100000000000001" customHeight="1" x14ac:dyDescent="0.2">
      <c r="B50" s="498"/>
      <c r="C50" s="449" t="s">
        <v>255</v>
      </c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89">
        <f>ROUND(P49*0.04,0)</f>
        <v>4733</v>
      </c>
      <c r="Q50" s="490"/>
    </row>
    <row r="51" spans="1:18" s="11" customFormat="1" ht="17.100000000000001" customHeight="1" x14ac:dyDescent="0.2">
      <c r="B51" s="499"/>
      <c r="C51" s="450" t="s">
        <v>257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87">
        <f>SUM(P49:Q50)</f>
        <v>123057</v>
      </c>
      <c r="Q51" s="488"/>
    </row>
    <row r="52" spans="1:18" s="11" customFormat="1" ht="17.100000000000001" customHeight="1" x14ac:dyDescent="0.2">
      <c r="B52" s="149">
        <v>17</v>
      </c>
      <c r="C52" s="365" t="s">
        <v>256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7"/>
      <c r="P52" s="489">
        <f>'Other Deduction'!E18</f>
        <v>0</v>
      </c>
      <c r="Q52" s="490"/>
    </row>
    <row r="53" spans="1:18" s="11" customFormat="1" ht="17.100000000000001" customHeight="1" x14ac:dyDescent="0.2">
      <c r="B53" s="149">
        <v>18</v>
      </c>
      <c r="C53" s="384" t="s">
        <v>59</v>
      </c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487">
        <f>P51-P52</f>
        <v>123057</v>
      </c>
      <c r="Q53" s="488"/>
    </row>
    <row r="54" spans="1:18" ht="33.75" customHeight="1" x14ac:dyDescent="0.2">
      <c r="B54" s="497">
        <v>19</v>
      </c>
      <c r="C54" s="536" t="s">
        <v>51</v>
      </c>
      <c r="D54" s="536"/>
      <c r="E54" s="537"/>
      <c r="F54" s="438" t="s">
        <v>342</v>
      </c>
      <c r="G54" s="438"/>
      <c r="H54" s="438"/>
      <c r="I54" s="438"/>
      <c r="J54" s="439" t="s">
        <v>343</v>
      </c>
      <c r="K54" s="440"/>
      <c r="L54" s="228" t="s">
        <v>344</v>
      </c>
      <c r="M54" s="439" t="s">
        <v>345</v>
      </c>
      <c r="N54" s="440"/>
      <c r="O54" s="139" t="s">
        <v>60</v>
      </c>
      <c r="P54" s="439" t="s">
        <v>258</v>
      </c>
      <c r="Q54" s="549"/>
    </row>
    <row r="55" spans="1:18" ht="15.75" customHeight="1" x14ac:dyDescent="0.2">
      <c r="B55" s="499"/>
      <c r="C55" s="538"/>
      <c r="D55" s="538"/>
      <c r="E55" s="539"/>
      <c r="F55" s="430">
        <f>SUM(GA55A!V8:V14)</f>
        <v>70000</v>
      </c>
      <c r="G55" s="430"/>
      <c r="H55" s="430"/>
      <c r="I55" s="430"/>
      <c r="J55" s="430">
        <f>SUM(GA55A!V15:V17)</f>
        <v>30000</v>
      </c>
      <c r="K55" s="430"/>
      <c r="L55" s="140">
        <f>GA55A!V18</f>
        <v>10000</v>
      </c>
      <c r="M55" s="430">
        <f>GA55A!V19</f>
        <v>10000</v>
      </c>
      <c r="N55" s="430"/>
      <c r="O55" s="141">
        <f>SUM(GA55A!V20:V27)+'Other Deduction'!E19</f>
        <v>0</v>
      </c>
      <c r="P55" s="491">
        <f>F55+J55+L55+M55+O55</f>
        <v>120000</v>
      </c>
      <c r="Q55" s="492"/>
    </row>
    <row r="56" spans="1:18" ht="17.100000000000001" customHeight="1" thickBot="1" x14ac:dyDescent="0.25">
      <c r="B56" s="534" t="str">
        <f>IF(P53&gt;P55,"Income Tax Payable (New Tax Regime)",IF(P53&lt;P55,"Income Tax Refundable (New Tax Regime)","Income Tax Payble/Refundable"))</f>
        <v>Income Tax Payable (New Tax Regime)</v>
      </c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493">
        <f>P53-P55</f>
        <v>3057</v>
      </c>
      <c r="Q56" s="494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E59" s="211" t="s">
        <v>53</v>
      </c>
      <c r="F59" s="5"/>
      <c r="G59" s="5"/>
      <c r="H59" s="5"/>
      <c r="I59" s="5"/>
      <c r="J59" s="5"/>
      <c r="K59" s="5"/>
      <c r="L59" s="5"/>
      <c r="M59" s="5"/>
      <c r="N59" s="5"/>
      <c r="O59" s="211" t="s">
        <v>54</v>
      </c>
      <c r="P59" s="6"/>
      <c r="Q59" s="7"/>
    </row>
    <row r="60" spans="1:18" s="75" customFormat="1" ht="56.25" customHeight="1" x14ac:dyDescent="0.3">
      <c r="A60" s="340" t="s">
        <v>308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YVc/qD19YqmmHecIQ7QYongVKK8F0OxIqu1VPbELa+upCuHQUFnM6l5yn6n6LUPrmJ/CTMoLTJXPkIBSp19/HA==" saltValue="9SPdi3vWJNll38T2xY5rBA==" spinCount="100000" sheet="1" objects="1" scenarios="1" formatColumns="0" selectLockedCells="1"/>
  <mergeCells count="154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2022-11-04T05:13:23Z</cp:lastPrinted>
  <dcterms:created xsi:type="dcterms:W3CDTF">2013-12-06T08:14:36Z</dcterms:created>
  <dcterms:modified xsi:type="dcterms:W3CDTF">2022-11-11T05:57:54Z</dcterms:modified>
</cp:coreProperties>
</file>