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Prap 7 Samvida MGGS" sheetId="31" r:id="rId9"/>
    <sheet name="Namankan" sheetId="7" r:id="rId10"/>
    <sheet name="Format 1A" sheetId="9" r:id="rId11"/>
    <sheet name="Format 1B" sheetId="11" r:id="rId12"/>
    <sheet name="Format 1C" sheetId="12" r:id="rId13"/>
    <sheet name="Pra 3 Postwise Summary" sheetId="30" r:id="rId14"/>
    <sheet name="Pending TA-Med List" sheetId="10" r:id="rId15"/>
    <sheet name="Scholership" sheetId="13" r:id="rId16"/>
    <sheet name="praptra-6" sheetId="28" r:id="rId17"/>
    <sheet name="PL Encash" sheetId="16" r:id="rId18"/>
    <sheet name="DA AREAR" sheetId="14" r:id="rId19"/>
    <sheet name="Liveries" sheetId="15" r:id="rId20"/>
    <sheet name="Fix Pay" sheetId="17" r:id="rId21"/>
    <sheet name="Sanvida" sheetId="18" r:id="rId22"/>
    <sheet name="Income" sheetId="19" r:id="rId23"/>
    <sheet name="Vardi" sheetId="21" r:id="rId24"/>
    <sheet name="7th pay fix. arr." sheetId="22" r:id="rId25"/>
    <sheet name="vidhyarthimitra" sheetId="23" r:id="rId26"/>
    <sheet name="GA1" sheetId="26" r:id="rId27"/>
    <sheet name="GA2" sheetId="24" r:id="rId28"/>
    <sheet name="GA3" sheetId="25" r:id="rId29"/>
    <sheet name="forwarding letter" sheetId="20" r:id="rId30"/>
  </sheets>
  <externalReferences>
    <externalReference r:id="rId31"/>
  </externalReferences>
  <definedNames>
    <definedName name="_xlnm._FilterDatabase" localSheetId="18" hidden="1">'DA AREAR'!$B$5:$H$5</definedName>
    <definedName name="_xlnm.Print_Area" localSheetId="24">'7th pay fix. arr.'!$A$1:$I$45</definedName>
    <definedName name="_xlnm.Print_Area" localSheetId="18">'DA AREAR'!$B$1:$H$72</definedName>
    <definedName name="_xlnm.Print_Area" localSheetId="20">'Fix Pay'!$A$1:$K$21</definedName>
    <definedName name="_xlnm.Print_Area" localSheetId="10">'Format 1A'!$A$1:$N$39</definedName>
    <definedName name="_xlnm.Print_Area" localSheetId="12">'Format 1C'!$A$1:$G$37</definedName>
    <definedName name="_xlnm.Print_Area" localSheetId="4">'Formet 10'!$A$1:$O$21</definedName>
    <definedName name="_xlnm.Print_Area" localSheetId="2">'Formet 8'!$A$1:$M$131</definedName>
    <definedName name="_xlnm.Print_Area" localSheetId="3">'Formet 9'!$A$1:$O$39</definedName>
    <definedName name="_xlnm.Print_Area" localSheetId="29">'forwarding letter'!$A$1:$C$37</definedName>
    <definedName name="_xlnm.Print_Area" localSheetId="26">'GA1'!$A$1:$U$39</definedName>
    <definedName name="_xlnm.Print_Area" localSheetId="27">'GA2'!$A$1:$N$29</definedName>
    <definedName name="_xlnm.Print_Area" localSheetId="19">Liveries!$A$1:$S$21</definedName>
    <definedName name="_xlnm.Print_Area" localSheetId="9">Namankan!$A$1:$W$27</definedName>
    <definedName name="_xlnm.Print_Area" localSheetId="14">'Pending TA-Med List'!$A$1:$R$40</definedName>
    <definedName name="_xlnm.Print_Area" localSheetId="17">'PL Encash'!$A$1:$H$19</definedName>
    <definedName name="_xlnm.Print_Area" localSheetId="13">'Pra 3 Postwise Summary'!$A$1:$CD$18</definedName>
    <definedName name="_xlnm.Print_Area" localSheetId="8">'Prap 7 Samvida MGGS'!$A$1:$K$22</definedName>
    <definedName name="_xlnm.Print_Area" localSheetId="7">'Prapatra (kh)'!$A$1:$I$21</definedName>
    <definedName name="_xlnm.Print_Area" localSheetId="16">'praptra-6'!$A$1:$H$62</definedName>
    <definedName name="_xlnm.Print_Area" localSheetId="21">Sanvida!$A$1:$K$21</definedName>
    <definedName name="_xlnm.Print_Area" localSheetId="15">Scholership!$A$1:$U$46</definedName>
    <definedName name="_xlnm.Print_Area" localSheetId="5">Summary!$A$1:$C$55</definedName>
    <definedName name="_xlnm.Print_Area" localSheetId="23">Vardi!$A$1:$K$15</definedName>
    <definedName name="_xlnm.Print_Area" localSheetId="25">vidhyarthimitra!$A$1:$H$20</definedName>
  </definedNames>
  <calcPr calcId="124519"/>
</workbook>
</file>

<file path=xl/calcChain.xml><?xml version="1.0" encoding="utf-8"?>
<calcChain xmlns="http://schemas.openxmlformats.org/spreadsheetml/2006/main">
  <c r="F6" i="6"/>
  <c r="C9" i="1"/>
  <c r="C6" i="30"/>
  <c r="B6"/>
  <c r="F1" i="12"/>
  <c r="E8"/>
  <c r="D9" i="11"/>
  <c r="D10"/>
  <c r="D11"/>
  <c r="D12"/>
  <c r="D13"/>
  <c r="D14"/>
  <c r="D15"/>
  <c r="D16"/>
  <c r="D17"/>
  <c r="D18"/>
  <c r="D19"/>
  <c r="D20"/>
  <c r="D21"/>
  <c r="D22"/>
  <c r="D23"/>
  <c r="D24"/>
  <c r="D25"/>
  <c r="D26"/>
  <c r="D27"/>
  <c r="D28"/>
  <c r="D29"/>
  <c r="D30"/>
  <c r="D31"/>
  <c r="D8"/>
  <c r="D9" i="9"/>
  <c r="C8" i="12"/>
  <c r="G10" i="9"/>
  <c r="J10" s="1"/>
  <c r="H6" i="30" s="1"/>
  <c r="D10" i="9"/>
  <c r="C2" i="30"/>
  <c r="C2" i="31"/>
  <c r="A5" i="3"/>
  <c r="A7" i="5" s="1"/>
  <c r="I19" i="31"/>
  <c r="I18"/>
  <c r="I17"/>
  <c r="H6" i="6"/>
  <c r="J11" i="5"/>
  <c r="H11"/>
  <c r="G11"/>
  <c r="E11"/>
  <c r="D11"/>
  <c r="C11"/>
  <c r="K7" i="25"/>
  <c r="J7"/>
  <c r="H8"/>
  <c r="F7"/>
  <c r="G8"/>
  <c r="D8"/>
  <c r="E8"/>
  <c r="C8"/>
  <c r="F17" i="28"/>
  <c r="F16"/>
  <c r="F15"/>
  <c r="K35" i="1"/>
  <c r="J35"/>
  <c r="CB26" i="4"/>
  <c r="CB27"/>
  <c r="CB72"/>
  <c r="CB73"/>
  <c r="CB74"/>
  <c r="CB75"/>
  <c r="BZ26"/>
  <c r="CA26"/>
  <c r="BZ27"/>
  <c r="CA27"/>
  <c r="BZ107"/>
  <c r="CA107"/>
  <c r="BZ108"/>
  <c r="CA108"/>
  <c r="BZ109"/>
  <c r="CA109"/>
  <c r="BZ114"/>
  <c r="CA114"/>
  <c r="BZ115"/>
  <c r="CA115"/>
  <c r="BZ120"/>
  <c r="CA120"/>
  <c r="BZ121"/>
  <c r="CA121"/>
  <c r="BZ122"/>
  <c r="CA122"/>
  <c r="BZ123"/>
  <c r="CA123"/>
  <c r="BZ124"/>
  <c r="CA124"/>
  <c r="BZ125"/>
  <c r="CA125"/>
  <c r="A5" i="2" l="1"/>
  <c r="I7" i="18"/>
  <c r="J7"/>
  <c r="K7"/>
  <c r="H7"/>
  <c r="A4"/>
  <c r="F21" i="14"/>
  <c r="E13" i="28"/>
  <c r="E21" s="1"/>
  <c r="E27" s="1"/>
  <c r="D13"/>
  <c r="D21" s="1"/>
  <c r="D27" s="1"/>
  <c r="L17" i="13"/>
  <c r="L30" s="1"/>
  <c r="E17"/>
  <c r="E30" s="1"/>
  <c r="C39" i="3"/>
  <c r="C40"/>
  <c r="C41"/>
  <c r="C42"/>
  <c r="C44"/>
  <c r="C45"/>
  <c r="C32"/>
  <c r="B32"/>
  <c r="E5" i="1"/>
  <c r="C10" i="29"/>
  <c r="B10"/>
  <c r="G16"/>
  <c r="G14"/>
  <c r="H1"/>
  <c r="C1" i="3"/>
  <c r="A4" i="29"/>
  <c r="K124" i="4"/>
  <c r="L13" i="5" s="1"/>
  <c r="K123" i="4"/>
  <c r="L12" i="5" s="1"/>
  <c r="C10" i="2"/>
  <c r="D10"/>
  <c r="F10"/>
  <c r="G10"/>
  <c r="H10"/>
  <c r="J10"/>
  <c r="L10"/>
  <c r="C11"/>
  <c r="D11"/>
  <c r="F11"/>
  <c r="G11"/>
  <c r="H11"/>
  <c r="J11"/>
  <c r="L11"/>
  <c r="C12"/>
  <c r="D12"/>
  <c r="F12"/>
  <c r="G12"/>
  <c r="H12"/>
  <c r="J12"/>
  <c r="L12"/>
  <c r="C13"/>
  <c r="D13"/>
  <c r="F13"/>
  <c r="G13"/>
  <c r="H13"/>
  <c r="K13" s="1"/>
  <c r="J13"/>
  <c r="L13"/>
  <c r="F9"/>
  <c r="J44" i="1"/>
  <c r="K44"/>
  <c r="H44"/>
  <c r="I44"/>
  <c r="L9" i="2"/>
  <c r="J9"/>
  <c r="C26" i="5"/>
  <c r="D26"/>
  <c r="F26"/>
  <c r="G26"/>
  <c r="H26"/>
  <c r="J26"/>
  <c r="L26"/>
  <c r="C27"/>
  <c r="D27"/>
  <c r="F27"/>
  <c r="G27"/>
  <c r="H27"/>
  <c r="J27"/>
  <c r="L27"/>
  <c r="C28"/>
  <c r="D28"/>
  <c r="F28"/>
  <c r="G28"/>
  <c r="H28"/>
  <c r="K28" s="1"/>
  <c r="M28" s="1"/>
  <c r="J28"/>
  <c r="L28"/>
  <c r="C29"/>
  <c r="D29"/>
  <c r="F29"/>
  <c r="G29"/>
  <c r="H29"/>
  <c r="J29"/>
  <c r="L29"/>
  <c r="C30"/>
  <c r="D30"/>
  <c r="E30"/>
  <c r="F30"/>
  <c r="G30"/>
  <c r="H30"/>
  <c r="J30"/>
  <c r="L30"/>
  <c r="L25"/>
  <c r="J25"/>
  <c r="J31" s="1"/>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K21" s="1"/>
  <c r="M21" s="1"/>
  <c r="J21"/>
  <c r="L21"/>
  <c r="C22"/>
  <c r="D22"/>
  <c r="F22"/>
  <c r="G22"/>
  <c r="H22"/>
  <c r="J22"/>
  <c r="L22"/>
  <c r="C23"/>
  <c r="D23"/>
  <c r="F23"/>
  <c r="G23"/>
  <c r="I23" s="1"/>
  <c r="H23"/>
  <c r="J23"/>
  <c r="K23" s="1"/>
  <c r="L23"/>
  <c r="L16"/>
  <c r="J16"/>
  <c r="C12"/>
  <c r="D12"/>
  <c r="F12"/>
  <c r="G12"/>
  <c r="H12"/>
  <c r="J12"/>
  <c r="C13"/>
  <c r="D13"/>
  <c r="F13"/>
  <c r="G13"/>
  <c r="H13"/>
  <c r="J13"/>
  <c r="F10" i="29"/>
  <c r="K14" i="1"/>
  <c r="K31"/>
  <c r="K32" s="1"/>
  <c r="J14"/>
  <c r="J31"/>
  <c r="J32" s="1"/>
  <c r="H36"/>
  <c r="E36"/>
  <c r="D36"/>
  <c r="C36"/>
  <c r="I8"/>
  <c r="F8"/>
  <c r="E8"/>
  <c r="D8"/>
  <c r="F9" i="5"/>
  <c r="E9"/>
  <c r="D9"/>
  <c r="C9"/>
  <c r="E33" i="28" l="1"/>
  <c r="E39"/>
  <c r="E45" s="1"/>
  <c r="E51" s="1"/>
  <c r="D33"/>
  <c r="D39"/>
  <c r="D45" s="1"/>
  <c r="D51" s="1"/>
  <c r="K33" i="1"/>
  <c r="K17" i="5"/>
  <c r="M17" s="1"/>
  <c r="K30"/>
  <c r="K29"/>
  <c r="O29" s="1"/>
  <c r="M13" i="2"/>
  <c r="J24" i="5"/>
  <c r="J32" s="1"/>
  <c r="K19"/>
  <c r="I27"/>
  <c r="N23"/>
  <c r="I29"/>
  <c r="N29" s="1"/>
  <c r="K11" i="2"/>
  <c r="I10"/>
  <c r="K26" i="5"/>
  <c r="O26" s="1"/>
  <c r="I21"/>
  <c r="I17"/>
  <c r="I30"/>
  <c r="N30" s="1"/>
  <c r="I13" i="2"/>
  <c r="N13" s="1"/>
  <c r="K10"/>
  <c r="M10" s="1"/>
  <c r="O11"/>
  <c r="I11"/>
  <c r="N11" s="1"/>
  <c r="O13"/>
  <c r="O10"/>
  <c r="I13" i="5"/>
  <c r="O21"/>
  <c r="I12" i="2"/>
  <c r="O23" i="5"/>
  <c r="O17"/>
  <c r="O30"/>
  <c r="M11" i="2"/>
  <c r="L24" i="5"/>
  <c r="O19"/>
  <c r="I19"/>
  <c r="N19" s="1"/>
  <c r="L31"/>
  <c r="O28"/>
  <c r="I28"/>
  <c r="N28" s="1"/>
  <c r="M26"/>
  <c r="I12"/>
  <c r="I20"/>
  <c r="I26"/>
  <c r="N26" s="1"/>
  <c r="K12" i="2"/>
  <c r="O12" s="1"/>
  <c r="N21" i="5"/>
  <c r="M23"/>
  <c r="M19"/>
  <c r="M30"/>
  <c r="I22"/>
  <c r="I18"/>
  <c r="M29"/>
  <c r="K27"/>
  <c r="O27" s="1"/>
  <c r="N10" i="2"/>
  <c r="K22" i="5"/>
  <c r="O22" s="1"/>
  <c r="K20"/>
  <c r="K18"/>
  <c r="J33" i="1"/>
  <c r="L32" i="5" l="1"/>
  <c r="N17"/>
  <c r="N22"/>
  <c r="M22"/>
  <c r="N20"/>
  <c r="M20"/>
  <c r="N18"/>
  <c r="M18"/>
  <c r="N27"/>
  <c r="M27"/>
  <c r="N12" i="2"/>
  <c r="M12"/>
  <c r="O20" i="5"/>
  <c r="O18"/>
  <c r="B54" i="28"/>
  <c r="B53"/>
  <c r="B48"/>
  <c r="B47"/>
  <c r="B42"/>
  <c r="B41"/>
  <c r="B36"/>
  <c r="B35"/>
  <c r="E35" s="1"/>
  <c r="B30"/>
  <c r="E30" s="1"/>
  <c r="B29"/>
  <c r="B24"/>
  <c r="B23"/>
  <c r="D43"/>
  <c r="E43"/>
  <c r="E61"/>
  <c r="R45" i="13"/>
  <c r="E59" i="28"/>
  <c r="R43" i="13"/>
  <c r="E54" i="28"/>
  <c r="D54"/>
  <c r="E53"/>
  <c r="E55" s="1"/>
  <c r="D53"/>
  <c r="D55" s="1"/>
  <c r="B49"/>
  <c r="E48"/>
  <c r="D48"/>
  <c r="E47"/>
  <c r="E49" s="1"/>
  <c r="D47"/>
  <c r="B37"/>
  <c r="E36"/>
  <c r="D36"/>
  <c r="D35"/>
  <c r="B31"/>
  <c r="D30"/>
  <c r="E29"/>
  <c r="D29"/>
  <c r="E24"/>
  <c r="D24"/>
  <c r="E23"/>
  <c r="E25" s="1"/>
  <c r="D23"/>
  <c r="D25" l="1"/>
  <c r="D31"/>
  <c r="D37"/>
  <c r="D49"/>
  <c r="B25"/>
  <c r="B55"/>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O14"/>
  <c r="P14"/>
  <c r="P13"/>
  <c r="P21"/>
  <c r="P22"/>
  <c r="G29"/>
  <c r="G30"/>
  <c r="G31"/>
  <c r="G32"/>
  <c r="G33"/>
  <c r="G34"/>
  <c r="G35"/>
  <c r="G36"/>
  <c r="G37"/>
  <c r="G38"/>
  <c r="A5"/>
  <c r="F16" i="23"/>
  <c r="H40" i="22"/>
  <c r="I11" i="21"/>
  <c r="C34" i="20"/>
  <c r="E18" i="19"/>
  <c r="I14" i="18"/>
  <c r="I16"/>
  <c r="I14" i="17"/>
  <c r="P15" i="15"/>
  <c r="F69" i="14"/>
  <c r="F12" i="16"/>
  <c r="O34" i="10"/>
  <c r="F34"/>
  <c r="F34" i="12"/>
  <c r="Q35" i="11"/>
  <c r="L36" i="9"/>
  <c r="R22" i="7"/>
  <c r="B52" i="3"/>
  <c r="B54"/>
  <c r="L17" i="2"/>
  <c r="N35" i="5"/>
  <c r="H15" i="6"/>
  <c r="Q36" i="26"/>
  <c r="Q35"/>
  <c r="Q33"/>
  <c r="Q32"/>
  <c r="Q31"/>
  <c r="G28"/>
  <c r="P20"/>
  <c r="P19"/>
  <c r="P18"/>
  <c r="P17"/>
  <c r="P16"/>
  <c r="P15"/>
  <c r="P25"/>
  <c r="P12"/>
  <c r="P11"/>
  <c r="P10"/>
  <c r="P9"/>
  <c r="N16" i="25" l="1"/>
  <c r="N14"/>
  <c r="N12"/>
  <c r="Q28" i="26"/>
  <c r="O25"/>
  <c r="I21" i="14" l="1"/>
  <c r="B21" s="1"/>
  <c r="D31" i="1"/>
  <c r="E31"/>
  <c r="F31"/>
  <c r="G31"/>
  <c r="I31"/>
  <c r="C31"/>
  <c r="F156"/>
  <c r="M7" i="10" s="1"/>
  <c r="G156" i="1"/>
  <c r="N7" i="10" s="1"/>
  <c r="H156" i="1"/>
  <c r="O7" i="10" s="1"/>
  <c r="I156" i="1"/>
  <c r="P7" i="10" s="1"/>
  <c r="J156" i="1"/>
  <c r="Q7" i="10" s="1"/>
  <c r="E156" i="1"/>
  <c r="L7" i="10" s="1"/>
  <c r="D7"/>
  <c r="E7"/>
  <c r="F7"/>
  <c r="G7"/>
  <c r="H7"/>
  <c r="C7"/>
  <c r="G13" i="9"/>
  <c r="D11"/>
  <c r="D12"/>
  <c r="D13"/>
  <c r="D14"/>
  <c r="D15"/>
  <c r="D16"/>
  <c r="D17"/>
  <c r="D18"/>
  <c r="D19"/>
  <c r="D20"/>
  <c r="D21"/>
  <c r="D22"/>
  <c r="D23"/>
  <c r="D24"/>
  <c r="D25"/>
  <c r="D26"/>
  <c r="D27"/>
  <c r="D28"/>
  <c r="D29"/>
  <c r="D30"/>
  <c r="D31"/>
  <c r="D32"/>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J5" i="26"/>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A7" i="4" l="1"/>
  <c r="A5" i="9" s="1"/>
  <c r="A6" i="29"/>
  <c r="N17" i="25"/>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B10" i="28" s="1"/>
  <c r="C9" i="13"/>
  <c r="B9" i="28" s="1"/>
  <c r="C8" i="13"/>
  <c r="B8" i="28" s="1"/>
  <c r="C7" i="13"/>
  <c r="B7" i="28" s="1"/>
  <c r="C25" i="13"/>
  <c r="C24"/>
  <c r="C23"/>
  <c r="C22"/>
  <c r="B17" i="28" s="1"/>
  <c r="D17" s="1"/>
  <c r="E17" s="1"/>
  <c r="C21" i="13"/>
  <c r="B16" i="28" s="1"/>
  <c r="D16" s="1"/>
  <c r="E16" s="1"/>
  <c r="C20" i="13"/>
  <c r="B15" i="28" s="1"/>
  <c r="D15" s="1"/>
  <c r="E15" s="1"/>
  <c r="N38" i="13"/>
  <c r="G38"/>
  <c r="N37"/>
  <c r="G37"/>
  <c r="E37"/>
  <c r="N36"/>
  <c r="G36"/>
  <c r="N35"/>
  <c r="G35"/>
  <c r="N34"/>
  <c r="G34"/>
  <c r="N33"/>
  <c r="G33"/>
  <c r="E33"/>
  <c r="K33" s="1"/>
  <c r="G25"/>
  <c r="E25"/>
  <c r="K25" s="1"/>
  <c r="N24"/>
  <c r="L24"/>
  <c r="R24" s="1"/>
  <c r="G24"/>
  <c r="E24"/>
  <c r="K24" s="1"/>
  <c r="G23"/>
  <c r="N22"/>
  <c r="L22"/>
  <c r="G22"/>
  <c r="E22"/>
  <c r="N21"/>
  <c r="L21"/>
  <c r="G21"/>
  <c r="N20"/>
  <c r="G20"/>
  <c r="E20"/>
  <c r="K20" s="1"/>
  <c r="G12"/>
  <c r="E12"/>
  <c r="K12" s="1"/>
  <c r="N11"/>
  <c r="G11"/>
  <c r="E11"/>
  <c r="K11" s="1"/>
  <c r="G10"/>
  <c r="E10"/>
  <c r="K10" s="1"/>
  <c r="N9"/>
  <c r="G9"/>
  <c r="N8"/>
  <c r="G8"/>
  <c r="E8"/>
  <c r="N7"/>
  <c r="G7"/>
  <c r="E9" i="12"/>
  <c r="E10"/>
  <c r="E11"/>
  <c r="E12"/>
  <c r="E13"/>
  <c r="E14"/>
  <c r="E15"/>
  <c r="E16"/>
  <c r="E17"/>
  <c r="E18"/>
  <c r="E19"/>
  <c r="E20"/>
  <c r="E21"/>
  <c r="E22"/>
  <c r="E23"/>
  <c r="E24"/>
  <c r="E25"/>
  <c r="E26"/>
  <c r="E27"/>
  <c r="E28"/>
  <c r="E29"/>
  <c r="E30"/>
  <c r="E7"/>
  <c r="C9"/>
  <c r="C10"/>
  <c r="C11"/>
  <c r="C12"/>
  <c r="C13"/>
  <c r="C14"/>
  <c r="C15"/>
  <c r="C16"/>
  <c r="C17"/>
  <c r="C18"/>
  <c r="C19"/>
  <c r="C20"/>
  <c r="C21"/>
  <c r="C22"/>
  <c r="C23"/>
  <c r="C24"/>
  <c r="C25"/>
  <c r="C26"/>
  <c r="C27"/>
  <c r="C28"/>
  <c r="C29"/>
  <c r="C30"/>
  <c r="C7"/>
  <c r="F36"/>
  <c r="G31"/>
  <c r="F31"/>
  <c r="L23" i="13" l="1"/>
  <c r="R23" s="1"/>
  <c r="B18" i="28"/>
  <c r="D18" s="1"/>
  <c r="E18" s="1"/>
  <c r="D8"/>
  <c r="E8"/>
  <c r="E21" i="13"/>
  <c r="K21" s="1"/>
  <c r="E7" i="28"/>
  <c r="D7"/>
  <c r="B11"/>
  <c r="D10"/>
  <c r="E10"/>
  <c r="E9"/>
  <c r="D9"/>
  <c r="I7" i="21"/>
  <c r="K8" i="13"/>
  <c r="K35"/>
  <c r="R21"/>
  <c r="K22"/>
  <c r="R22"/>
  <c r="K37"/>
  <c r="J10" i="17"/>
  <c r="K9"/>
  <c r="K10" s="1"/>
  <c r="I10"/>
  <c r="J10" i="18"/>
  <c r="K9"/>
  <c r="K10" s="1"/>
  <c r="I10"/>
  <c r="E38" i="13"/>
  <c r="K38" s="1"/>
  <c r="L37"/>
  <c r="R37" s="1"/>
  <c r="E36"/>
  <c r="K36" s="1"/>
  <c r="L35"/>
  <c r="R35" s="1"/>
  <c r="E34"/>
  <c r="K34" s="1"/>
  <c r="L33"/>
  <c r="R33" s="1"/>
  <c r="L11"/>
  <c r="R11" s="1"/>
  <c r="L10"/>
  <c r="R10" s="1"/>
  <c r="E9"/>
  <c r="K9" s="1"/>
  <c r="L8"/>
  <c r="R8" s="1"/>
  <c r="E7"/>
  <c r="K7" s="1"/>
  <c r="K13" s="1"/>
  <c r="L25"/>
  <c r="R25" s="1"/>
  <c r="E23"/>
  <c r="K23" s="1"/>
  <c r="L20"/>
  <c r="R20" s="1"/>
  <c r="R26" s="1"/>
  <c r="L12"/>
  <c r="R12" s="1"/>
  <c r="K39" l="1"/>
  <c r="K26"/>
  <c r="L36"/>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1"/>
  <c r="G12"/>
  <c r="G14"/>
  <c r="G15"/>
  <c r="G16"/>
  <c r="J16" s="1"/>
  <c r="G17"/>
  <c r="G18"/>
  <c r="G19"/>
  <c r="G20"/>
  <c r="G21"/>
  <c r="G22"/>
  <c r="G23"/>
  <c r="G24"/>
  <c r="G25"/>
  <c r="G26"/>
  <c r="G27"/>
  <c r="D10" i="15" s="1"/>
  <c r="D11" s="1"/>
  <c r="G28" i="9"/>
  <c r="G29"/>
  <c r="G30"/>
  <c r="G31"/>
  <c r="B31" s="1"/>
  <c r="A29" i="12" s="1"/>
  <c r="G32" i="9"/>
  <c r="E10" i="15" s="1"/>
  <c r="E11" s="1"/>
  <c r="Q37" i="11"/>
  <c r="BT119" i="4"/>
  <c r="BT110"/>
  <c r="BT111"/>
  <c r="BT112"/>
  <c r="BT113"/>
  <c r="BT116"/>
  <c r="BT117"/>
  <c r="BT118"/>
  <c r="O36" i="10"/>
  <c r="F36"/>
  <c r="L38" i="9"/>
  <c r="R24" i="7"/>
  <c r="P29" i="10"/>
  <c r="P30" s="1"/>
  <c r="G29"/>
  <c r="G30" s="1"/>
  <c r="E29"/>
  <c r="E30" s="1"/>
  <c r="C29"/>
  <c r="C30" s="1"/>
  <c r="N29"/>
  <c r="N30" s="1"/>
  <c r="F29"/>
  <c r="F30" s="1"/>
  <c r="A9" i="9" l="1"/>
  <c r="B9" s="1"/>
  <c r="B11"/>
  <c r="A9" i="12" s="1"/>
  <c r="B20" i="9"/>
  <c r="A18" i="12" s="1"/>
  <c r="B18" i="9"/>
  <c r="A16" i="12" s="1"/>
  <c r="B16" i="9"/>
  <c r="A14" i="12" s="1"/>
  <c r="B14" i="9"/>
  <c r="A12" i="12" s="1"/>
  <c r="B23" i="9"/>
  <c r="A21" i="12" s="1"/>
  <c r="B21" i="9"/>
  <c r="A19" i="12" s="1"/>
  <c r="B17" i="9"/>
  <c r="A15" i="12" s="1"/>
  <c r="B15" i="9"/>
  <c r="A13" i="12" s="1"/>
  <c r="B12" i="9"/>
  <c r="A10" i="12" s="1"/>
  <c r="H29" i="10"/>
  <c r="H30" s="1"/>
  <c r="C10" i="15"/>
  <c r="J9" i="9"/>
  <c r="J31"/>
  <c r="J29"/>
  <c r="J27"/>
  <c r="J25"/>
  <c r="J23"/>
  <c r="Q23" s="1"/>
  <c r="J21"/>
  <c r="J19"/>
  <c r="J17"/>
  <c r="J15"/>
  <c r="J13"/>
  <c r="J11"/>
  <c r="J32"/>
  <c r="J30"/>
  <c r="J28"/>
  <c r="J26"/>
  <c r="J24"/>
  <c r="J22"/>
  <c r="J20"/>
  <c r="J18"/>
  <c r="Q16"/>
  <c r="J14"/>
  <c r="J12"/>
  <c r="Q12" s="1"/>
  <c r="D29" i="10"/>
  <c r="D30" s="1"/>
  <c r="L29"/>
  <c r="L30" s="1"/>
  <c r="Q29"/>
  <c r="Q30" s="1"/>
  <c r="O29"/>
  <c r="O30" s="1"/>
  <c r="M29"/>
  <c r="M30" s="1"/>
  <c r="Q26" i="9" l="1"/>
  <c r="AO6" i="30"/>
  <c r="Q27" i="9"/>
  <c r="AX6" i="30"/>
  <c r="Q24" i="9"/>
  <c r="AR6" i="30"/>
  <c r="Q32" i="9"/>
  <c r="BY6" i="30"/>
  <c r="Q17" i="9"/>
  <c r="W6" i="30"/>
  <c r="Q25" i="9"/>
  <c r="AL6" i="30"/>
  <c r="Q11" i="9"/>
  <c r="K6" i="30"/>
  <c r="Q22" i="9"/>
  <c r="AI6" i="30"/>
  <c r="Q30" i="9"/>
  <c r="BS6" i="30"/>
  <c r="Q15" i="9"/>
  <c r="Q6" i="30"/>
  <c r="Q31" i="9"/>
  <c r="BV6" i="30"/>
  <c r="Q18" i="9"/>
  <c r="AU6" i="30"/>
  <c r="Q19" i="9"/>
  <c r="Z6" i="30"/>
  <c r="Q14" i="9"/>
  <c r="T6" i="30"/>
  <c r="Q20" i="9"/>
  <c r="AF6" i="30"/>
  <c r="Q28" i="9"/>
  <c r="BM6" i="30"/>
  <c r="Q13" i="9"/>
  <c r="N6" i="30"/>
  <c r="Q21" i="9"/>
  <c r="AC6" i="30"/>
  <c r="Q29" i="9"/>
  <c r="BP6" i="30"/>
  <c r="A7" i="12"/>
  <c r="Q9" i="9"/>
  <c r="E6" i="30"/>
  <c r="A11" i="9"/>
  <c r="C11" i="15"/>
  <c r="F10"/>
  <c r="F11" s="1"/>
  <c r="CB6" i="30" l="1"/>
  <c r="I33" i="9"/>
  <c r="H33"/>
  <c r="A12"/>
  <c r="M37" i="5"/>
  <c r="H25"/>
  <c r="G25"/>
  <c r="G31" s="1"/>
  <c r="F25"/>
  <c r="F31" s="1"/>
  <c r="D25"/>
  <c r="D31" s="1"/>
  <c r="C25"/>
  <c r="C31" s="1"/>
  <c r="H16"/>
  <c r="G16"/>
  <c r="F16"/>
  <c r="F24" s="1"/>
  <c r="F32" s="1"/>
  <c r="D16"/>
  <c r="D24" s="1"/>
  <c r="C16"/>
  <c r="C24" s="1"/>
  <c r="E10" i="29"/>
  <c r="F11" i="5"/>
  <c r="D10" i="29" s="1"/>
  <c r="H11" i="1"/>
  <c r="K144"/>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H32" s="1"/>
  <c r="K16"/>
  <c r="I16"/>
  <c r="I24" s="1"/>
  <c r="G24"/>
  <c r="G32" s="1"/>
  <c r="D5" i="25"/>
  <c r="D7" i="24"/>
  <c r="C4" i="23"/>
  <c r="A4" i="22"/>
  <c r="A4" i="21"/>
  <c r="A6" i="17"/>
  <c r="A5" i="10"/>
  <c r="A4" i="12"/>
  <c r="B7" s="1"/>
  <c r="J5" i="10"/>
  <c r="A5" i="11"/>
  <c r="A13" i="9"/>
  <c r="G33"/>
  <c r="M16" i="5" l="1"/>
  <c r="M24" s="1"/>
  <c r="N16"/>
  <c r="N24" s="1"/>
  <c r="K24"/>
  <c r="O16"/>
  <c r="O24" s="1"/>
  <c r="M25"/>
  <c r="M31" s="1"/>
  <c r="K31"/>
  <c r="O25"/>
  <c r="O31" s="1"/>
  <c r="A14" i="9"/>
  <c r="A15" s="1"/>
  <c r="A16" s="1"/>
  <c r="A17" s="1"/>
  <c r="A18" s="1"/>
  <c r="A19" s="1"/>
  <c r="B19" s="1"/>
  <c r="A17" i="12" s="1"/>
  <c r="B13" i="9"/>
  <c r="A11" i="12" s="1"/>
  <c r="J33" i="9"/>
  <c r="O32" i="5" l="1"/>
  <c r="M32"/>
  <c r="K32"/>
  <c r="A20" i="9"/>
  <c r="A21" s="1"/>
  <c r="A22"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BR65" s="1"/>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7"/>
  <c r="CR69"/>
  <c r="CR70"/>
  <c r="CR71"/>
  <c r="CR72"/>
  <c r="CR73"/>
  <c r="CR74"/>
  <c r="CR76"/>
  <c r="CR77"/>
  <c r="CR78"/>
  <c r="CR79"/>
  <c r="CR80"/>
  <c r="CR81"/>
  <c r="CR82"/>
  <c r="CR83"/>
  <c r="CR85"/>
  <c r="CR87"/>
  <c r="CR89"/>
  <c r="CR91"/>
  <c r="CR93"/>
  <c r="CR95"/>
  <c r="CR97"/>
  <c r="CR99"/>
  <c r="CR101"/>
  <c r="CR61"/>
  <c r="DD60"/>
  <c r="CR60" s="1"/>
  <c r="CR66" s="1"/>
  <c r="CQ61"/>
  <c r="CQ62"/>
  <c r="CQ63"/>
  <c r="CE63" s="1"/>
  <c r="CQ64"/>
  <c r="CQ65"/>
  <c r="CE65" s="1"/>
  <c r="CQ66"/>
  <c r="CQ67"/>
  <c r="CQ68"/>
  <c r="CQ69"/>
  <c r="CQ70"/>
  <c r="CQ71"/>
  <c r="CQ72"/>
  <c r="CQ73"/>
  <c r="CQ74"/>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CE74" l="1"/>
  <c r="F113" i="4" s="1"/>
  <c r="CR65" i="1"/>
  <c r="AR62"/>
  <c r="AR63" s="1"/>
  <c r="A23" i="9"/>
  <c r="A24" s="1"/>
  <c r="A25" s="1"/>
  <c r="B25" s="1"/>
  <c r="A23" i="12" s="1"/>
  <c r="B22" i="9"/>
  <c r="A20" i="12" s="1"/>
  <c r="AE61" i="1"/>
  <c r="AE62" s="1"/>
  <c r="AE63" s="1"/>
  <c r="BR67"/>
  <c r="G12" i="4"/>
  <c r="W12"/>
  <c r="V13"/>
  <c r="S12"/>
  <c r="S13"/>
  <c r="V12"/>
  <c r="BR72" i="1"/>
  <c r="CR68"/>
  <c r="C111" i="4"/>
  <c r="E112"/>
  <c r="C110"/>
  <c r="D111"/>
  <c r="F112"/>
  <c r="B110"/>
  <c r="BE64" i="1"/>
  <c r="E88" i="4" s="1"/>
  <c r="M13"/>
  <c r="E12"/>
  <c r="G13"/>
  <c r="CB13" s="1"/>
  <c r="E13"/>
  <c r="C13"/>
  <c r="B12"/>
  <c r="M12"/>
  <c r="F12"/>
  <c r="F13"/>
  <c r="F10" i="26" s="1"/>
  <c r="N10" s="1"/>
  <c r="D13" i="4"/>
  <c r="B13"/>
  <c r="BR75" i="1"/>
  <c r="J12" i="4" l="1"/>
  <c r="AD12"/>
  <c r="L12" s="1"/>
  <c r="H12"/>
  <c r="E7" i="14" s="1"/>
  <c r="E9" i="26"/>
  <c r="BZ12" i="4"/>
  <c r="CB12"/>
  <c r="BZ13"/>
  <c r="CA13"/>
  <c r="H13"/>
  <c r="E8" i="14" s="1"/>
  <c r="CA12" i="4"/>
  <c r="G110"/>
  <c r="B113"/>
  <c r="F111"/>
  <c r="H111" s="1"/>
  <c r="F110"/>
  <c r="G112"/>
  <c r="E111"/>
  <c r="E110"/>
  <c r="D113"/>
  <c r="B112"/>
  <c r="D110"/>
  <c r="C113"/>
  <c r="BY113" s="1"/>
  <c r="G111"/>
  <c r="G113"/>
  <c r="D112"/>
  <c r="B111"/>
  <c r="E113"/>
  <c r="C112"/>
  <c r="BU112" s="1"/>
  <c r="CR75" i="1"/>
  <c r="E119" i="4" s="1"/>
  <c r="BH119" s="1"/>
  <c r="BV12"/>
  <c r="G99"/>
  <c r="W13"/>
  <c r="AR64" i="1"/>
  <c r="AR65" s="1"/>
  <c r="D98" i="4"/>
  <c r="B98"/>
  <c r="C98"/>
  <c r="BY98" s="1"/>
  <c r="G98"/>
  <c r="E98"/>
  <c r="F98"/>
  <c r="J98" s="1"/>
  <c r="A26" i="9"/>
  <c r="B24"/>
  <c r="A22" i="12" s="1"/>
  <c r="C8" i="14"/>
  <c r="B10" i="26"/>
  <c r="C7" i="14"/>
  <c r="B9" i="26"/>
  <c r="D8" i="14"/>
  <c r="E10" i="26"/>
  <c r="F9"/>
  <c r="N9" s="1"/>
  <c r="BY13" i="4"/>
  <c r="D10" i="26"/>
  <c r="BV13" i="4"/>
  <c r="G10" i="26"/>
  <c r="H10" s="1"/>
  <c r="I12" i="4"/>
  <c r="G9" i="26"/>
  <c r="H9" s="1"/>
  <c r="D7" i="14"/>
  <c r="W16" i="4"/>
  <c r="F14"/>
  <c r="F11" i="26" s="1"/>
  <c r="N11" s="1"/>
  <c r="M14" i="4"/>
  <c r="BS14" s="1"/>
  <c r="B14"/>
  <c r="E14"/>
  <c r="F28"/>
  <c r="F15" i="26" s="1"/>
  <c r="N15" s="1"/>
  <c r="E28" i="4"/>
  <c r="W25"/>
  <c r="V24"/>
  <c r="S23"/>
  <c r="W21"/>
  <c r="V20"/>
  <c r="S19"/>
  <c r="W17"/>
  <c r="V16"/>
  <c r="W24"/>
  <c r="V23"/>
  <c r="S22"/>
  <c r="W20"/>
  <c r="V19"/>
  <c r="S18"/>
  <c r="F95"/>
  <c r="M95" s="1"/>
  <c r="B95"/>
  <c r="C94"/>
  <c r="BY94" s="1"/>
  <c r="D93"/>
  <c r="E92"/>
  <c r="BH92" s="1"/>
  <c r="F91"/>
  <c r="M91" s="1"/>
  <c r="B91"/>
  <c r="C90"/>
  <c r="BY90" s="1"/>
  <c r="D89"/>
  <c r="E95"/>
  <c r="BH95" s="1"/>
  <c r="F94"/>
  <c r="G94" s="1"/>
  <c r="B94"/>
  <c r="C93"/>
  <c r="BY93" s="1"/>
  <c r="D92"/>
  <c r="E91"/>
  <c r="BH91" s="1"/>
  <c r="F90"/>
  <c r="G90" s="1"/>
  <c r="B90"/>
  <c r="C89"/>
  <c r="BY89" s="1"/>
  <c r="D88"/>
  <c r="B88"/>
  <c r="G28"/>
  <c r="CB28" s="1"/>
  <c r="B28"/>
  <c r="W28"/>
  <c r="V14"/>
  <c r="S15"/>
  <c r="W15"/>
  <c r="S14"/>
  <c r="W14"/>
  <c r="V15"/>
  <c r="D14"/>
  <c r="C14"/>
  <c r="G14"/>
  <c r="CB14" s="1"/>
  <c r="M28"/>
  <c r="BS28" s="1"/>
  <c r="S25"/>
  <c r="W23"/>
  <c r="V22"/>
  <c r="S21"/>
  <c r="W19"/>
  <c r="V18"/>
  <c r="S17"/>
  <c r="V25"/>
  <c r="S24"/>
  <c r="W22"/>
  <c r="V21"/>
  <c r="S20"/>
  <c r="W18"/>
  <c r="V17"/>
  <c r="S16"/>
  <c r="D95"/>
  <c r="E94"/>
  <c r="BH94" s="1"/>
  <c r="F93"/>
  <c r="M93" s="1"/>
  <c r="B93"/>
  <c r="C92"/>
  <c r="BY92" s="1"/>
  <c r="D91"/>
  <c r="E90"/>
  <c r="BH90" s="1"/>
  <c r="F89"/>
  <c r="I89" s="1"/>
  <c r="B89"/>
  <c r="C95"/>
  <c r="BY95" s="1"/>
  <c r="D94"/>
  <c r="E93"/>
  <c r="BH93" s="1"/>
  <c r="F92"/>
  <c r="K92" s="1"/>
  <c r="B92"/>
  <c r="C91"/>
  <c r="BY91" s="1"/>
  <c r="D90"/>
  <c r="E89"/>
  <c r="BH89" s="1"/>
  <c r="F88"/>
  <c r="C88"/>
  <c r="BY88" s="1"/>
  <c r="V28"/>
  <c r="BW12"/>
  <c r="BS12"/>
  <c r="Q13"/>
  <c r="BW13"/>
  <c r="BX13" s="1"/>
  <c r="BS13"/>
  <c r="BY112"/>
  <c r="BU110"/>
  <c r="BY110"/>
  <c r="BU111"/>
  <c r="BY111"/>
  <c r="I112"/>
  <c r="L112"/>
  <c r="H112"/>
  <c r="J112"/>
  <c r="M112"/>
  <c r="BO112" s="1"/>
  <c r="BP112" s="1"/>
  <c r="K112"/>
  <c r="BV110"/>
  <c r="AE113"/>
  <c r="AI113"/>
  <c r="AS113"/>
  <c r="AY113"/>
  <c r="BF113"/>
  <c r="BK113"/>
  <c r="AF113"/>
  <c r="AL113"/>
  <c r="AV113"/>
  <c r="AZ113"/>
  <c r="BJ113"/>
  <c r="BV113"/>
  <c r="AG113"/>
  <c r="AN113"/>
  <c r="AW113"/>
  <c r="BA113"/>
  <c r="BI113"/>
  <c r="AD113"/>
  <c r="AH113"/>
  <c r="AR113"/>
  <c r="AX113"/>
  <c r="BD113"/>
  <c r="BN113"/>
  <c r="M111"/>
  <c r="BQ111" s="1"/>
  <c r="BR111" s="1"/>
  <c r="I110"/>
  <c r="M110"/>
  <c r="AD110" s="1"/>
  <c r="J110"/>
  <c r="H110"/>
  <c r="BH113"/>
  <c r="AD112"/>
  <c r="AH112"/>
  <c r="AR112"/>
  <c r="AX112"/>
  <c r="BD112"/>
  <c r="BN112"/>
  <c r="AG112"/>
  <c r="AN112"/>
  <c r="AW112"/>
  <c r="BA112"/>
  <c r="BI112"/>
  <c r="AF112"/>
  <c r="AL112"/>
  <c r="AV112"/>
  <c r="AZ112"/>
  <c r="BJ112"/>
  <c r="BV112"/>
  <c r="AE112"/>
  <c r="AI112"/>
  <c r="AS112"/>
  <c r="AY112"/>
  <c r="BF112"/>
  <c r="BK112"/>
  <c r="I113"/>
  <c r="H113"/>
  <c r="L113"/>
  <c r="J113"/>
  <c r="M113"/>
  <c r="K113"/>
  <c r="M98"/>
  <c r="BO98" s="1"/>
  <c r="I98"/>
  <c r="F106"/>
  <c r="L106" s="1"/>
  <c r="B106"/>
  <c r="E105"/>
  <c r="BH105" s="1"/>
  <c r="F104"/>
  <c r="J104" s="1"/>
  <c r="B104"/>
  <c r="D103"/>
  <c r="F102"/>
  <c r="I102" s="1"/>
  <c r="B102"/>
  <c r="E101"/>
  <c r="F100"/>
  <c r="J100" s="1"/>
  <c r="B100"/>
  <c r="E106"/>
  <c r="BH106" s="1"/>
  <c r="F105"/>
  <c r="B105"/>
  <c r="E104"/>
  <c r="BH104" s="1"/>
  <c r="G103"/>
  <c r="C103"/>
  <c r="BY103" s="1"/>
  <c r="E102"/>
  <c r="BH102" s="1"/>
  <c r="F101"/>
  <c r="B101"/>
  <c r="E100"/>
  <c r="F99"/>
  <c r="D106"/>
  <c r="G105"/>
  <c r="C105"/>
  <c r="BY105" s="1"/>
  <c r="D104"/>
  <c r="F103"/>
  <c r="L103" s="1"/>
  <c r="B103"/>
  <c r="D102"/>
  <c r="G101"/>
  <c r="C101"/>
  <c r="BY101" s="1"/>
  <c r="D100"/>
  <c r="G106"/>
  <c r="C106"/>
  <c r="BY106" s="1"/>
  <c r="D105"/>
  <c r="G104"/>
  <c r="C104"/>
  <c r="BY104" s="1"/>
  <c r="E103"/>
  <c r="BH103" s="1"/>
  <c r="G102"/>
  <c r="C102"/>
  <c r="BY102" s="1"/>
  <c r="D101"/>
  <c r="G100"/>
  <c r="C100"/>
  <c r="BY100" s="1"/>
  <c r="E99"/>
  <c r="D99"/>
  <c r="C99"/>
  <c r="BY99" s="1"/>
  <c r="BH112"/>
  <c r="AD111"/>
  <c r="BF111" s="1"/>
  <c r="BV111"/>
  <c r="B99"/>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CB16" s="1"/>
  <c r="E17"/>
  <c r="D12" i="14" s="1"/>
  <c r="C18" i="4"/>
  <c r="BY18" s="1"/>
  <c r="G18"/>
  <c r="CB18" s="1"/>
  <c r="E19"/>
  <c r="D14" i="14" s="1"/>
  <c r="C20" i="4"/>
  <c r="BY20" s="1"/>
  <c r="G20"/>
  <c r="CB20" s="1"/>
  <c r="E21"/>
  <c r="D16" i="14" s="1"/>
  <c r="C22" i="4"/>
  <c r="BY22" s="1"/>
  <c r="G22"/>
  <c r="CB22" s="1"/>
  <c r="E23"/>
  <c r="D18" i="14" s="1"/>
  <c r="C24" i="4"/>
  <c r="BY24" s="1"/>
  <c r="G24"/>
  <c r="CB24" s="1"/>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CB15" s="1"/>
  <c r="E16"/>
  <c r="C17"/>
  <c r="BY17" s="1"/>
  <c r="G17"/>
  <c r="CB17" s="1"/>
  <c r="E18"/>
  <c r="D13" i="14" s="1"/>
  <c r="C19" i="4"/>
  <c r="BY19" s="1"/>
  <c r="G19"/>
  <c r="CB19" s="1"/>
  <c r="E20"/>
  <c r="D15" i="14" s="1"/>
  <c r="C21" i="4"/>
  <c r="BY21" s="1"/>
  <c r="G21"/>
  <c r="CB21" s="1"/>
  <c r="E22"/>
  <c r="D17" i="14" s="1"/>
  <c r="C23" i="4"/>
  <c r="BY23" s="1"/>
  <c r="G23"/>
  <c r="CB23" s="1"/>
  <c r="E24"/>
  <c r="D19" i="14" s="1"/>
  <c r="C25" i="4"/>
  <c r="BY25" s="1"/>
  <c r="G25"/>
  <c r="CB25" s="1"/>
  <c r="F117" l="1"/>
  <c r="H98"/>
  <c r="L89"/>
  <c r="BU113"/>
  <c r="I111"/>
  <c r="J111"/>
  <c r="K111" s="1"/>
  <c r="AG111" s="1"/>
  <c r="K12"/>
  <c r="CA14"/>
  <c r="BZ14"/>
  <c r="H14"/>
  <c r="E9" i="14" s="1"/>
  <c r="BZ21" i="4"/>
  <c r="CA21"/>
  <c r="H21"/>
  <c r="CA18"/>
  <c r="BZ18"/>
  <c r="H18"/>
  <c r="AE105"/>
  <c r="BZ105"/>
  <c r="CA105"/>
  <c r="AZ103"/>
  <c r="BZ103"/>
  <c r="CA103"/>
  <c r="BZ17"/>
  <c r="CA17"/>
  <c r="H17"/>
  <c r="G13" i="26"/>
  <c r="H13" s="1"/>
  <c r="CA16" i="4"/>
  <c r="BZ16"/>
  <c r="H16"/>
  <c r="BF106"/>
  <c r="CA106"/>
  <c r="BZ106"/>
  <c r="CA28"/>
  <c r="BZ28"/>
  <c r="H28"/>
  <c r="J28"/>
  <c r="CA20"/>
  <c r="BZ20"/>
  <c r="H20"/>
  <c r="BF102"/>
  <c r="CA102"/>
  <c r="BZ102"/>
  <c r="BZ19"/>
  <c r="CA19"/>
  <c r="H19"/>
  <c r="AY104"/>
  <c r="CA104"/>
  <c r="BZ104"/>
  <c r="BZ25"/>
  <c r="CA25"/>
  <c r="H25"/>
  <c r="CA24"/>
  <c r="BZ24"/>
  <c r="H24"/>
  <c r="BZ23"/>
  <c r="CA23"/>
  <c r="H23"/>
  <c r="G12" i="26"/>
  <c r="H12" s="1"/>
  <c r="BZ15" i="4"/>
  <c r="CA15"/>
  <c r="H15"/>
  <c r="CA22"/>
  <c r="BZ22"/>
  <c r="H22"/>
  <c r="CA100"/>
  <c r="BZ100"/>
  <c r="BZ101"/>
  <c r="CA101"/>
  <c r="BZ111"/>
  <c r="CA111"/>
  <c r="BZ113"/>
  <c r="CA113"/>
  <c r="CA112"/>
  <c r="BZ112"/>
  <c r="CA110"/>
  <c r="BZ110"/>
  <c r="C116"/>
  <c r="E118"/>
  <c r="E116"/>
  <c r="D116"/>
  <c r="F116"/>
  <c r="G119"/>
  <c r="AE119" s="1"/>
  <c r="B116"/>
  <c r="F119"/>
  <c r="M119" s="1"/>
  <c r="BS119" s="1"/>
  <c r="G116"/>
  <c r="B118"/>
  <c r="B117"/>
  <c r="E117"/>
  <c r="C119"/>
  <c r="BY119" s="1"/>
  <c r="G118"/>
  <c r="D118"/>
  <c r="F118"/>
  <c r="L118" s="1"/>
  <c r="C118"/>
  <c r="D119"/>
  <c r="B119"/>
  <c r="G117"/>
  <c r="BV117" s="1"/>
  <c r="H117"/>
  <c r="I117"/>
  <c r="M117"/>
  <c r="J117"/>
  <c r="C117"/>
  <c r="BU117" s="1"/>
  <c r="D117"/>
  <c r="AN111"/>
  <c r="L111"/>
  <c r="AH111"/>
  <c r="BH111"/>
  <c r="Q28"/>
  <c r="Q22"/>
  <c r="I8" i="14"/>
  <c r="F8"/>
  <c r="I7"/>
  <c r="A7" s="1"/>
  <c r="B7" s="1"/>
  <c r="F7"/>
  <c r="G7" s="1"/>
  <c r="S28" i="4"/>
  <c r="AP28" s="1"/>
  <c r="AR66" i="1"/>
  <c r="AR67" s="1"/>
  <c r="AR68" s="1"/>
  <c r="S29" i="4" s="1"/>
  <c r="BO95"/>
  <c r="G95"/>
  <c r="AE95" s="1"/>
  <c r="A27" i="9"/>
  <c r="B27" s="1"/>
  <c r="A25" i="12" s="1"/>
  <c r="B26" i="9"/>
  <c r="A24" i="12" s="1"/>
  <c r="G92" i="4"/>
  <c r="BJ92" s="1"/>
  <c r="L95"/>
  <c r="J95"/>
  <c r="H94"/>
  <c r="M94"/>
  <c r="BO94" s="1"/>
  <c r="L94"/>
  <c r="BI119"/>
  <c r="J14"/>
  <c r="K90"/>
  <c r="K91"/>
  <c r="M89"/>
  <c r="BO89" s="1"/>
  <c r="L90"/>
  <c r="L91"/>
  <c r="AG119"/>
  <c r="BF119"/>
  <c r="BV14"/>
  <c r="G11" i="26"/>
  <c r="H11"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Q9"/>
  <c r="K9"/>
  <c r="Q10"/>
  <c r="R10" s="1"/>
  <c r="K10"/>
  <c r="L10" s="1"/>
  <c r="I10"/>
  <c r="AD14" i="4"/>
  <c r="BH14" s="1"/>
  <c r="G89"/>
  <c r="BA89" s="1"/>
  <c r="I90"/>
  <c r="I91"/>
  <c r="G91"/>
  <c r="AW91" s="1"/>
  <c r="BN119"/>
  <c r="AH119"/>
  <c r="AW119"/>
  <c r="BJ119"/>
  <c r="AF119"/>
  <c r="AS119"/>
  <c r="Q14"/>
  <c r="H93"/>
  <c r="AY105"/>
  <c r="BI104"/>
  <c r="AD105"/>
  <c r="AE103"/>
  <c r="M104"/>
  <c r="BW104" s="1"/>
  <c r="BX104" s="1"/>
  <c r="AG104"/>
  <c r="BF104"/>
  <c r="AW105"/>
  <c r="BF103"/>
  <c r="I100"/>
  <c r="K104"/>
  <c r="H104"/>
  <c r="I14"/>
  <c r="AP14"/>
  <c r="H89"/>
  <c r="K89"/>
  <c r="J89"/>
  <c r="J90"/>
  <c r="M90"/>
  <c r="BO90" s="1"/>
  <c r="H90"/>
  <c r="J91"/>
  <c r="H91"/>
  <c r="BD119"/>
  <c r="AR119"/>
  <c r="AD119"/>
  <c r="BA119"/>
  <c r="AN119"/>
  <c r="BV119"/>
  <c r="AZ119"/>
  <c r="AL119"/>
  <c r="BK119"/>
  <c r="AY119"/>
  <c r="BY117"/>
  <c r="BW28"/>
  <c r="BX28" s="1"/>
  <c r="BO93"/>
  <c r="AZ104"/>
  <c r="AE104"/>
  <c r="BF105"/>
  <c r="AH105"/>
  <c r="AD103"/>
  <c r="AN103"/>
  <c r="AW103"/>
  <c r="H100"/>
  <c r="K100" s="1"/>
  <c r="K13"/>
  <c r="H92"/>
  <c r="J93"/>
  <c r="J94"/>
  <c r="I94"/>
  <c r="K94"/>
  <c r="K95"/>
  <c r="I95"/>
  <c r="H95"/>
  <c r="BW117"/>
  <c r="BX117" s="1"/>
  <c r="BU119"/>
  <c r="BW14"/>
  <c r="BX14" s="1"/>
  <c r="I92"/>
  <c r="J92"/>
  <c r="K93"/>
  <c r="L92"/>
  <c r="M92"/>
  <c r="BW92" s="1"/>
  <c r="BX92" s="1"/>
  <c r="G93"/>
  <c r="AY93" s="1"/>
  <c r="L93"/>
  <c r="I93"/>
  <c r="BI102"/>
  <c r="AD106"/>
  <c r="K103"/>
  <c r="H105"/>
  <c r="L102"/>
  <c r="K110"/>
  <c r="K114" s="1"/>
  <c r="AN104"/>
  <c r="AD104"/>
  <c r="AW104"/>
  <c r="AH104"/>
  <c r="AG105"/>
  <c r="AZ105"/>
  <c r="BI105"/>
  <c r="AN105"/>
  <c r="AG103"/>
  <c r="AY103"/>
  <c r="BI103"/>
  <c r="AH103"/>
  <c r="M100"/>
  <c r="I104"/>
  <c r="L104"/>
  <c r="AD98"/>
  <c r="BH98" s="1"/>
  <c r="BH110"/>
  <c r="I88"/>
  <c r="J88"/>
  <c r="G88"/>
  <c r="M88"/>
  <c r="AN102"/>
  <c r="AW102"/>
  <c r="AE106"/>
  <c r="H103"/>
  <c r="M105"/>
  <c r="BO105" s="1"/>
  <c r="K102"/>
  <c r="M106"/>
  <c r="BW106" s="1"/>
  <c r="BX106" s="1"/>
  <c r="K98"/>
  <c r="L98" s="1"/>
  <c r="AD102"/>
  <c r="AE102"/>
  <c r="AN106"/>
  <c r="BI106"/>
  <c r="AW106"/>
  <c r="M103"/>
  <c r="BO103" s="1"/>
  <c r="H101"/>
  <c r="J105"/>
  <c r="H102"/>
  <c r="K106"/>
  <c r="H106"/>
  <c r="BS20"/>
  <c r="BW20"/>
  <c r="BX20" s="1"/>
  <c r="BW25"/>
  <c r="BX25" s="1"/>
  <c r="BS25"/>
  <c r="BW17"/>
  <c r="BX17" s="1"/>
  <c r="BS17"/>
  <c r="AP24"/>
  <c r="BV24"/>
  <c r="AP20"/>
  <c r="BV20"/>
  <c r="AP16"/>
  <c r="BV16"/>
  <c r="BS18"/>
  <c r="BW18"/>
  <c r="BX18" s="1"/>
  <c r="BW23"/>
  <c r="BX23" s="1"/>
  <c r="BS23"/>
  <c r="Q15"/>
  <c r="BW15"/>
  <c r="BX15" s="1"/>
  <c r="BS15"/>
  <c r="BO91"/>
  <c r="BW91"/>
  <c r="BX91" s="1"/>
  <c r="BS91"/>
  <c r="BW112"/>
  <c r="BX112" s="1"/>
  <c r="BS112"/>
  <c r="BX12"/>
  <c r="AP25"/>
  <c r="BV25"/>
  <c r="AP21"/>
  <c r="BV21"/>
  <c r="AP17"/>
  <c r="BV17"/>
  <c r="AP23"/>
  <c r="BV23"/>
  <c r="AP19"/>
  <c r="BV19"/>
  <c r="AP15"/>
  <c r="BV15"/>
  <c r="BS24"/>
  <c r="BW24"/>
  <c r="BX24" s="1"/>
  <c r="BS16"/>
  <c r="BW16"/>
  <c r="BX16" s="1"/>
  <c r="BW21"/>
  <c r="BX21" s="1"/>
  <c r="BS21"/>
  <c r="AP22"/>
  <c r="BV22"/>
  <c r="AP18"/>
  <c r="BV18"/>
  <c r="BS22"/>
  <c r="BW22"/>
  <c r="BX22" s="1"/>
  <c r="BW19"/>
  <c r="BX19" s="1"/>
  <c r="BS19"/>
  <c r="BW93"/>
  <c r="BX93" s="1"/>
  <c r="BS93"/>
  <c r="BW95"/>
  <c r="BX95" s="1"/>
  <c r="BS95"/>
  <c r="BW98"/>
  <c r="BX98" s="1"/>
  <c r="BS98"/>
  <c r="BQ113"/>
  <c r="BR113" s="1"/>
  <c r="BS113"/>
  <c r="BW113"/>
  <c r="BX113" s="1"/>
  <c r="BO110"/>
  <c r="BP110" s="1"/>
  <c r="BW110"/>
  <c r="BX110" s="1"/>
  <c r="BS110"/>
  <c r="BI110" s="1"/>
  <c r="BS111"/>
  <c r="BI111" s="1"/>
  <c r="BW111"/>
  <c r="BX111" s="1"/>
  <c r="BQ112"/>
  <c r="BR112" s="1"/>
  <c r="M99"/>
  <c r="J99"/>
  <c r="I99"/>
  <c r="H99"/>
  <c r="BO113"/>
  <c r="BP113" s="1"/>
  <c r="BQ110"/>
  <c r="BR110" s="1"/>
  <c r="BO111"/>
  <c r="BP111" s="1"/>
  <c r="AF111" s="1"/>
  <c r="H114"/>
  <c r="J114"/>
  <c r="AG102"/>
  <c r="AY102"/>
  <c r="AH102"/>
  <c r="AZ102"/>
  <c r="AG106"/>
  <c r="AY106"/>
  <c r="AH106"/>
  <c r="AZ106"/>
  <c r="I103"/>
  <c r="J103"/>
  <c r="I101"/>
  <c r="J101"/>
  <c r="M101"/>
  <c r="AN101" s="1"/>
  <c r="I105"/>
  <c r="K105"/>
  <c r="L105"/>
  <c r="J102"/>
  <c r="M102"/>
  <c r="I106"/>
  <c r="J106"/>
  <c r="L100"/>
  <c r="AZ92"/>
  <c r="AN90"/>
  <c r="BN90"/>
  <c r="BJ90"/>
  <c r="AY90"/>
  <c r="AR90"/>
  <c r="AG90"/>
  <c r="BI90"/>
  <c r="BK90"/>
  <c r="AX90"/>
  <c r="AS90"/>
  <c r="AD90"/>
  <c r="AH90"/>
  <c r="BF90"/>
  <c r="AW90"/>
  <c r="BA90"/>
  <c r="AE90"/>
  <c r="AI90"/>
  <c r="BD90"/>
  <c r="AV90"/>
  <c r="AZ90"/>
  <c r="AL90"/>
  <c r="AF90"/>
  <c r="AN94"/>
  <c r="BN94"/>
  <c r="BJ94"/>
  <c r="AY94"/>
  <c r="AR94"/>
  <c r="AG94"/>
  <c r="BI94"/>
  <c r="BK94"/>
  <c r="AX94"/>
  <c r="AS94"/>
  <c r="AD94"/>
  <c r="AH94"/>
  <c r="BF94"/>
  <c r="AW94"/>
  <c r="BA94"/>
  <c r="AE94"/>
  <c r="AI94"/>
  <c r="BD94"/>
  <c r="AV94"/>
  <c r="AZ94"/>
  <c r="AL94"/>
  <c r="AF94"/>
  <c r="BH13"/>
  <c r="K14"/>
  <c r="Q24"/>
  <c r="Q16"/>
  <c r="Q20"/>
  <c r="AN25"/>
  <c r="AN21"/>
  <c r="AN17"/>
  <c r="AN24"/>
  <c r="AN20"/>
  <c r="AN16"/>
  <c r="Q25"/>
  <c r="Q17"/>
  <c r="Q18"/>
  <c r="Q23"/>
  <c r="AN23"/>
  <c r="AN19"/>
  <c r="AN22"/>
  <c r="AN18"/>
  <c r="Q21"/>
  <c r="Q19"/>
  <c r="E22" i="14"/>
  <c r="I28" i="4"/>
  <c r="F29"/>
  <c r="F16" i="26" s="1"/>
  <c r="N16" s="1"/>
  <c r="G29" i="4"/>
  <c r="CB29" s="1"/>
  <c r="E18" i="14"/>
  <c r="I23" i="4"/>
  <c r="J23"/>
  <c r="K23" s="1"/>
  <c r="AD23"/>
  <c r="BH23" s="1"/>
  <c r="E14" i="14"/>
  <c r="I19" i="4"/>
  <c r="J19"/>
  <c r="K19" s="1"/>
  <c r="AD19"/>
  <c r="BH19" s="1"/>
  <c r="E10" i="14"/>
  <c r="J15" i="4"/>
  <c r="I15"/>
  <c r="AD15"/>
  <c r="AD24"/>
  <c r="BH24" s="1"/>
  <c r="I24"/>
  <c r="L24"/>
  <c r="J24"/>
  <c r="E19" i="14"/>
  <c r="AD20" i="4"/>
  <c r="BH20" s="1"/>
  <c r="I20"/>
  <c r="L20"/>
  <c r="J20"/>
  <c r="E15" i="14"/>
  <c r="AD16" i="4"/>
  <c r="BH16" s="1"/>
  <c r="I16"/>
  <c r="L16"/>
  <c r="J16"/>
  <c r="E11" i="14"/>
  <c r="F11" s="1"/>
  <c r="I25" i="4"/>
  <c r="J25"/>
  <c r="E20" i="14"/>
  <c r="AD25" i="4"/>
  <c r="BB25" s="1"/>
  <c r="I21"/>
  <c r="J21"/>
  <c r="K21" s="1"/>
  <c r="E16" i="14"/>
  <c r="L21" i="4"/>
  <c r="AD21"/>
  <c r="BB21" s="1"/>
  <c r="I17"/>
  <c r="J17"/>
  <c r="E12" i="14"/>
  <c r="AD17" i="4"/>
  <c r="BB17" s="1"/>
  <c r="AD22"/>
  <c r="BH22" s="1"/>
  <c r="E17" i="14"/>
  <c r="J22" i="4"/>
  <c r="I22"/>
  <c r="AD18"/>
  <c r="BH18" s="1"/>
  <c r="E13" i="14"/>
  <c r="J18" i="4"/>
  <c r="I18"/>
  <c r="H14" i="26" l="1"/>
  <c r="AX119" i="4"/>
  <c r="AV119"/>
  <c r="AN117"/>
  <c r="AG95"/>
  <c r="BJ95"/>
  <c r="BN95"/>
  <c r="AD95"/>
  <c r="BS94"/>
  <c r="AS95"/>
  <c r="AR95"/>
  <c r="A28" i="9"/>
  <c r="BW94" i="4"/>
  <c r="BX94" s="1"/>
  <c r="AD117"/>
  <c r="BH117" s="1"/>
  <c r="A8" i="14"/>
  <c r="F9"/>
  <c r="I9"/>
  <c r="BV116" i="4"/>
  <c r="CA116"/>
  <c r="BZ116"/>
  <c r="BF118"/>
  <c r="CA118"/>
  <c r="BZ118"/>
  <c r="AI119"/>
  <c r="BZ119"/>
  <c r="CA119"/>
  <c r="AF95"/>
  <c r="BI95"/>
  <c r="AZ95"/>
  <c r="BK95"/>
  <c r="BZ29"/>
  <c r="CA29"/>
  <c r="H29"/>
  <c r="BZ117"/>
  <c r="CA117"/>
  <c r="BD95"/>
  <c r="AH95"/>
  <c r="AI95"/>
  <c r="BU116"/>
  <c r="BY116"/>
  <c r="AN95"/>
  <c r="BA95"/>
  <c r="BF95"/>
  <c r="AY95"/>
  <c r="I119"/>
  <c r="L119"/>
  <c r="H119"/>
  <c r="K119"/>
  <c r="AL95"/>
  <c r="AX95"/>
  <c r="AW95"/>
  <c r="AV95"/>
  <c r="A9" i="14"/>
  <c r="H116" i="4"/>
  <c r="I116"/>
  <c r="J116"/>
  <c r="M116"/>
  <c r="BH28"/>
  <c r="J119"/>
  <c r="BY118"/>
  <c r="BU118"/>
  <c r="BV118"/>
  <c r="AN118"/>
  <c r="AD118"/>
  <c r="BH118" s="1"/>
  <c r="I118"/>
  <c r="J118"/>
  <c r="H118"/>
  <c r="M118"/>
  <c r="AY92"/>
  <c r="BF117"/>
  <c r="AH92"/>
  <c r="K117"/>
  <c r="L117" s="1"/>
  <c r="AG118"/>
  <c r="AY118"/>
  <c r="AW118"/>
  <c r="AZ118"/>
  <c r="AX118"/>
  <c r="AE118"/>
  <c r="BF92"/>
  <c r="AL92"/>
  <c r="AR92"/>
  <c r="AE92"/>
  <c r="BK92"/>
  <c r="AI92"/>
  <c r="AX92"/>
  <c r="AN92"/>
  <c r="AE111"/>
  <c r="AW111"/>
  <c r="AY111"/>
  <c r="AX111"/>
  <c r="AZ111"/>
  <c r="AH110"/>
  <c r="G16" i="26"/>
  <c r="H16" s="1"/>
  <c r="Q16" s="1"/>
  <c r="R16" s="1"/>
  <c r="L110" i="4"/>
  <c r="L114" s="1"/>
  <c r="I19" i="14"/>
  <c r="B19" s="1"/>
  <c r="F19"/>
  <c r="I13"/>
  <c r="B13" s="1"/>
  <c r="F13"/>
  <c r="I17"/>
  <c r="B17" s="1"/>
  <c r="F17"/>
  <c r="I16"/>
  <c r="B16" s="1"/>
  <c r="F16"/>
  <c r="I20"/>
  <c r="B20" s="1"/>
  <c r="F20"/>
  <c r="I15"/>
  <c r="B15" s="1"/>
  <c r="F15"/>
  <c r="K7"/>
  <c r="I22"/>
  <c r="F22"/>
  <c r="I10"/>
  <c r="F10"/>
  <c r="I14"/>
  <c r="B14" s="1"/>
  <c r="F14"/>
  <c r="I18"/>
  <c r="B18" s="1"/>
  <c r="F18"/>
  <c r="I12"/>
  <c r="B12" s="1"/>
  <c r="F12"/>
  <c r="AF92" i="4"/>
  <c r="BD92"/>
  <c r="AW92"/>
  <c r="AS92"/>
  <c r="AG92"/>
  <c r="BN92"/>
  <c r="AV92"/>
  <c r="BA92"/>
  <c r="AD92"/>
  <c r="BI92"/>
  <c r="A29" i="9"/>
  <c r="B28"/>
  <c r="A26" i="12" s="1"/>
  <c r="AL89" i="4"/>
  <c r="AG89"/>
  <c r="BW89"/>
  <c r="BX89" s="1"/>
  <c r="AZ89"/>
  <c r="AD89"/>
  <c r="BK89"/>
  <c r="M10" i="26"/>
  <c r="AY89" i="4"/>
  <c r="AI89"/>
  <c r="AX89"/>
  <c r="BF93"/>
  <c r="BQ119"/>
  <c r="BR119" s="1"/>
  <c r="BN89"/>
  <c r="AS89"/>
  <c r="BD89"/>
  <c r="BO119"/>
  <c r="BP119" s="1"/>
  <c r="BE119" s="1"/>
  <c r="AH89"/>
  <c r="BF89"/>
  <c r="AR89"/>
  <c r="AF89"/>
  <c r="BI89"/>
  <c r="AW89"/>
  <c r="BW119"/>
  <c r="BX119" s="1"/>
  <c r="AV89"/>
  <c r="AE89"/>
  <c r="AN89"/>
  <c r="BJ89"/>
  <c r="K99"/>
  <c r="L99" s="1"/>
  <c r="L107" s="1"/>
  <c r="AG91"/>
  <c r="AL93"/>
  <c r="K101"/>
  <c r="D29"/>
  <c r="AS93"/>
  <c r="AH93"/>
  <c r="AR93"/>
  <c r="AD101"/>
  <c r="BF101" s="1"/>
  <c r="L101"/>
  <c r="BH101"/>
  <c r="W29"/>
  <c r="B29"/>
  <c r="B16" i="26" s="1"/>
  <c r="C29" i="4"/>
  <c r="D16" i="26" s="1"/>
  <c r="M29" i="4"/>
  <c r="BW29" s="1"/>
  <c r="BX29" s="1"/>
  <c r="E29"/>
  <c r="V29"/>
  <c r="AV91"/>
  <c r="BS89"/>
  <c r="AR69" i="1"/>
  <c r="B30" i="4" s="1"/>
  <c r="E30"/>
  <c r="E17" i="26" s="1"/>
  <c r="D30" i="4"/>
  <c r="G30"/>
  <c r="CB30" s="1"/>
  <c r="M30"/>
  <c r="BS30" s="1"/>
  <c r="F30"/>
  <c r="F17" i="26" s="1"/>
  <c r="N17" s="1"/>
  <c r="AY91" i="4"/>
  <c r="S30"/>
  <c r="V30"/>
  <c r="AZ91"/>
  <c r="AS91"/>
  <c r="BD91"/>
  <c r="BO117"/>
  <c r="BQ117"/>
  <c r="BO104"/>
  <c r="BS117"/>
  <c r="BI117" s="1"/>
  <c r="M12" i="26"/>
  <c r="AR91" i="4"/>
  <c r="AI91"/>
  <c r="AN91"/>
  <c r="BJ91"/>
  <c r="BA91"/>
  <c r="BS104"/>
  <c r="L9" i="26"/>
  <c r="M9" s="1"/>
  <c r="K15"/>
  <c r="Q15"/>
  <c r="I15"/>
  <c r="R9"/>
  <c r="M13"/>
  <c r="AD91" i="4"/>
  <c r="BN91"/>
  <c r="AH91"/>
  <c r="BF91"/>
  <c r="AE91"/>
  <c r="BK91"/>
  <c r="AF91"/>
  <c r="AX91"/>
  <c r="BI91"/>
  <c r="AL91"/>
  <c r="K16" i="26"/>
  <c r="L16" s="1"/>
  <c r="I16"/>
  <c r="BY29" i="4"/>
  <c r="Q11" i="26"/>
  <c r="R11" s="1"/>
  <c r="K11"/>
  <c r="L11" s="1"/>
  <c r="I11"/>
  <c r="I14" s="1"/>
  <c r="B8" i="14"/>
  <c r="G11"/>
  <c r="I11"/>
  <c r="B11" s="1"/>
  <c r="BO92" i="4"/>
  <c r="AN93"/>
  <c r="BI93"/>
  <c r="AW93"/>
  <c r="AZ93"/>
  <c r="AI93"/>
  <c r="BK93"/>
  <c r="BW90"/>
  <c r="BX90" s="1"/>
  <c r="J96"/>
  <c r="L17"/>
  <c r="K17"/>
  <c r="L25"/>
  <c r="K25"/>
  <c r="BS106"/>
  <c r="L19"/>
  <c r="L23"/>
  <c r="L18"/>
  <c r="K18"/>
  <c r="L22"/>
  <c r="K22"/>
  <c r="K16"/>
  <c r="K20"/>
  <c r="K24"/>
  <c r="BF18"/>
  <c r="BF22"/>
  <c r="BF19"/>
  <c r="BF23"/>
  <c r="BF16"/>
  <c r="BF20"/>
  <c r="BF24"/>
  <c r="BF17"/>
  <c r="BF21"/>
  <c r="BF25"/>
  <c r="BB19"/>
  <c r="BB23"/>
  <c r="BH17"/>
  <c r="BH21"/>
  <c r="BH25"/>
  <c r="BB18"/>
  <c r="BB22"/>
  <c r="BW105"/>
  <c r="BX105" s="1"/>
  <c r="BB16"/>
  <c r="BB20"/>
  <c r="BB24"/>
  <c r="BO106"/>
  <c r="BS92"/>
  <c r="G10" i="14"/>
  <c r="AX93" i="4"/>
  <c r="AF93"/>
  <c r="BJ93"/>
  <c r="AG93"/>
  <c r="BA93"/>
  <c r="BD93"/>
  <c r="AD93"/>
  <c r="AV93"/>
  <c r="BN93"/>
  <c r="AE93"/>
  <c r="BS90"/>
  <c r="BS105"/>
  <c r="BO100"/>
  <c r="AE100" s="1"/>
  <c r="AD100"/>
  <c r="BW103"/>
  <c r="BX103" s="1"/>
  <c r="BS100"/>
  <c r="AF110"/>
  <c r="BS103"/>
  <c r="BW100"/>
  <c r="BX100" s="1"/>
  <c r="AM110"/>
  <c r="G9" i="14"/>
  <c r="G8"/>
  <c r="AW110" i="4"/>
  <c r="AZ110"/>
  <c r="AY110"/>
  <c r="AX110"/>
  <c r="BO88"/>
  <c r="BP88" s="1"/>
  <c r="AM88" s="1"/>
  <c r="BS88"/>
  <c r="BW88"/>
  <c r="BX88" s="1"/>
  <c r="AE110"/>
  <c r="H88"/>
  <c r="H96" s="1"/>
  <c r="AD88"/>
  <c r="BH88" s="1"/>
  <c r="AG110"/>
  <c r="BO101"/>
  <c r="AE101" s="1"/>
  <c r="BW101"/>
  <c r="BX101" s="1"/>
  <c r="BS101"/>
  <c r="BI101" s="1"/>
  <c r="BW99"/>
  <c r="BX99" s="1"/>
  <c r="BS99"/>
  <c r="BO102"/>
  <c r="BW102"/>
  <c r="BX102" s="1"/>
  <c r="BS102"/>
  <c r="AM119"/>
  <c r="BE111"/>
  <c r="AO111"/>
  <c r="AQ111"/>
  <c r="BG111"/>
  <c r="BE113"/>
  <c r="AO113"/>
  <c r="AQ113"/>
  <c r="BG113"/>
  <c r="AO112"/>
  <c r="AQ112"/>
  <c r="BG112"/>
  <c r="AQ110"/>
  <c r="BG110"/>
  <c r="AO110"/>
  <c r="AD99"/>
  <c r="BH99" s="1"/>
  <c r="BO99"/>
  <c r="AE99" s="1"/>
  <c r="AO119"/>
  <c r="BG119"/>
  <c r="AQ119"/>
  <c r="BE112"/>
  <c r="H107"/>
  <c r="J107"/>
  <c r="AM111"/>
  <c r="AM113"/>
  <c r="BE110"/>
  <c r="AM112"/>
  <c r="AW100"/>
  <c r="H26"/>
  <c r="J26"/>
  <c r="K28"/>
  <c r="BH15"/>
  <c r="AD29"/>
  <c r="E23" i="14"/>
  <c r="J29" i="4"/>
  <c r="I29"/>
  <c r="K15"/>
  <c r="B9" i="14" l="1"/>
  <c r="AR70" i="1"/>
  <c r="AR71" s="1"/>
  <c r="E16" i="26"/>
  <c r="A10" i="14"/>
  <c r="B10" s="1"/>
  <c r="CA30" i="4"/>
  <c r="BZ30"/>
  <c r="H30"/>
  <c r="E24" i="14" s="1"/>
  <c r="J120" i="4"/>
  <c r="J121" s="1"/>
  <c r="K116"/>
  <c r="L116" s="1"/>
  <c r="L120" s="1"/>
  <c r="L121" s="1"/>
  <c r="AD116"/>
  <c r="BH116" s="1"/>
  <c r="BQ116"/>
  <c r="BO116"/>
  <c r="BS116"/>
  <c r="BW116"/>
  <c r="BX116" s="1"/>
  <c r="BQ118"/>
  <c r="BR118" s="1"/>
  <c r="AH118" s="1"/>
  <c r="BW118"/>
  <c r="BX118" s="1"/>
  <c r="BO118"/>
  <c r="BP118" s="1"/>
  <c r="BS118"/>
  <c r="K118"/>
  <c r="K120" s="1"/>
  <c r="K121" s="1"/>
  <c r="H120"/>
  <c r="H121" s="1"/>
  <c r="AL118"/>
  <c r="AI118"/>
  <c r="AR118" s="1"/>
  <c r="AS118" s="1"/>
  <c r="AV118" s="1"/>
  <c r="BA118"/>
  <c r="BD118"/>
  <c r="BP117"/>
  <c r="AE117"/>
  <c r="AW117"/>
  <c r="BR117"/>
  <c r="AY117"/>
  <c r="AG117"/>
  <c r="AL111"/>
  <c r="AI111"/>
  <c r="AR111" s="1"/>
  <c r="AS111" s="1"/>
  <c r="AV111" s="1"/>
  <c r="BA111"/>
  <c r="BD111"/>
  <c r="G17" i="26"/>
  <c r="H17" s="1"/>
  <c r="I17" s="1"/>
  <c r="Q30" i="4"/>
  <c r="Q29"/>
  <c r="I23" i="14"/>
  <c r="F23"/>
  <c r="G23" s="1"/>
  <c r="G22"/>
  <c r="BS29" i="4"/>
  <c r="BH29"/>
  <c r="BW30"/>
  <c r="BX30" s="1"/>
  <c r="AP29"/>
  <c r="D23" i="14"/>
  <c r="B29" i="9"/>
  <c r="A27" i="12" s="1"/>
  <c r="A30" i="9"/>
  <c r="K107" i="4"/>
  <c r="AM117"/>
  <c r="J30"/>
  <c r="AP30"/>
  <c r="AQ117"/>
  <c r="I30"/>
  <c r="AO117"/>
  <c r="BE117"/>
  <c r="AD30"/>
  <c r="BH30" s="1"/>
  <c r="BG117"/>
  <c r="J108"/>
  <c r="C23" i="14"/>
  <c r="K26" i="4"/>
  <c r="D24" i="14"/>
  <c r="AW99" i="4"/>
  <c r="C30"/>
  <c r="W30"/>
  <c r="C24" i="14"/>
  <c r="B17" i="26"/>
  <c r="AW101" i="4"/>
  <c r="M16" i="26"/>
  <c r="R15"/>
  <c r="L15"/>
  <c r="K14"/>
  <c r="Q14"/>
  <c r="M11"/>
  <c r="M14" s="1"/>
  <c r="R14"/>
  <c r="L14"/>
  <c r="A11" i="14"/>
  <c r="A12" s="1"/>
  <c r="A13" s="1"/>
  <c r="A14" s="1"/>
  <c r="A15" s="1"/>
  <c r="A16" s="1"/>
  <c r="A17" s="1"/>
  <c r="A18" s="1"/>
  <c r="A19" s="1"/>
  <c r="A20" s="1"/>
  <c r="A21" s="1"/>
  <c r="A22" s="1"/>
  <c r="G14"/>
  <c r="G19"/>
  <c r="G15"/>
  <c r="G16"/>
  <c r="G13"/>
  <c r="G18"/>
  <c r="G20"/>
  <c r="G12"/>
  <c r="G17"/>
  <c r="BH100" i="4"/>
  <c r="BD110"/>
  <c r="K88"/>
  <c r="H108"/>
  <c r="AL110"/>
  <c r="M31"/>
  <c r="D31"/>
  <c r="S31"/>
  <c r="W31"/>
  <c r="V31"/>
  <c r="W32"/>
  <c r="S32"/>
  <c r="V32"/>
  <c r="K29"/>
  <c r="B32"/>
  <c r="F32"/>
  <c r="F19" i="26" s="1"/>
  <c r="N19" s="1"/>
  <c r="E31" i="4"/>
  <c r="E18" i="26" s="1"/>
  <c r="C31" i="4"/>
  <c r="F31"/>
  <c r="F18" i="26" s="1"/>
  <c r="N18" s="1"/>
  <c r="G31" i="4"/>
  <c r="CB31" s="1"/>
  <c r="E32"/>
  <c r="C32"/>
  <c r="D32"/>
  <c r="M32"/>
  <c r="G32"/>
  <c r="CB32" s="1"/>
  <c r="B31"/>
  <c r="AR72" i="1"/>
  <c r="BZ31" i="4" l="1"/>
  <c r="CA31"/>
  <c r="H31"/>
  <c r="J31"/>
  <c r="CA32"/>
  <c r="BZ32"/>
  <c r="H32"/>
  <c r="Q17" i="26"/>
  <c r="R17" s="1"/>
  <c r="BR116" i="4"/>
  <c r="AY116"/>
  <c r="AG116"/>
  <c r="BP116"/>
  <c r="AW116"/>
  <c r="AE116"/>
  <c r="BI116"/>
  <c r="BG116"/>
  <c r="AQ116"/>
  <c r="AO116"/>
  <c r="AF118"/>
  <c r="AM118"/>
  <c r="BE118"/>
  <c r="BI118"/>
  <c r="AO118"/>
  <c r="BG118"/>
  <c r="AQ118"/>
  <c r="BJ118"/>
  <c r="BK118" s="1"/>
  <c r="BN118" s="1"/>
  <c r="AZ117"/>
  <c r="AH117"/>
  <c r="AX117"/>
  <c r="BA117" s="1"/>
  <c r="AF117"/>
  <c r="AL117" s="1"/>
  <c r="BD117"/>
  <c r="K17" i="26"/>
  <c r="L17" s="1"/>
  <c r="M17" s="1"/>
  <c r="BJ111" i="4"/>
  <c r="BK111" s="1"/>
  <c r="BN111" s="1"/>
  <c r="G18" i="26"/>
  <c r="H18" s="1"/>
  <c r="K18" s="1"/>
  <c r="Q31" i="4"/>
  <c r="G19" i="26"/>
  <c r="H19" s="1"/>
  <c r="I19" s="1"/>
  <c r="Q32" i="4"/>
  <c r="I24" i="14"/>
  <c r="F24"/>
  <c r="G24" s="1"/>
  <c r="K30" i="4"/>
  <c r="B30" i="9"/>
  <c r="A28" i="12" s="1"/>
  <c r="A31" i="9"/>
  <c r="A32" s="1"/>
  <c r="B32" s="1"/>
  <c r="A30" i="12" s="1"/>
  <c r="BY30" i="4"/>
  <c r="D17" i="26"/>
  <c r="D26" i="14"/>
  <c r="E19" i="26"/>
  <c r="C26" i="14"/>
  <c r="B19" i="26"/>
  <c r="C25" i="14"/>
  <c r="B18" i="26"/>
  <c r="BY32" i="4"/>
  <c r="D19" i="26"/>
  <c r="BY31" i="4"/>
  <c r="D18" i="26"/>
  <c r="M15"/>
  <c r="A23" i="14"/>
  <c r="B22"/>
  <c r="D25"/>
  <c r="K96" i="4"/>
  <c r="K108" s="1"/>
  <c r="L88"/>
  <c r="AE88"/>
  <c r="AF88"/>
  <c r="BW32"/>
  <c r="BX32" s="1"/>
  <c r="BS32"/>
  <c r="BW31"/>
  <c r="BS31"/>
  <c r="AD32"/>
  <c r="BH32" s="1"/>
  <c r="AP32"/>
  <c r="AD31"/>
  <c r="BH31" s="1"/>
  <c r="AP31"/>
  <c r="AR73" i="1"/>
  <c r="AR74" s="1"/>
  <c r="AR75" s="1"/>
  <c r="AR76" s="1"/>
  <c r="E26" i="14"/>
  <c r="F26" s="1"/>
  <c r="I32" i="4"/>
  <c r="J32"/>
  <c r="E25" i="14"/>
  <c r="F25" s="1"/>
  <c r="I31" i="4"/>
  <c r="K129"/>
  <c r="A3" i="3"/>
  <c r="A3" i="29" s="1"/>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K9" s="1"/>
  <c r="D9"/>
  <c r="C9"/>
  <c r="B42" i="3"/>
  <c r="B44"/>
  <c r="B40"/>
  <c r="B39"/>
  <c r="I5" i="5"/>
  <c r="BM125" i="4"/>
  <c r="BL125"/>
  <c r="BC125"/>
  <c r="AU125"/>
  <c r="AT125"/>
  <c r="AK125"/>
  <c r="AJ125"/>
  <c r="C30" i="3"/>
  <c r="C29"/>
  <c r="BT106" i="4"/>
  <c r="W106"/>
  <c r="BP106"/>
  <c r="BU106"/>
  <c r="BT105"/>
  <c r="BG105"/>
  <c r="W105"/>
  <c r="BU105"/>
  <c r="BT104"/>
  <c r="W104"/>
  <c r="BQ104"/>
  <c r="BR104" s="1"/>
  <c r="BU104"/>
  <c r="BT103"/>
  <c r="BG103"/>
  <c r="W103"/>
  <c r="BU103"/>
  <c r="BT102"/>
  <c r="W102"/>
  <c r="BQ102"/>
  <c r="BR102" s="1"/>
  <c r="BU102"/>
  <c r="BT101"/>
  <c r="BG101"/>
  <c r="W101"/>
  <c r="BU101"/>
  <c r="BT100"/>
  <c r="W100"/>
  <c r="BQ100"/>
  <c r="BU100"/>
  <c r="BT99"/>
  <c r="W99"/>
  <c r="BU99"/>
  <c r="BT98"/>
  <c r="W98"/>
  <c r="BQ98"/>
  <c r="BU98"/>
  <c r="BT95"/>
  <c r="BG95" s="1"/>
  <c r="W95"/>
  <c r="BQ95"/>
  <c r="BR95" s="1"/>
  <c r="BU95"/>
  <c r="BT94"/>
  <c r="BG94" s="1"/>
  <c r="W94"/>
  <c r="BU94"/>
  <c r="BT93"/>
  <c r="BG93" s="1"/>
  <c r="W93"/>
  <c r="BP93"/>
  <c r="BE93" s="1"/>
  <c r="BU93"/>
  <c r="BT92"/>
  <c r="W92"/>
  <c r="BU92"/>
  <c r="BT91"/>
  <c r="BG91" s="1"/>
  <c r="W91"/>
  <c r="BQ91"/>
  <c r="BR91" s="1"/>
  <c r="BU91"/>
  <c r="BT90"/>
  <c r="W90"/>
  <c r="BU90"/>
  <c r="BT89"/>
  <c r="BG89" s="1"/>
  <c r="W89"/>
  <c r="BP89"/>
  <c r="BE89" s="1"/>
  <c r="BU89"/>
  <c r="BT88"/>
  <c r="W88"/>
  <c r="BU88"/>
  <c r="BV87"/>
  <c r="BV86"/>
  <c r="BV85"/>
  <c r="BV84"/>
  <c r="BV83"/>
  <c r="BV82"/>
  <c r="BV81"/>
  <c r="BV80"/>
  <c r="BV78"/>
  <c r="BV77"/>
  <c r="BV76"/>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G15" i="29" s="1"/>
  <c r="BF110" i="4" l="1"/>
  <c r="AN110"/>
  <c r="AI110"/>
  <c r="AH116"/>
  <c r="AZ116"/>
  <c r="AF116"/>
  <c r="AL116" s="1"/>
  <c r="BE116"/>
  <c r="AX116"/>
  <c r="BD116" s="1"/>
  <c r="AM116"/>
  <c r="I18" i="26"/>
  <c r="Q18"/>
  <c r="K19"/>
  <c r="L19" s="1"/>
  <c r="AI117" i="4"/>
  <c r="AR117" s="1"/>
  <c r="AS117" s="1"/>
  <c r="AV117" s="1"/>
  <c r="BJ117"/>
  <c r="BK117" s="1"/>
  <c r="BN117" s="1"/>
  <c r="Q19" i="26"/>
  <c r="R19" s="1"/>
  <c r="M19"/>
  <c r="E16" i="5"/>
  <c r="E24" s="1"/>
  <c r="H24" i="1"/>
  <c r="F14" i="5"/>
  <c r="F33" s="1"/>
  <c r="C33" i="1"/>
  <c r="M9" i="2"/>
  <c r="O9"/>
  <c r="H14"/>
  <c r="AR77" i="1"/>
  <c r="K32" i="4"/>
  <c r="D33"/>
  <c r="B34"/>
  <c r="B21" i="26" s="1"/>
  <c r="F34" i="4"/>
  <c r="F21" i="26" s="1"/>
  <c r="N21" s="1"/>
  <c r="V33" i="4"/>
  <c r="BT33" s="1"/>
  <c r="S33"/>
  <c r="W33"/>
  <c r="C37"/>
  <c r="M36" i="5"/>
  <c r="R44" i="13"/>
  <c r="E60" i="28"/>
  <c r="K22" i="25"/>
  <c r="T35" i="26"/>
  <c r="I15" i="18"/>
  <c r="E25" i="5"/>
  <c r="E31" s="1"/>
  <c r="E32" s="1"/>
  <c r="H31" i="1"/>
  <c r="L18" i="26"/>
  <c r="F1" i="28"/>
  <c r="K3" i="25"/>
  <c r="J5" i="24"/>
  <c r="S5" i="26"/>
  <c r="G2" i="23"/>
  <c r="R18" i="26"/>
  <c r="A24" i="14"/>
  <c r="B23"/>
  <c r="E1" i="19"/>
  <c r="S2" i="13"/>
  <c r="I1" i="18"/>
  <c r="C37" i="20"/>
  <c r="G2" i="14"/>
  <c r="F1" i="16"/>
  <c r="I1" i="17"/>
  <c r="G25" i="14"/>
  <c r="I25"/>
  <c r="G26"/>
  <c r="I26"/>
  <c r="H14" i="1"/>
  <c r="E14" i="5" s="1"/>
  <c r="H16" i="6"/>
  <c r="K27" i="24"/>
  <c r="F17" i="23"/>
  <c r="H41" i="22"/>
  <c r="I12" i="21"/>
  <c r="E19" i="19"/>
  <c r="I15" i="17"/>
  <c r="F70" i="14"/>
  <c r="F35" i="12"/>
  <c r="C35" i="20"/>
  <c r="P16" i="15"/>
  <c r="F13" i="16"/>
  <c r="Q36" i="11"/>
  <c r="L37" i="9"/>
  <c r="R23" i="7"/>
  <c r="F35" i="10"/>
  <c r="O35" s="1"/>
  <c r="S1" i="7"/>
  <c r="A4" i="23"/>
  <c r="H1" i="22"/>
  <c r="I1" i="21"/>
  <c r="Q1" i="15"/>
  <c r="G1" i="10"/>
  <c r="P1" i="11"/>
  <c r="P1" i="10"/>
  <c r="A2" i="18"/>
  <c r="A2" i="17"/>
  <c r="A3" i="10"/>
  <c r="J3"/>
  <c r="H14" i="5"/>
  <c r="H33" s="1"/>
  <c r="I32" i="1"/>
  <c r="G9"/>
  <c r="H9"/>
  <c r="AN100" i="4"/>
  <c r="BF100"/>
  <c r="L26"/>
  <c r="F36"/>
  <c r="G37"/>
  <c r="CB37" s="1"/>
  <c r="K23" i="10"/>
  <c r="R23" s="1"/>
  <c r="B23"/>
  <c r="I23" s="1"/>
  <c r="K22"/>
  <c r="R22" s="1"/>
  <c r="B22"/>
  <c r="I22" s="1"/>
  <c r="K21"/>
  <c r="R21" s="1"/>
  <c r="B21"/>
  <c r="I21" s="1"/>
  <c r="K20"/>
  <c r="R20" s="1"/>
  <c r="B20"/>
  <c r="I20" s="1"/>
  <c r="K19"/>
  <c r="R19" s="1"/>
  <c r="B19"/>
  <c r="I19" s="1"/>
  <c r="K18"/>
  <c r="R18" s="1"/>
  <c r="B18"/>
  <c r="I18" s="1"/>
  <c r="K17"/>
  <c r="R17" s="1"/>
  <c r="B17"/>
  <c r="I17" s="1"/>
  <c r="K16"/>
  <c r="R16" s="1"/>
  <c r="B16"/>
  <c r="I16" s="1"/>
  <c r="K14"/>
  <c r="R14" s="1"/>
  <c r="B14"/>
  <c r="I14" s="1"/>
  <c r="K15"/>
  <c r="R15" s="1"/>
  <c r="B15"/>
  <c r="I15" s="1"/>
  <c r="K13"/>
  <c r="R13" s="1"/>
  <c r="B13"/>
  <c r="I13" s="1"/>
  <c r="K12"/>
  <c r="R12" s="1"/>
  <c r="B12"/>
  <c r="I12" s="1"/>
  <c r="K11"/>
  <c r="R11" s="1"/>
  <c r="B11"/>
  <c r="I11" s="1"/>
  <c r="K10"/>
  <c r="R10" s="1"/>
  <c r="B10"/>
  <c r="I10" s="1"/>
  <c r="B158" i="1"/>
  <c r="K9" i="10" s="1"/>
  <c r="R9" s="1"/>
  <c r="B9"/>
  <c r="I9" s="1"/>
  <c r="B157" i="1"/>
  <c r="K8" i="10" s="1"/>
  <c r="R8" s="1"/>
  <c r="B8"/>
  <c r="I8" s="1"/>
  <c r="L96" i="4"/>
  <c r="L108" s="1"/>
  <c r="AW88"/>
  <c r="AX88"/>
  <c r="D38"/>
  <c r="B39"/>
  <c r="C33" i="14" s="1"/>
  <c r="BX31" i="4"/>
  <c r="S34"/>
  <c r="V34"/>
  <c r="BT34" s="1"/>
  <c r="W34"/>
  <c r="W35"/>
  <c r="S35"/>
  <c r="F39"/>
  <c r="V35"/>
  <c r="BT35" s="1"/>
  <c r="AN116"/>
  <c r="BF116"/>
  <c r="AI116"/>
  <c r="BG90"/>
  <c r="G40"/>
  <c r="CB40" s="1"/>
  <c r="BR100"/>
  <c r="AG100"/>
  <c r="AY100"/>
  <c r="BG100"/>
  <c r="BI100"/>
  <c r="V36"/>
  <c r="BT36" s="1"/>
  <c r="S37"/>
  <c r="W37"/>
  <c r="V38"/>
  <c r="BT38" s="1"/>
  <c r="S39"/>
  <c r="W39"/>
  <c r="V40"/>
  <c r="BT40" s="1"/>
  <c r="S36"/>
  <c r="W36"/>
  <c r="V37"/>
  <c r="BT37" s="1"/>
  <c r="S38"/>
  <c r="W38"/>
  <c r="V39"/>
  <c r="BT39" s="1"/>
  <c r="S40"/>
  <c r="W40"/>
  <c r="BF98"/>
  <c r="AN98"/>
  <c r="BF12"/>
  <c r="BF14"/>
  <c r="AN99"/>
  <c r="AN12"/>
  <c r="AN13"/>
  <c r="AN14"/>
  <c r="BF13"/>
  <c r="AN15"/>
  <c r="BF99"/>
  <c r="AN28"/>
  <c r="BF15"/>
  <c r="AN30"/>
  <c r="AN29"/>
  <c r="BG92"/>
  <c r="BG102"/>
  <c r="BG104"/>
  <c r="BG106"/>
  <c r="AN31"/>
  <c r="AN32"/>
  <c r="BI99"/>
  <c r="BG99"/>
  <c r="BI88"/>
  <c r="AI88"/>
  <c r="BD88"/>
  <c r="AL88"/>
  <c r="BG98"/>
  <c r="BI98"/>
  <c r="BR98"/>
  <c r="BE106"/>
  <c r="AX106"/>
  <c r="AF106"/>
  <c r="D35"/>
  <c r="F12" i="6"/>
  <c r="K31" i="4"/>
  <c r="M33"/>
  <c r="G33"/>
  <c r="CB33" s="1"/>
  <c r="D34"/>
  <c r="E34"/>
  <c r="C34"/>
  <c r="D21" i="26" s="1"/>
  <c r="B35" i="4"/>
  <c r="C39"/>
  <c r="M38"/>
  <c r="E40"/>
  <c r="D34" i="14" s="1"/>
  <c r="G39" i="4"/>
  <c r="CB39" s="1"/>
  <c r="E39"/>
  <c r="D33" i="14" s="1"/>
  <c r="F38" i="4"/>
  <c r="D40"/>
  <c r="B40"/>
  <c r="C34" i="14" s="1"/>
  <c r="F40" i="4"/>
  <c r="B37"/>
  <c r="C31" i="14" s="1"/>
  <c r="G36" i="4"/>
  <c r="CB36" s="1"/>
  <c r="B38"/>
  <c r="C32" i="14" s="1"/>
  <c r="F37" i="4"/>
  <c r="D37"/>
  <c r="D36"/>
  <c r="M35"/>
  <c r="C38"/>
  <c r="M37"/>
  <c r="D39"/>
  <c r="G38"/>
  <c r="CB38" s="1"/>
  <c r="E38"/>
  <c r="M39"/>
  <c r="M34"/>
  <c r="G34"/>
  <c r="CB34" s="1"/>
  <c r="G35"/>
  <c r="CB35" s="1"/>
  <c r="E35"/>
  <c r="R35" s="1"/>
  <c r="C35"/>
  <c r="D22" i="26" s="1"/>
  <c r="F33" i="4"/>
  <c r="F20" i="26" s="1"/>
  <c r="N20" s="1"/>
  <c r="C40" i="4"/>
  <c r="F35"/>
  <c r="F22" i="26" s="1"/>
  <c r="N22" s="1"/>
  <c r="M36" i="4"/>
  <c r="E36"/>
  <c r="D30" i="14" s="1"/>
  <c r="C36" i="4"/>
  <c r="E37"/>
  <c r="B33"/>
  <c r="E33"/>
  <c r="C33"/>
  <c r="D20" i="26" s="1"/>
  <c r="M40" i="4"/>
  <c r="B36"/>
  <c r="C30" i="14" s="1"/>
  <c r="H12" i="6"/>
  <c r="F50" i="1"/>
  <c r="F51"/>
  <c r="K51"/>
  <c r="F52"/>
  <c r="K52"/>
  <c r="F53"/>
  <c r="K53"/>
  <c r="K153"/>
  <c r="K197"/>
  <c r="B12" i="6"/>
  <c r="I8"/>
  <c r="I12" s="1"/>
  <c r="L10"/>
  <c r="E32" i="1"/>
  <c r="G32"/>
  <c r="D32"/>
  <c r="F32"/>
  <c r="F33" s="1"/>
  <c r="G39"/>
  <c r="A2" i="3"/>
  <c r="G9" i="2"/>
  <c r="I9" s="1"/>
  <c r="I14" s="1"/>
  <c r="B53" i="3"/>
  <c r="K50" i="1"/>
  <c r="K10" i="6"/>
  <c r="L18" i="2"/>
  <c r="K128" i="4"/>
  <c r="L9" i="6"/>
  <c r="K11"/>
  <c r="K9"/>
  <c r="L11"/>
  <c r="G12"/>
  <c r="L1" i="2"/>
  <c r="D7"/>
  <c r="F7"/>
  <c r="I4" s="1"/>
  <c r="D12" i="6"/>
  <c r="C7" i="2"/>
  <c r="E7"/>
  <c r="E12" i="6"/>
  <c r="H1"/>
  <c r="K1" i="4"/>
  <c r="M1" i="5"/>
  <c r="I11"/>
  <c r="I25"/>
  <c r="B41" i="3"/>
  <c r="AC25" i="4"/>
  <c r="AC31"/>
  <c r="BA10"/>
  <c r="BA110" s="1"/>
  <c r="AC13"/>
  <c r="AC15"/>
  <c r="AC17"/>
  <c r="AC19"/>
  <c r="AC21"/>
  <c r="AC23"/>
  <c r="BQ25"/>
  <c r="AC29"/>
  <c r="AC32"/>
  <c r="BP91"/>
  <c r="BE91" s="1"/>
  <c r="BP95"/>
  <c r="BE95" s="1"/>
  <c r="BQ106"/>
  <c r="BR106" s="1"/>
  <c r="Y13"/>
  <c r="Y15"/>
  <c r="Y17"/>
  <c r="Y19"/>
  <c r="Y21"/>
  <c r="Y23"/>
  <c r="Y25"/>
  <c r="Y29"/>
  <c r="Y31"/>
  <c r="Y32"/>
  <c r="BQ88"/>
  <c r="BQ89"/>
  <c r="BR89" s="1"/>
  <c r="BQ93"/>
  <c r="BR93" s="1"/>
  <c r="BQ13"/>
  <c r="BQ15"/>
  <c r="AY15" s="1"/>
  <c r="BQ17"/>
  <c r="BQ19"/>
  <c r="BQ21"/>
  <c r="BQ23"/>
  <c r="BQ29"/>
  <c r="BQ31"/>
  <c r="BR31" s="1"/>
  <c r="BQ32"/>
  <c r="BR32" s="1"/>
  <c r="BP98"/>
  <c r="AM98" s="1"/>
  <c r="BV99"/>
  <c r="BP100"/>
  <c r="AM100" s="1"/>
  <c r="BV101"/>
  <c r="BP102"/>
  <c r="AM102" s="1"/>
  <c r="BV103"/>
  <c r="BP104"/>
  <c r="AM104" s="1"/>
  <c r="BV105"/>
  <c r="K8" i="6"/>
  <c r="C12"/>
  <c r="BG16" i="4"/>
  <c r="BG18"/>
  <c r="BG20"/>
  <c r="BI22"/>
  <c r="BG24"/>
  <c r="BB12"/>
  <c r="BI17"/>
  <c r="AB18"/>
  <c r="Z18"/>
  <c r="X18"/>
  <c r="BI21"/>
  <c r="AB22"/>
  <c r="Z22"/>
  <c r="X22"/>
  <c r="BI25"/>
  <c r="AB28"/>
  <c r="Z28"/>
  <c r="X28"/>
  <c r="AB30"/>
  <c r="Z30"/>
  <c r="X30"/>
  <c r="BI31"/>
  <c r="BQ90"/>
  <c r="BR90" s="1"/>
  <c r="BP90"/>
  <c r="BE90" s="1"/>
  <c r="BV91"/>
  <c r="AQ91"/>
  <c r="BQ94"/>
  <c r="BR94" s="1"/>
  <c r="BP94"/>
  <c r="BE94" s="1"/>
  <c r="BV95"/>
  <c r="AQ95"/>
  <c r="AA18"/>
  <c r="AA22"/>
  <c r="AA28"/>
  <c r="BV28"/>
  <c r="AA30"/>
  <c r="BV30"/>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9"/>
  <c r="AQ89"/>
  <c r="BQ92"/>
  <c r="BR92" s="1"/>
  <c r="BP92"/>
  <c r="BE92" s="1"/>
  <c r="BV93"/>
  <c r="AQ93"/>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9"/>
  <c r="AM93"/>
  <c r="AB32"/>
  <c r="Z32"/>
  <c r="X32"/>
  <c r="AA32"/>
  <c r="BV32"/>
  <c r="BV40"/>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9"/>
  <c r="AO91"/>
  <c r="AO93"/>
  <c r="AO95"/>
  <c r="BQ99"/>
  <c r="AQ99"/>
  <c r="BQ101"/>
  <c r="AQ101"/>
  <c r="BQ103"/>
  <c r="BR103" s="1"/>
  <c r="AQ103"/>
  <c r="AO99"/>
  <c r="AO101"/>
  <c r="AO103"/>
  <c r="BV98"/>
  <c r="AE98"/>
  <c r="AQ98"/>
  <c r="BV100"/>
  <c r="AQ100"/>
  <c r="BV102"/>
  <c r="AQ102"/>
  <c r="BV104"/>
  <c r="AQ104"/>
  <c r="AQ106"/>
  <c r="BQ105"/>
  <c r="BR105" s="1"/>
  <c r="AQ105"/>
  <c r="BV106"/>
  <c r="AO105"/>
  <c r="AM106"/>
  <c r="AO98"/>
  <c r="AO100"/>
  <c r="AO102"/>
  <c r="AO104"/>
  <c r="AO106"/>
  <c r="H32" i="1"/>
  <c r="F9"/>
  <c r="F37"/>
  <c r="G7" i="2" s="1"/>
  <c r="C54" i="1"/>
  <c r="E37"/>
  <c r="A2" i="29" l="1"/>
  <c r="C1" i="31"/>
  <c r="A2" i="6"/>
  <c r="C1" i="30"/>
  <c r="E20" i="26"/>
  <c r="BJ110" i="4"/>
  <c r="BK110" s="1"/>
  <c r="BN110" s="1"/>
  <c r="AR110"/>
  <c r="AS110" s="1"/>
  <c r="AV110" s="1"/>
  <c r="CA40"/>
  <c r="BZ40"/>
  <c r="H40"/>
  <c r="CA36"/>
  <c r="BZ36"/>
  <c r="H36"/>
  <c r="CA34"/>
  <c r="BZ34"/>
  <c r="H34"/>
  <c r="CA38"/>
  <c r="BZ38"/>
  <c r="H38"/>
  <c r="BZ39"/>
  <c r="CA39"/>
  <c r="H39"/>
  <c r="BZ33"/>
  <c r="CA33"/>
  <c r="H33"/>
  <c r="BZ37"/>
  <c r="CA37"/>
  <c r="H37"/>
  <c r="E31" i="14" s="1"/>
  <c r="F31" s="1"/>
  <c r="G31" s="1"/>
  <c r="BZ35" i="4"/>
  <c r="CA35"/>
  <c r="H35"/>
  <c r="AR116"/>
  <c r="AS116" s="1"/>
  <c r="AV116" s="1"/>
  <c r="BV38"/>
  <c r="Q38"/>
  <c r="BV39"/>
  <c r="Q39"/>
  <c r="G21" i="26"/>
  <c r="H21" s="1"/>
  <c r="I21" s="1"/>
  <c r="Q34" i="4"/>
  <c r="AD37"/>
  <c r="Q37"/>
  <c r="Q36"/>
  <c r="Q35"/>
  <c r="Q33"/>
  <c r="Q40"/>
  <c r="N9" i="2"/>
  <c r="I31" i="5"/>
  <c r="I32" s="1"/>
  <c r="N25"/>
  <c r="N31" s="1"/>
  <c r="N32" s="1"/>
  <c r="E33"/>
  <c r="AR78" i="1"/>
  <c r="C28" i="14"/>
  <c r="BO40" i="4"/>
  <c r="BP40" s="1"/>
  <c r="AH32"/>
  <c r="AF32"/>
  <c r="BV37"/>
  <c r="BR101"/>
  <c r="AG101"/>
  <c r="AY101"/>
  <c r="BY37"/>
  <c r="BU37"/>
  <c r="C27" i="14"/>
  <c r="B20" i="26"/>
  <c r="BV35" i="4"/>
  <c r="G22" i="26"/>
  <c r="H22" s="1"/>
  <c r="BV33" i="4"/>
  <c r="G20" i="26"/>
  <c r="H20" s="1"/>
  <c r="D29" i="14"/>
  <c r="E22" i="26"/>
  <c r="C29" i="14"/>
  <c r="B22" i="26"/>
  <c r="D28" i="14"/>
  <c r="E21" i="26"/>
  <c r="M18"/>
  <c r="G14" i="2"/>
  <c r="X39" i="4"/>
  <c r="Y40"/>
  <c r="X38"/>
  <c r="A25" i="14"/>
  <c r="A26" s="1"/>
  <c r="B26" s="1"/>
  <c r="B24"/>
  <c r="A2" i="4"/>
  <c r="A4" i="26"/>
  <c r="A1" i="23"/>
  <c r="A2" i="7"/>
  <c r="B46" i="3"/>
  <c r="K54" i="1"/>
  <c r="AC40" i="4"/>
  <c r="Z40"/>
  <c r="F54" i="1"/>
  <c r="H33"/>
  <c r="BR23" i="4"/>
  <c r="AG23"/>
  <c r="AY23"/>
  <c r="BR19"/>
  <c r="AG19"/>
  <c r="AY19"/>
  <c r="BR25"/>
  <c r="AG25"/>
  <c r="AY25"/>
  <c r="D33" i="1"/>
  <c r="G33"/>
  <c r="BP25" i="4"/>
  <c r="AW25"/>
  <c r="AE25"/>
  <c r="BP24"/>
  <c r="AM24" s="1"/>
  <c r="AW24"/>
  <c r="AE24"/>
  <c r="BP23"/>
  <c r="BE23" s="1"/>
  <c r="AE23"/>
  <c r="AW23"/>
  <c r="BP22"/>
  <c r="BE22" s="1"/>
  <c r="AE22"/>
  <c r="AW22"/>
  <c r="BP21"/>
  <c r="AE21"/>
  <c r="AW21"/>
  <c r="BP20"/>
  <c r="AM20" s="1"/>
  <c r="AW20"/>
  <c r="AE20"/>
  <c r="BP19"/>
  <c r="BE19" s="1"/>
  <c r="AE19"/>
  <c r="AW19"/>
  <c r="BP18"/>
  <c r="BE18" s="1"/>
  <c r="AE18"/>
  <c r="AW18"/>
  <c r="BP17"/>
  <c r="AE17"/>
  <c r="AW17"/>
  <c r="BP16"/>
  <c r="AM16" s="1"/>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38" i="4"/>
  <c r="BP38" s="1"/>
  <c r="E34" i="14"/>
  <c r="F34" s="1"/>
  <c r="X34" i="4"/>
  <c r="AP40"/>
  <c r="I37"/>
  <c r="Y36"/>
  <c r="AC38"/>
  <c r="R40"/>
  <c r="AA40"/>
  <c r="BV36"/>
  <c r="X40"/>
  <c r="AB40"/>
  <c r="X36"/>
  <c r="AA33"/>
  <c r="X35"/>
  <c r="I40"/>
  <c r="J40"/>
  <c r="AN40"/>
  <c r="I29" i="10"/>
  <c r="I30" s="1"/>
  <c r="BO36" i="4"/>
  <c r="BP36" s="1"/>
  <c r="BV34"/>
  <c r="R29" i="10"/>
  <c r="R30" s="1"/>
  <c r="D27" i="14"/>
  <c r="Z37" i="4"/>
  <c r="D31" i="14"/>
  <c r="AB38" i="4"/>
  <c r="D32" i="14"/>
  <c r="AC37" i="4"/>
  <c r="X33"/>
  <c r="BU33"/>
  <c r="BY33"/>
  <c r="BU36"/>
  <c r="BY36"/>
  <c r="BU35"/>
  <c r="BY35"/>
  <c r="BW39"/>
  <c r="BX39" s="1"/>
  <c r="BS39"/>
  <c r="BI39" s="1"/>
  <c r="BW35"/>
  <c r="BX35" s="1"/>
  <c r="BS35"/>
  <c r="BI35" s="1"/>
  <c r="BU34"/>
  <c r="BY34"/>
  <c r="AW13"/>
  <c r="BP13"/>
  <c r="BE13" s="1"/>
  <c r="BW40"/>
  <c r="BX40" s="1"/>
  <c r="BS40"/>
  <c r="BG40" s="1"/>
  <c r="BW36"/>
  <c r="BX36" s="1"/>
  <c r="BS36"/>
  <c r="BG36" s="1"/>
  <c r="BU40"/>
  <c r="BY40"/>
  <c r="BW34"/>
  <c r="BX34" s="1"/>
  <c r="BS34"/>
  <c r="BI34" s="1"/>
  <c r="BW37"/>
  <c r="BX37" s="1"/>
  <c r="BS37"/>
  <c r="BI37" s="1"/>
  <c r="BU38"/>
  <c r="BY38"/>
  <c r="BW38"/>
  <c r="BX38" s="1"/>
  <c r="BS38"/>
  <c r="BG38" s="1"/>
  <c r="BU39"/>
  <c r="BY39"/>
  <c r="BW33"/>
  <c r="BS33"/>
  <c r="BI33" s="1"/>
  <c r="BQ33"/>
  <c r="BR33" s="1"/>
  <c r="J37"/>
  <c r="K37" s="1"/>
  <c r="BF37"/>
  <c r="AY13"/>
  <c r="L37"/>
  <c r="AN37"/>
  <c r="AP37"/>
  <c r="BA88"/>
  <c r="BA116"/>
  <c r="BJ116" s="1"/>
  <c r="BK116" s="1"/>
  <c r="BN116" s="1"/>
  <c r="BG31"/>
  <c r="AD40"/>
  <c r="BF40" s="1"/>
  <c r="BQ36"/>
  <c r="BR36" s="1"/>
  <c r="AB35"/>
  <c r="AB39"/>
  <c r="AC34"/>
  <c r="BO39"/>
  <c r="BP39" s="1"/>
  <c r="R38"/>
  <c r="R36"/>
  <c r="R34"/>
  <c r="BG21"/>
  <c r="BQ37"/>
  <c r="BR37" s="1"/>
  <c r="AA36"/>
  <c r="AB36"/>
  <c r="AB34"/>
  <c r="AA37"/>
  <c r="Y39"/>
  <c r="Y35"/>
  <c r="AH100"/>
  <c r="AZ100"/>
  <c r="J14" i="5"/>
  <c r="J33" s="1"/>
  <c r="BG25" i="4"/>
  <c r="AM95"/>
  <c r="BR99"/>
  <c r="AG99"/>
  <c r="AY99"/>
  <c r="BI15"/>
  <c r="BB15"/>
  <c r="BI13"/>
  <c r="BB13"/>
  <c r="BI29"/>
  <c r="BB29"/>
  <c r="BG30"/>
  <c r="BB30"/>
  <c r="BB32"/>
  <c r="BB31"/>
  <c r="BG28"/>
  <c r="BB28"/>
  <c r="BI14"/>
  <c r="BB14"/>
  <c r="BR88"/>
  <c r="AG88"/>
  <c r="AY88"/>
  <c r="AG98"/>
  <c r="AH98"/>
  <c r="AI106"/>
  <c r="AR106" s="1"/>
  <c r="AS106" s="1"/>
  <c r="AV106" s="1"/>
  <c r="AL106"/>
  <c r="BE104"/>
  <c r="AX104"/>
  <c r="AF104"/>
  <c r="BE102"/>
  <c r="AX102"/>
  <c r="AF102"/>
  <c r="BE100"/>
  <c r="AX100"/>
  <c r="AF100"/>
  <c r="BE98"/>
  <c r="AF98"/>
  <c r="BA106"/>
  <c r="BJ106" s="1"/>
  <c r="BK106" s="1"/>
  <c r="BN106" s="1"/>
  <c r="BD106"/>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BI30"/>
  <c r="BI24"/>
  <c r="BI20"/>
  <c r="Z33"/>
  <c r="AB37"/>
  <c r="BH37"/>
  <c r="Y38"/>
  <c r="AP38"/>
  <c r="AD38"/>
  <c r="BH38" s="1"/>
  <c r="AE32"/>
  <c r="AG32"/>
  <c r="BG13"/>
  <c r="BQ40"/>
  <c r="BR40" s="1"/>
  <c r="AC36"/>
  <c r="Z39"/>
  <c r="BG29"/>
  <c r="BI28"/>
  <c r="BG22"/>
  <c r="BG19"/>
  <c r="BG14"/>
  <c r="Z35"/>
  <c r="Y34"/>
  <c r="R39"/>
  <c r="BO37"/>
  <c r="BP37" s="1"/>
  <c r="R37"/>
  <c r="BO35"/>
  <c r="BP35" s="1"/>
  <c r="BO34"/>
  <c r="BP34" s="1"/>
  <c r="BO33"/>
  <c r="BP33" s="1"/>
  <c r="R33"/>
  <c r="BG17"/>
  <c r="BI16"/>
  <c r="BQ39"/>
  <c r="BR39" s="1"/>
  <c r="AA38"/>
  <c r="BQ35"/>
  <c r="BR35" s="1"/>
  <c r="AA34"/>
  <c r="Z38"/>
  <c r="Z36"/>
  <c r="Z34"/>
  <c r="AA39"/>
  <c r="AA35"/>
  <c r="AC39"/>
  <c r="Y37"/>
  <c r="X37"/>
  <c r="AC35"/>
  <c r="Y33"/>
  <c r="AB33"/>
  <c r="BQ38"/>
  <c r="BR38" s="1"/>
  <c r="BQ34"/>
  <c r="BR34" s="1"/>
  <c r="BG23"/>
  <c r="BI18"/>
  <c r="AC33"/>
  <c r="BG15"/>
  <c r="K12" i="6"/>
  <c r="K14" i="2" s="1"/>
  <c r="A2" i="5"/>
  <c r="BI32" i="4"/>
  <c r="L8" i="6"/>
  <c r="L12" s="1"/>
  <c r="L32" i="4"/>
  <c r="BF32"/>
  <c r="L31"/>
  <c r="BF31"/>
  <c r="L29"/>
  <c r="BF29"/>
  <c r="L30"/>
  <c r="BF30"/>
  <c r="AN38"/>
  <c r="L28"/>
  <c r="BF28"/>
  <c r="AN35"/>
  <c r="AN34"/>
  <c r="AN36"/>
  <c r="AN39"/>
  <c r="AN33"/>
  <c r="AM91"/>
  <c r="I14" i="5"/>
  <c r="I33" s="1"/>
  <c r="E29" i="14"/>
  <c r="F29" s="1"/>
  <c r="I35" i="4"/>
  <c r="J35"/>
  <c r="I34"/>
  <c r="E28" i="14"/>
  <c r="F28" s="1"/>
  <c r="J34" i="4"/>
  <c r="E30" i="14"/>
  <c r="F30" s="1"/>
  <c r="J36" i="4"/>
  <c r="I36"/>
  <c r="E33" i="14"/>
  <c r="F33" s="1"/>
  <c r="I39" i="4"/>
  <c r="J39"/>
  <c r="E27" i="14"/>
  <c r="F27" s="1"/>
  <c r="I33" i="4"/>
  <c r="J33"/>
  <c r="I38"/>
  <c r="E32" i="14"/>
  <c r="F32" s="1"/>
  <c r="J38" i="4"/>
  <c r="BI19"/>
  <c r="BP14"/>
  <c r="AM14" s="1"/>
  <c r="AE14"/>
  <c r="BR14"/>
  <c r="AG14"/>
  <c r="BR15"/>
  <c r="AG15"/>
  <c r="BP15"/>
  <c r="AM15" s="1"/>
  <c r="AE15"/>
  <c r="AE13"/>
  <c r="BR13"/>
  <c r="AG13"/>
  <c r="G44" i="1"/>
  <c r="E9" i="2"/>
  <c r="E14" s="1"/>
  <c r="N14"/>
  <c r="BP105" i="4"/>
  <c r="BP103"/>
  <c r="BP101"/>
  <c r="BP99"/>
  <c r="BE31"/>
  <c r="AM31"/>
  <c r="BE25"/>
  <c r="AM25"/>
  <c r="BE21"/>
  <c r="AM21"/>
  <c r="AM19"/>
  <c r="BE17"/>
  <c r="AM17"/>
  <c r="AM92"/>
  <c r="AM90"/>
  <c r="AQ31"/>
  <c r="AO31"/>
  <c r="AO29"/>
  <c r="AQ29"/>
  <c r="AO25"/>
  <c r="AQ25"/>
  <c r="AO21"/>
  <c r="AQ21"/>
  <c r="AO17"/>
  <c r="AQ17"/>
  <c r="AQ30"/>
  <c r="AO30"/>
  <c r="AQ22"/>
  <c r="AO22"/>
  <c r="AQ18"/>
  <c r="AO18"/>
  <c r="AQ14"/>
  <c r="AO14"/>
  <c r="AQ94"/>
  <c r="BE32"/>
  <c r="AM32"/>
  <c r="BE24"/>
  <c r="BV94"/>
  <c r="AO94"/>
  <c r="BV92"/>
  <c r="BV90"/>
  <c r="AO90"/>
  <c r="AO32"/>
  <c r="AQ32"/>
  <c r="AO23"/>
  <c r="AQ23"/>
  <c r="AO19"/>
  <c r="AQ19"/>
  <c r="AO15"/>
  <c r="AQ15"/>
  <c r="AO13"/>
  <c r="AQ13"/>
  <c r="AM94"/>
  <c r="AQ28"/>
  <c r="AO28"/>
  <c r="AQ24"/>
  <c r="AO24"/>
  <c r="AQ20"/>
  <c r="AO20"/>
  <c r="AQ16"/>
  <c r="AO16"/>
  <c r="AQ92"/>
  <c r="AQ90"/>
  <c r="AO92"/>
  <c r="AM23" l="1"/>
  <c r="K21" i="26"/>
  <c r="L21" s="1"/>
  <c r="M21" s="1"/>
  <c r="AL32" i="4"/>
  <c r="AM18"/>
  <c r="AM22"/>
  <c r="Q21" i="26"/>
  <c r="R21" s="1"/>
  <c r="G41" i="4"/>
  <c r="CB41" s="1"/>
  <c r="V41"/>
  <c r="BT41" s="1"/>
  <c r="B41"/>
  <c r="C35" i="14" s="1"/>
  <c r="F41" i="4"/>
  <c r="W41"/>
  <c r="E41"/>
  <c r="C41"/>
  <c r="S41"/>
  <c r="M41"/>
  <c r="D41"/>
  <c r="I31" i="14"/>
  <c r="BE20" i="4"/>
  <c r="BE16"/>
  <c r="AQ37"/>
  <c r="AR79" i="1"/>
  <c r="S42" i="4" s="1"/>
  <c r="AR80" i="1"/>
  <c r="BB40" i="4"/>
  <c r="BH40"/>
  <c r="L40"/>
  <c r="K40"/>
  <c r="BF39"/>
  <c r="K39"/>
  <c r="AE39" s="1"/>
  <c r="BB39"/>
  <c r="L39"/>
  <c r="K38"/>
  <c r="AE38" s="1"/>
  <c r="K33"/>
  <c r="AG33" s="1"/>
  <c r="L123"/>
  <c r="K12" i="5" s="1"/>
  <c r="L124" i="4"/>
  <c r="K13" i="5" s="1"/>
  <c r="BH33" i="4"/>
  <c r="AO39"/>
  <c r="BG39"/>
  <c r="AH101"/>
  <c r="AZ101"/>
  <c r="AY33"/>
  <c r="Q20" i="26"/>
  <c r="K20"/>
  <c r="I20"/>
  <c r="H23"/>
  <c r="H24" s="1"/>
  <c r="Q22"/>
  <c r="R22" s="1"/>
  <c r="K22"/>
  <c r="L22" s="1"/>
  <c r="I22"/>
  <c r="B25" i="14"/>
  <c r="G27"/>
  <c r="I27"/>
  <c r="A27" s="1"/>
  <c r="G30"/>
  <c r="I30"/>
  <c r="G28"/>
  <c r="I28"/>
  <c r="G29"/>
  <c r="I29"/>
  <c r="G34"/>
  <c r="I34"/>
  <c r="G32"/>
  <c r="I32"/>
  <c r="G33"/>
  <c r="I33"/>
  <c r="BG35" i="4"/>
  <c r="AO35"/>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M38"/>
  <c r="AO38"/>
  <c r="BE38"/>
  <c r="BG34"/>
  <c r="AO33"/>
  <c r="AM33"/>
  <c r="AQ33"/>
  <c r="AQ38"/>
  <c r="BI38"/>
  <c r="BG33"/>
  <c r="BB38"/>
  <c r="AQ36"/>
  <c r="AQ40"/>
  <c r="BE36"/>
  <c r="BE40"/>
  <c r="AO37"/>
  <c r="AO34"/>
  <c r="L38"/>
  <c r="BF38"/>
  <c r="BE28"/>
  <c r="AM34"/>
  <c r="AM37"/>
  <c r="BB37"/>
  <c r="BG37"/>
  <c r="BI40"/>
  <c r="AY37"/>
  <c r="K35"/>
  <c r="AG35" s="1"/>
  <c r="G11" i="15"/>
  <c r="BE34" i="4"/>
  <c r="BE37"/>
  <c r="BX33"/>
  <c r="BE30"/>
  <c r="BE29"/>
  <c r="BF34"/>
  <c r="AG37"/>
  <c r="AH37"/>
  <c r="AE37"/>
  <c r="AF37"/>
  <c r="AX37"/>
  <c r="BH34"/>
  <c r="AW37"/>
  <c r="AL31"/>
  <c r="AM28"/>
  <c r="AM30"/>
  <c r="AM29"/>
  <c r="BE33"/>
  <c r="L36"/>
  <c r="AY36" s="1"/>
  <c r="BF33"/>
  <c r="BF36"/>
  <c r="BF35"/>
  <c r="BH35"/>
  <c r="AH99"/>
  <c r="AZ99"/>
  <c r="AY34"/>
  <c r="AZ35"/>
  <c r="AH13"/>
  <c r="AZ13"/>
  <c r="AF13"/>
  <c r="AI13" s="1"/>
  <c r="AX13"/>
  <c r="AF15"/>
  <c r="AI15" s="1"/>
  <c r="AX15"/>
  <c r="AH15"/>
  <c r="AZ15"/>
  <c r="AH14"/>
  <c r="AZ14"/>
  <c r="AF14"/>
  <c r="AL14" s="1"/>
  <c r="AX14"/>
  <c r="BA14" s="1"/>
  <c r="AY28"/>
  <c r="AZ28"/>
  <c r="AX28"/>
  <c r="AW28"/>
  <c r="AZ88"/>
  <c r="AH88"/>
  <c r="AX34"/>
  <c r="AZ34"/>
  <c r="AW34"/>
  <c r="AX35"/>
  <c r="AY35"/>
  <c r="BB35"/>
  <c r="AW33"/>
  <c r="AZ33"/>
  <c r="AW30"/>
  <c r="AZ30"/>
  <c r="AX30"/>
  <c r="AY30"/>
  <c r="AZ29"/>
  <c r="AW29"/>
  <c r="AY29"/>
  <c r="AX29"/>
  <c r="AZ31"/>
  <c r="AW31"/>
  <c r="AY31"/>
  <c r="AX31"/>
  <c r="AY32"/>
  <c r="AW32"/>
  <c r="AZ32"/>
  <c r="AX32"/>
  <c r="BB34"/>
  <c r="AW35"/>
  <c r="BB36"/>
  <c r="AX33"/>
  <c r="BB33"/>
  <c r="AW98"/>
  <c r="AY98"/>
  <c r="AX98"/>
  <c r="AZ98"/>
  <c r="BE101"/>
  <c r="AF101"/>
  <c r="AX101"/>
  <c r="BE105"/>
  <c r="AF105"/>
  <c r="AX105"/>
  <c r="AI100"/>
  <c r="AL100"/>
  <c r="BA102"/>
  <c r="BJ102" s="1"/>
  <c r="BK102" s="1"/>
  <c r="BN102" s="1"/>
  <c r="BD102"/>
  <c r="AI104"/>
  <c r="AR104" s="1"/>
  <c r="AS104" s="1"/>
  <c r="AV104" s="1"/>
  <c r="AL104"/>
  <c r="BE99"/>
  <c r="AF99"/>
  <c r="AX99"/>
  <c r="BE103"/>
  <c r="AF103"/>
  <c r="AX103"/>
  <c r="AI98"/>
  <c r="AL98"/>
  <c r="BA100"/>
  <c r="BD100"/>
  <c r="AI102"/>
  <c r="AR102" s="1"/>
  <c r="AS102" s="1"/>
  <c r="AV102" s="1"/>
  <c r="AL102"/>
  <c r="BA104"/>
  <c r="BJ104" s="1"/>
  <c r="BK104" s="1"/>
  <c r="BN104" s="1"/>
  <c r="BD104"/>
  <c r="AL29"/>
  <c r="AL30"/>
  <c r="AI28"/>
  <c r="AL28"/>
  <c r="BE14"/>
  <c r="AM13"/>
  <c r="K36"/>
  <c r="AI31"/>
  <c r="AI32"/>
  <c r="AR32" s="1"/>
  <c r="AS32" s="1"/>
  <c r="AI29"/>
  <c r="AI30"/>
  <c r="BE35"/>
  <c r="BE15"/>
  <c r="O14" i="2"/>
  <c r="L14"/>
  <c r="J14"/>
  <c r="K34" i="4"/>
  <c r="F14" i="2"/>
  <c r="C46" i="3"/>
  <c r="C8"/>
  <c r="B8"/>
  <c r="AM99" i="4"/>
  <c r="AM101"/>
  <c r="AM103"/>
  <c r="AM105"/>
  <c r="BZ41" l="1"/>
  <c r="CA41"/>
  <c r="H41"/>
  <c r="V42"/>
  <c r="BT42" s="1"/>
  <c r="C42"/>
  <c r="BW41"/>
  <c r="BX41" s="1"/>
  <c r="BS41"/>
  <c r="X41"/>
  <c r="AC41"/>
  <c r="Y41"/>
  <c r="Z41"/>
  <c r="AA41"/>
  <c r="AB41"/>
  <c r="J41"/>
  <c r="AD41"/>
  <c r="BH41" s="1"/>
  <c r="Q41"/>
  <c r="I41"/>
  <c r="AP41"/>
  <c r="BV41"/>
  <c r="AN41"/>
  <c r="G42"/>
  <c r="CB42" s="1"/>
  <c r="M42"/>
  <c r="D35" i="14"/>
  <c r="BQ41" i="4"/>
  <c r="BR41" s="1"/>
  <c r="R41"/>
  <c r="BO41"/>
  <c r="BP41" s="1"/>
  <c r="D42"/>
  <c r="W42"/>
  <c r="BY41"/>
  <c r="BU41"/>
  <c r="B42"/>
  <c r="C36" i="14" s="1"/>
  <c r="F42" i="4"/>
  <c r="E42"/>
  <c r="BQ42" s="1"/>
  <c r="BR42" s="1"/>
  <c r="BU42"/>
  <c r="BY42"/>
  <c r="BS42"/>
  <c r="BW42"/>
  <c r="BX42" s="1"/>
  <c r="AD42"/>
  <c r="AN42"/>
  <c r="BV42"/>
  <c r="I42"/>
  <c r="J42"/>
  <c r="AH33"/>
  <c r="AE33"/>
  <c r="AF33"/>
  <c r="AF38"/>
  <c r="AL38" s="1"/>
  <c r="AG38"/>
  <c r="AF35"/>
  <c r="AE35"/>
  <c r="AH38"/>
  <c r="AR81" i="1"/>
  <c r="AH39" i="4"/>
  <c r="AG39"/>
  <c r="AF39"/>
  <c r="AL39" s="1"/>
  <c r="AW40"/>
  <c r="AX40"/>
  <c r="AY40"/>
  <c r="AZ40"/>
  <c r="AH40"/>
  <c r="AE40"/>
  <c r="AF40"/>
  <c r="AG40"/>
  <c r="AX39"/>
  <c r="AW39"/>
  <c r="AY39"/>
  <c r="AZ39"/>
  <c r="BD14"/>
  <c r="BJ14" s="1"/>
  <c r="BK14" s="1"/>
  <c r="BN14" s="1"/>
  <c r="BD31"/>
  <c r="BA37"/>
  <c r="AI14"/>
  <c r="AR14" s="1"/>
  <c r="AS14" s="1"/>
  <c r="AV14" s="1"/>
  <c r="BA98"/>
  <c r="AX36"/>
  <c r="B30" i="3"/>
  <c r="B29"/>
  <c r="O13" i="5"/>
  <c r="N13"/>
  <c r="M13"/>
  <c r="O12"/>
  <c r="N12"/>
  <c r="M12"/>
  <c r="M22" i="26"/>
  <c r="R20"/>
  <c r="R23" s="1"/>
  <c r="R24" s="1"/>
  <c r="Q27" s="1"/>
  <c r="Q23"/>
  <c r="Q24" s="1"/>
  <c r="Q25" s="1"/>
  <c r="I23"/>
  <c r="I24" s="1"/>
  <c r="I25" s="1"/>
  <c r="H25"/>
  <c r="M30"/>
  <c r="Q30" s="1"/>
  <c r="L20"/>
  <c r="K23"/>
  <c r="K24" s="1"/>
  <c r="K25" s="1"/>
  <c r="A28" i="14"/>
  <c r="A29" s="1"/>
  <c r="A30" s="1"/>
  <c r="A31" s="1"/>
  <c r="B27"/>
  <c r="AH35" i="4"/>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W38"/>
  <c r="AZ38"/>
  <c r="AX38"/>
  <c r="AY38"/>
  <c r="BJ100"/>
  <c r="BK100" s="1"/>
  <c r="BN100" s="1"/>
  <c r="AL13"/>
  <c r="AR13" s="1"/>
  <c r="AS13" s="1"/>
  <c r="AV13" s="1"/>
  <c r="BD33"/>
  <c r="AW36"/>
  <c r="BA35"/>
  <c r="AI37"/>
  <c r="AL37"/>
  <c r="BA33"/>
  <c r="AL15"/>
  <c r="AR15" s="1"/>
  <c r="AS15" s="1"/>
  <c r="AV15" s="1"/>
  <c r="AR30"/>
  <c r="AS30" s="1"/>
  <c r="AR28"/>
  <c r="AS28" s="1"/>
  <c r="AZ36"/>
  <c r="BD98"/>
  <c r="AR100"/>
  <c r="AS100" s="1"/>
  <c r="AV100" s="1"/>
  <c r="AR29"/>
  <c r="AS29" s="1"/>
  <c r="AV29" s="1"/>
  <c r="AR98"/>
  <c r="AS98" s="1"/>
  <c r="AV98" s="1"/>
  <c r="AI103"/>
  <c r="AR103" s="1"/>
  <c r="AS103" s="1"/>
  <c r="AV103" s="1"/>
  <c r="AL103"/>
  <c r="BD99"/>
  <c r="BA99"/>
  <c r="AI105"/>
  <c r="AR105" s="1"/>
  <c r="AS105" s="1"/>
  <c r="AV105" s="1"/>
  <c r="AL105"/>
  <c r="BD101"/>
  <c r="BA101"/>
  <c r="BD103"/>
  <c r="BA103"/>
  <c r="AI99"/>
  <c r="AL99"/>
  <c r="BD105"/>
  <c r="BA105"/>
  <c r="AI101"/>
  <c r="AR101" s="1"/>
  <c r="AS101" s="1"/>
  <c r="AV101" s="1"/>
  <c r="AL101"/>
  <c r="AF34"/>
  <c r="AE34"/>
  <c r="AH34"/>
  <c r="AG34"/>
  <c r="AH36"/>
  <c r="AG36"/>
  <c r="AF36"/>
  <c r="AE36"/>
  <c r="BA31"/>
  <c r="AV21"/>
  <c r="BA30"/>
  <c r="BD30"/>
  <c r="BA22"/>
  <c r="BD22"/>
  <c r="BD19"/>
  <c r="BA19"/>
  <c r="BA28"/>
  <c r="BD28"/>
  <c r="BA24"/>
  <c r="BD24"/>
  <c r="BA20"/>
  <c r="BD20"/>
  <c r="BA16"/>
  <c r="BD16"/>
  <c r="AV32"/>
  <c r="BD34"/>
  <c r="BA34"/>
  <c r="BD29"/>
  <c r="BA29"/>
  <c r="BD25"/>
  <c r="BA25"/>
  <c r="BD17"/>
  <c r="BA17"/>
  <c r="BA18"/>
  <c r="BD18"/>
  <c r="BD21"/>
  <c r="BA21"/>
  <c r="BD32"/>
  <c r="BA32"/>
  <c r="BD23"/>
  <c r="BA23"/>
  <c r="BD15"/>
  <c r="BA15"/>
  <c r="BD13"/>
  <c r="BA13"/>
  <c r="CA42" l="1"/>
  <c r="BZ42"/>
  <c r="H42"/>
  <c r="AL35"/>
  <c r="AP42"/>
  <c r="Z42"/>
  <c r="AB42"/>
  <c r="BO42"/>
  <c r="BP42" s="1"/>
  <c r="BE42" s="1"/>
  <c r="AM41"/>
  <c r="BE41"/>
  <c r="E35" i="14"/>
  <c r="K41" i="4"/>
  <c r="AC42"/>
  <c r="D36" i="14"/>
  <c r="L41" i="4"/>
  <c r="BB41"/>
  <c r="BF41"/>
  <c r="AQ41"/>
  <c r="BG41"/>
  <c r="BI41"/>
  <c r="AO41"/>
  <c r="R42"/>
  <c r="Y42"/>
  <c r="AA42"/>
  <c r="X42"/>
  <c r="Q42"/>
  <c r="AQ42"/>
  <c r="BI42"/>
  <c r="AO42"/>
  <c r="BG42"/>
  <c r="BH42"/>
  <c r="L42"/>
  <c r="BB42"/>
  <c r="BF42"/>
  <c r="AL33"/>
  <c r="E36" i="14"/>
  <c r="K42" i="4"/>
  <c r="AI33"/>
  <c r="AI38"/>
  <c r="AR38" s="1"/>
  <c r="AS38" s="1"/>
  <c r="AV38" s="1"/>
  <c r="AI35"/>
  <c r="AR35" s="1"/>
  <c r="AS35" s="1"/>
  <c r="AV35" s="1"/>
  <c r="BD36"/>
  <c r="BA40"/>
  <c r="BD40"/>
  <c r="AR82" i="1"/>
  <c r="W43" i="4" s="1"/>
  <c r="BJ37"/>
  <c r="BK37" s="1"/>
  <c r="BN37" s="1"/>
  <c r="AI39"/>
  <c r="AR39" s="1"/>
  <c r="AS39" s="1"/>
  <c r="AV39" s="1"/>
  <c r="AI40"/>
  <c r="AL40"/>
  <c r="BD39"/>
  <c r="BA39"/>
  <c r="A32" i="14"/>
  <c r="B31"/>
  <c r="BA36" i="4"/>
  <c r="BJ36" s="1"/>
  <c r="BK36" s="1"/>
  <c r="BN36" s="1"/>
  <c r="BJ35"/>
  <c r="BK35" s="1"/>
  <c r="BN35" s="1"/>
  <c r="BJ33"/>
  <c r="BK33" s="1"/>
  <c r="BN33" s="1"/>
  <c r="BA38"/>
  <c r="BD38"/>
  <c r="BJ98"/>
  <c r="BK98" s="1"/>
  <c r="BN98" s="1"/>
  <c r="BJ31"/>
  <c r="BK31" s="1"/>
  <c r="BN31" s="1"/>
  <c r="B28" i="14"/>
  <c r="J12" i="24"/>
  <c r="R25" i="26"/>
  <c r="M20"/>
  <c r="M23" s="1"/>
  <c r="M24" s="1"/>
  <c r="M27" s="1"/>
  <c r="L23"/>
  <c r="L24" s="1"/>
  <c r="L25" s="1"/>
  <c r="B30" i="14"/>
  <c r="B29"/>
  <c r="AR37" i="4"/>
  <c r="AS37" s="1"/>
  <c r="AV37" s="1"/>
  <c r="AR99"/>
  <c r="AS99" s="1"/>
  <c r="AV99" s="1"/>
  <c r="AI36"/>
  <c r="AI34"/>
  <c r="BJ105"/>
  <c r="BK105" s="1"/>
  <c r="BN105" s="1"/>
  <c r="BJ103"/>
  <c r="BK103" s="1"/>
  <c r="BN103" s="1"/>
  <c r="BJ101"/>
  <c r="BK101" s="1"/>
  <c r="BN101" s="1"/>
  <c r="BJ99"/>
  <c r="BK99" s="1"/>
  <c r="BN99" s="1"/>
  <c r="AL36"/>
  <c r="AL34"/>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AV23"/>
  <c r="AV31"/>
  <c r="BJ21"/>
  <c r="BK21" s="1"/>
  <c r="BN21" s="1"/>
  <c r="AV28"/>
  <c r="AV30"/>
  <c r="BJ17"/>
  <c r="BK17" s="1"/>
  <c r="BN17" s="1"/>
  <c r="BJ25"/>
  <c r="BK25" s="1"/>
  <c r="BN25" s="1"/>
  <c r="BJ29"/>
  <c r="BK29" s="1"/>
  <c r="BN29" s="1"/>
  <c r="BJ34"/>
  <c r="BK34" s="1"/>
  <c r="BN34" s="1"/>
  <c r="AV19"/>
  <c r="BJ22"/>
  <c r="BK22" s="1"/>
  <c r="BN22" s="1"/>
  <c r="BJ30"/>
  <c r="BK30" s="1"/>
  <c r="BN30" s="1"/>
  <c r="AR33" l="1"/>
  <c r="AS33" s="1"/>
  <c r="AV33" s="1"/>
  <c r="AM42"/>
  <c r="M48"/>
  <c r="C64"/>
  <c r="G54"/>
  <c r="CB54" s="1"/>
  <c r="W62"/>
  <c r="C68"/>
  <c r="S56"/>
  <c r="AE41"/>
  <c r="AG41"/>
  <c r="AF41"/>
  <c r="AH41"/>
  <c r="B71"/>
  <c r="C65" i="14" s="1"/>
  <c r="E62" i="4"/>
  <c r="F62"/>
  <c r="D43"/>
  <c r="B43"/>
  <c r="C37" i="14" s="1"/>
  <c r="F43" i="4"/>
  <c r="M43"/>
  <c r="V43"/>
  <c r="BT43" s="1"/>
  <c r="M58"/>
  <c r="BW58" s="1"/>
  <c r="BX58" s="1"/>
  <c r="M60"/>
  <c r="E43"/>
  <c r="C43"/>
  <c r="G43"/>
  <c r="CB43" s="1"/>
  <c r="AZ41"/>
  <c r="AY41"/>
  <c r="AW41"/>
  <c r="AX41"/>
  <c r="F35" i="14"/>
  <c r="G35" s="1"/>
  <c r="I35"/>
  <c r="D71" i="4"/>
  <c r="V58"/>
  <c r="BT58" s="1"/>
  <c r="G52"/>
  <c r="CB52" s="1"/>
  <c r="S43"/>
  <c r="M45"/>
  <c r="BS45" s="1"/>
  <c r="V44"/>
  <c r="BT44" s="1"/>
  <c r="W44"/>
  <c r="D44"/>
  <c r="B44"/>
  <c r="C38" i="14" s="1"/>
  <c r="F44" i="4"/>
  <c r="M44"/>
  <c r="S44"/>
  <c r="G44"/>
  <c r="CB44" s="1"/>
  <c r="E44"/>
  <c r="F36" i="14"/>
  <c r="G36" s="1"/>
  <c r="I36"/>
  <c r="C44" i="4"/>
  <c r="AH42"/>
  <c r="AF42"/>
  <c r="AE42"/>
  <c r="AG42"/>
  <c r="AY42"/>
  <c r="AZ42"/>
  <c r="AX42"/>
  <c r="AW42"/>
  <c r="G62"/>
  <c r="CB62" s="1"/>
  <c r="G71"/>
  <c r="CB71" s="1"/>
  <c r="C49"/>
  <c r="C62"/>
  <c r="F54"/>
  <c r="S63"/>
  <c r="G60"/>
  <c r="CB60" s="1"/>
  <c r="E51"/>
  <c r="W52"/>
  <c r="E52"/>
  <c r="G68"/>
  <c r="CB68" s="1"/>
  <c r="B61"/>
  <c r="C55" i="14" s="1"/>
  <c r="G50" i="4"/>
  <c r="CB50" s="1"/>
  <c r="S62"/>
  <c r="F58"/>
  <c r="M66"/>
  <c r="D58"/>
  <c r="G56"/>
  <c r="CB56" s="1"/>
  <c r="B49"/>
  <c r="C43" i="14" s="1"/>
  <c r="BJ40" i="4"/>
  <c r="BK40" s="1"/>
  <c r="BN40" s="1"/>
  <c r="C60"/>
  <c r="BY60" s="1"/>
  <c r="C67"/>
  <c r="E66"/>
  <c r="D48"/>
  <c r="E67"/>
  <c r="AY67" s="1"/>
  <c r="V52"/>
  <c r="BT52" s="1"/>
  <c r="D56"/>
  <c r="B62"/>
  <c r="C56" i="14" s="1"/>
  <c r="V51" i="4"/>
  <c r="BT51" s="1"/>
  <c r="G59"/>
  <c r="CB59" s="1"/>
  <c r="F68"/>
  <c r="S67"/>
  <c r="E65"/>
  <c r="S57"/>
  <c r="B60"/>
  <c r="C54" i="14" s="1"/>
  <c r="M67" i="4"/>
  <c r="W69"/>
  <c r="F45"/>
  <c r="S45"/>
  <c r="W45"/>
  <c r="G63"/>
  <c r="CB63" s="1"/>
  <c r="V45"/>
  <c r="BT45" s="1"/>
  <c r="E45"/>
  <c r="AX45" s="1"/>
  <c r="D45"/>
  <c r="C45"/>
  <c r="G45"/>
  <c r="CB45" s="1"/>
  <c r="W51"/>
  <c r="C70"/>
  <c r="D68"/>
  <c r="M57"/>
  <c r="W66"/>
  <c r="G55"/>
  <c r="CB55" s="1"/>
  <c r="M71"/>
  <c r="Q71" s="1"/>
  <c r="E64"/>
  <c r="S69"/>
  <c r="E50"/>
  <c r="E57"/>
  <c r="BB57" s="1"/>
  <c r="C58"/>
  <c r="D50"/>
  <c r="D64"/>
  <c r="W58"/>
  <c r="S61"/>
  <c r="F56"/>
  <c r="B45"/>
  <c r="C39" i="14" s="1"/>
  <c r="S52" i="4"/>
  <c r="C54"/>
  <c r="E63"/>
  <c r="E59"/>
  <c r="W67"/>
  <c r="D67"/>
  <c r="M62"/>
  <c r="W65"/>
  <c r="M65"/>
  <c r="BS65" s="1"/>
  <c r="C56"/>
  <c r="V65"/>
  <c r="BT65" s="1"/>
  <c r="M49"/>
  <c r="V56"/>
  <c r="BT56" s="1"/>
  <c r="F57"/>
  <c r="F60"/>
  <c r="V63"/>
  <c r="BT63" s="1"/>
  <c r="C55"/>
  <c r="BU55" s="1"/>
  <c r="B70"/>
  <c r="C64" i="14" s="1"/>
  <c r="F65" i="4"/>
  <c r="D55"/>
  <c r="S54"/>
  <c r="E68"/>
  <c r="V48"/>
  <c r="BT48" s="1"/>
  <c r="D60"/>
  <c r="W59"/>
  <c r="D46"/>
  <c r="V46"/>
  <c r="BT46" s="1"/>
  <c r="E46"/>
  <c r="AZ46" s="1"/>
  <c r="M46"/>
  <c r="S66"/>
  <c r="W46"/>
  <c r="B46"/>
  <c r="C40" i="14" s="1"/>
  <c r="B50" i="4"/>
  <c r="C44" i="14" s="1"/>
  <c r="G67" i="4"/>
  <c r="CB67" s="1"/>
  <c r="D49"/>
  <c r="S46"/>
  <c r="F46"/>
  <c r="C46"/>
  <c r="G46"/>
  <c r="CB46" s="1"/>
  <c r="M29" i="26"/>
  <c r="Q39"/>
  <c r="Q29"/>
  <c r="V69" i="4"/>
  <c r="BT69" s="1"/>
  <c r="S55"/>
  <c r="D66"/>
  <c r="M70"/>
  <c r="W71"/>
  <c r="G51"/>
  <c r="CB51" s="1"/>
  <c r="E55"/>
  <c r="G69"/>
  <c r="CB69" s="1"/>
  <c r="S59"/>
  <c r="E58"/>
  <c r="AZ58" s="1"/>
  <c r="M68"/>
  <c r="Q68" s="1"/>
  <c r="B55"/>
  <c r="C49" i="14" s="1"/>
  <c r="S49" i="4"/>
  <c r="G65"/>
  <c r="CB65" s="1"/>
  <c r="D65"/>
  <c r="B67"/>
  <c r="C61" i="14" s="1"/>
  <c r="F51" i="4"/>
  <c r="S64"/>
  <c r="G47"/>
  <c r="CB47" s="1"/>
  <c r="W57"/>
  <c r="C50"/>
  <c r="M53"/>
  <c r="BS53" s="1"/>
  <c r="E71"/>
  <c r="V66"/>
  <c r="BT66" s="1"/>
  <c r="S48"/>
  <c r="C59"/>
  <c r="BU59" s="1"/>
  <c r="B59"/>
  <c r="C53" i="14" s="1"/>
  <c r="W64" i="4"/>
  <c r="V50"/>
  <c r="BT50" s="1"/>
  <c r="B57"/>
  <c r="C51" i="14" s="1"/>
  <c r="B63" i="4"/>
  <c r="C57" i="14" s="1"/>
  <c r="W54" i="4"/>
  <c r="G64"/>
  <c r="CB64" s="1"/>
  <c r="F67"/>
  <c r="M54"/>
  <c r="V55"/>
  <c r="BT55" s="1"/>
  <c r="G58"/>
  <c r="CB58" s="1"/>
  <c r="G48"/>
  <c r="CB48" s="1"/>
  <c r="V67"/>
  <c r="BT67" s="1"/>
  <c r="S51"/>
  <c r="V62"/>
  <c r="BT62" s="1"/>
  <c r="F70"/>
  <c r="C69"/>
  <c r="D57"/>
  <c r="B58"/>
  <c r="C52" i="14" s="1"/>
  <c r="D54" i="4"/>
  <c r="B54"/>
  <c r="C48" i="14" s="1"/>
  <c r="C48" i="4"/>
  <c r="AY46"/>
  <c r="M63"/>
  <c r="BO63" s="1"/>
  <c r="BP63" s="1"/>
  <c r="W50"/>
  <c r="B48"/>
  <c r="C42" i="14" s="1"/>
  <c r="W63" i="4"/>
  <c r="AC63" s="1"/>
  <c r="M64"/>
  <c r="C53"/>
  <c r="E48"/>
  <c r="BQ48" s="1"/>
  <c r="BR48" s="1"/>
  <c r="E69"/>
  <c r="R69" s="1"/>
  <c r="W49"/>
  <c r="W48"/>
  <c r="V47"/>
  <c r="BT47" s="1"/>
  <c r="B47"/>
  <c r="C41" i="14" s="1"/>
  <c r="C47" i="4"/>
  <c r="AN47"/>
  <c r="M47"/>
  <c r="E47"/>
  <c r="E56"/>
  <c r="M69"/>
  <c r="E49"/>
  <c r="G53"/>
  <c r="CB53" s="1"/>
  <c r="V57"/>
  <c r="BT57" s="1"/>
  <c r="D59"/>
  <c r="W68"/>
  <c r="Z68" s="1"/>
  <c r="D51"/>
  <c r="E60"/>
  <c r="F48"/>
  <c r="W47"/>
  <c r="D47"/>
  <c r="S47"/>
  <c r="F47"/>
  <c r="AY45"/>
  <c r="AZ45"/>
  <c r="BY68"/>
  <c r="BU68"/>
  <c r="AD62"/>
  <c r="AP62"/>
  <c r="AH62"/>
  <c r="AF62"/>
  <c r="BY70"/>
  <c r="BU70"/>
  <c r="AI46"/>
  <c r="AR46" s="1"/>
  <c r="AS46" s="1"/>
  <c r="AV46" s="1"/>
  <c r="AL46"/>
  <c r="AG45"/>
  <c r="AF45"/>
  <c r="AE45"/>
  <c r="AH45"/>
  <c r="AX66"/>
  <c r="R66"/>
  <c r="AY66"/>
  <c r="AS66"/>
  <c r="AV66" s="1"/>
  <c r="D60" i="14"/>
  <c r="AZ66" i="4"/>
  <c r="BH66"/>
  <c r="AW66"/>
  <c r="BB66"/>
  <c r="AR66"/>
  <c r="BO66"/>
  <c r="BP66" s="1"/>
  <c r="BQ66"/>
  <c r="BR66" s="1"/>
  <c r="AS67"/>
  <c r="AV67" s="1"/>
  <c r="R67"/>
  <c r="AX67"/>
  <c r="AG59"/>
  <c r="BV59"/>
  <c r="J59"/>
  <c r="AE59"/>
  <c r="BF59"/>
  <c r="AN59"/>
  <c r="AD59"/>
  <c r="AI59"/>
  <c r="AH59"/>
  <c r="K59"/>
  <c r="L59"/>
  <c r="AF59"/>
  <c r="AL59"/>
  <c r="AP59"/>
  <c r="I59"/>
  <c r="BY54"/>
  <c r="BU54"/>
  <c r="R63"/>
  <c r="D57" i="14"/>
  <c r="AY63" i="4"/>
  <c r="AS63"/>
  <c r="AV63" s="1"/>
  <c r="BH63"/>
  <c r="AZ63"/>
  <c r="AW63"/>
  <c r="AX63"/>
  <c r="AR63"/>
  <c r="BB63"/>
  <c r="AZ59"/>
  <c r="AR59"/>
  <c r="BB59"/>
  <c r="AX59"/>
  <c r="D53" i="14"/>
  <c r="AY59" i="4"/>
  <c r="R59"/>
  <c r="AW59"/>
  <c r="AS59"/>
  <c r="AV59" s="1"/>
  <c r="BH59"/>
  <c r="AC67"/>
  <c r="BW62"/>
  <c r="BX62" s="1"/>
  <c r="BS62"/>
  <c r="AB58"/>
  <c r="Y58"/>
  <c r="AG56"/>
  <c r="AF56"/>
  <c r="BV56"/>
  <c r="AN56"/>
  <c r="AH56"/>
  <c r="J56"/>
  <c r="BF56"/>
  <c r="L56"/>
  <c r="I56"/>
  <c r="AE56"/>
  <c r="AP56"/>
  <c r="K56"/>
  <c r="AI56"/>
  <c r="AD56"/>
  <c r="AL56"/>
  <c r="BW67"/>
  <c r="BX67" s="1"/>
  <c r="BS67"/>
  <c r="AG52"/>
  <c r="AD52"/>
  <c r="AE52"/>
  <c r="AP52"/>
  <c r="BV52"/>
  <c r="AI52"/>
  <c r="BF52"/>
  <c r="L52"/>
  <c r="AL52"/>
  <c r="AN52"/>
  <c r="I52"/>
  <c r="AH52"/>
  <c r="J52"/>
  <c r="AF52"/>
  <c r="K52"/>
  <c r="BW60"/>
  <c r="BX60" s="1"/>
  <c r="BS60"/>
  <c r="BS49"/>
  <c r="BW49"/>
  <c r="BX49" s="1"/>
  <c r="J63"/>
  <c r="AF63"/>
  <c r="K63"/>
  <c r="D42" i="14"/>
  <c r="R48" i="4"/>
  <c r="F52"/>
  <c r="F64"/>
  <c r="V68"/>
  <c r="BT68" s="1"/>
  <c r="M50"/>
  <c r="B69"/>
  <c r="C63" i="14" s="1"/>
  <c r="W56" i="4"/>
  <c r="C52"/>
  <c r="F49"/>
  <c r="S68"/>
  <c r="C63"/>
  <c r="F66"/>
  <c r="S58"/>
  <c r="F55"/>
  <c r="F61"/>
  <c r="V53"/>
  <c r="BT53" s="1"/>
  <c r="C66"/>
  <c r="M52"/>
  <c r="Q52" s="1"/>
  <c r="S70"/>
  <c r="W55"/>
  <c r="B52"/>
  <c r="C46" i="14" s="1"/>
  <c r="F59" i="4"/>
  <c r="W70"/>
  <c r="W53"/>
  <c r="B53"/>
  <c r="C47" i="14" s="1"/>
  <c r="D61" i="4"/>
  <c r="V71"/>
  <c r="BT71" s="1"/>
  <c r="V54"/>
  <c r="BT54" s="1"/>
  <c r="Z51"/>
  <c r="AG68"/>
  <c r="L68"/>
  <c r="J68"/>
  <c r="AP68"/>
  <c r="AF68"/>
  <c r="AH68"/>
  <c r="I68"/>
  <c r="K68"/>
  <c r="AN68"/>
  <c r="AL68"/>
  <c r="BV68"/>
  <c r="AE68"/>
  <c r="BF68"/>
  <c r="AI68"/>
  <c r="AD68"/>
  <c r="BY64"/>
  <c r="BU64"/>
  <c r="AE50"/>
  <c r="AL50"/>
  <c r="AI50"/>
  <c r="AD50"/>
  <c r="D56" i="14"/>
  <c r="R62" i="4"/>
  <c r="BB62"/>
  <c r="AW62"/>
  <c r="BH62"/>
  <c r="AX62"/>
  <c r="AR62"/>
  <c r="AY62"/>
  <c r="AZ62"/>
  <c r="BQ62"/>
  <c r="BR62" s="1"/>
  <c r="AS62"/>
  <c r="AV62" s="1"/>
  <c r="BO62"/>
  <c r="BP62" s="1"/>
  <c r="BY49"/>
  <c r="BU49"/>
  <c r="AB62"/>
  <c r="BY58"/>
  <c r="BU58"/>
  <c r="BS66"/>
  <c r="BW66"/>
  <c r="BX66" s="1"/>
  <c r="Y52"/>
  <c r="Z52"/>
  <c r="BS70"/>
  <c r="BW70"/>
  <c r="BX70" s="1"/>
  <c r="Z71"/>
  <c r="AC71"/>
  <c r="X71"/>
  <c r="AA71"/>
  <c r="AB71"/>
  <c r="Y71"/>
  <c r="BF51"/>
  <c r="J51"/>
  <c r="AE51"/>
  <c r="BV51"/>
  <c r="D49" i="14"/>
  <c r="BB55" i="4"/>
  <c r="AX55"/>
  <c r="R55"/>
  <c r="BH55"/>
  <c r="AW55"/>
  <c r="AY55"/>
  <c r="AZ55"/>
  <c r="AS55"/>
  <c r="AV55" s="1"/>
  <c r="AR55"/>
  <c r="BF69"/>
  <c r="AN69"/>
  <c r="AI69"/>
  <c r="AL69"/>
  <c r="L69"/>
  <c r="K69"/>
  <c r="AG69"/>
  <c r="AH69"/>
  <c r="BV69"/>
  <c r="AP69"/>
  <c r="J69"/>
  <c r="AE69"/>
  <c r="I69"/>
  <c r="AF69"/>
  <c r="AD69"/>
  <c r="AS58"/>
  <c r="AV58" s="1"/>
  <c r="BH58"/>
  <c r="AW58"/>
  <c r="BW68"/>
  <c r="BX68" s="1"/>
  <c r="BS68"/>
  <c r="AQ68" s="1"/>
  <c r="AC59"/>
  <c r="Z59"/>
  <c r="AB59"/>
  <c r="Y59"/>
  <c r="AA59"/>
  <c r="X59"/>
  <c r="AI58"/>
  <c r="AL58"/>
  <c r="I58"/>
  <c r="AH58"/>
  <c r="BV58"/>
  <c r="AN58"/>
  <c r="AF58"/>
  <c r="AE58"/>
  <c r="J58"/>
  <c r="L58"/>
  <c r="K58"/>
  <c r="AP58"/>
  <c r="AG58"/>
  <c r="BF58"/>
  <c r="AD58"/>
  <c r="BS63"/>
  <c r="BW63"/>
  <c r="BX63" s="1"/>
  <c r="D50" i="14"/>
  <c r="R56" i="4"/>
  <c r="AZ56"/>
  <c r="AS56"/>
  <c r="AV56" s="1"/>
  <c r="BB56"/>
  <c r="AR56"/>
  <c r="BH56"/>
  <c r="AX56"/>
  <c r="AY56"/>
  <c r="AW56"/>
  <c r="Y50"/>
  <c r="BS69"/>
  <c r="BW69"/>
  <c r="BX69" s="1"/>
  <c r="BY50"/>
  <c r="BU50"/>
  <c r="BW53"/>
  <c r="BX53" s="1"/>
  <c r="AB68"/>
  <c r="Y68"/>
  <c r="X68"/>
  <c r="AA68"/>
  <c r="BQ69"/>
  <c r="BR69" s="1"/>
  <c r="AX69"/>
  <c r="AW69"/>
  <c r="BO60"/>
  <c r="BP60" s="1"/>
  <c r="BQ60"/>
  <c r="BR60" s="1"/>
  <c r="AW60"/>
  <c r="AX60"/>
  <c r="AY60"/>
  <c r="D54" i="14"/>
  <c r="BB60" i="4"/>
  <c r="BH60"/>
  <c r="AS60"/>
  <c r="AV60" s="1"/>
  <c r="R60"/>
  <c r="AR60"/>
  <c r="AZ60"/>
  <c r="C61"/>
  <c r="D53"/>
  <c r="V64"/>
  <c r="BT64" s="1"/>
  <c r="D63"/>
  <c r="D69"/>
  <c r="B64"/>
  <c r="C58" i="14" s="1"/>
  <c r="S65" i="4"/>
  <c r="AE47"/>
  <c r="AG47"/>
  <c r="AH47"/>
  <c r="AF47"/>
  <c r="BU60"/>
  <c r="K54"/>
  <c r="I54"/>
  <c r="AP54"/>
  <c r="AD71"/>
  <c r="J71"/>
  <c r="BV71"/>
  <c r="AL71"/>
  <c r="AN71"/>
  <c r="L71"/>
  <c r="AF71"/>
  <c r="AP71"/>
  <c r="AE71"/>
  <c r="AG71"/>
  <c r="K71"/>
  <c r="BF71"/>
  <c r="AI71"/>
  <c r="I71"/>
  <c r="AH71"/>
  <c r="BS48"/>
  <c r="BW48"/>
  <c r="AE60"/>
  <c r="L60"/>
  <c r="I60"/>
  <c r="AH60"/>
  <c r="AN60"/>
  <c r="AG60"/>
  <c r="AI60"/>
  <c r="K60"/>
  <c r="BF60"/>
  <c r="BV60"/>
  <c r="AD60"/>
  <c r="AP60"/>
  <c r="AL60"/>
  <c r="J60"/>
  <c r="AF60"/>
  <c r="BS58"/>
  <c r="BI58" s="1"/>
  <c r="D45" i="14"/>
  <c r="R51" i="4"/>
  <c r="AY51"/>
  <c r="AS51"/>
  <c r="AV51" s="1"/>
  <c r="AZ51"/>
  <c r="AR51"/>
  <c r="BH51"/>
  <c r="AX51"/>
  <c r="AW51"/>
  <c r="BB51"/>
  <c r="BY55"/>
  <c r="AB65"/>
  <c r="BW65"/>
  <c r="BX65" s="1"/>
  <c r="BU56"/>
  <c r="BY56"/>
  <c r="D62" i="14"/>
  <c r="R68" i="4"/>
  <c r="BB68"/>
  <c r="AW68"/>
  <c r="BO68"/>
  <c r="BP68" s="1"/>
  <c r="BH68"/>
  <c r="AX68"/>
  <c r="AY68"/>
  <c r="AR68"/>
  <c r="AZ68"/>
  <c r="BQ68"/>
  <c r="BR68" s="1"/>
  <c r="AS68"/>
  <c r="AV68" s="1"/>
  <c r="AB69"/>
  <c r="AA69"/>
  <c r="AG67"/>
  <c r="I67"/>
  <c r="AF67"/>
  <c r="BF67"/>
  <c r="AL67"/>
  <c r="AE67"/>
  <c r="K67"/>
  <c r="AD67"/>
  <c r="L67"/>
  <c r="AH67"/>
  <c r="AP67"/>
  <c r="J67"/>
  <c r="AI67"/>
  <c r="BV67"/>
  <c r="AN67"/>
  <c r="AC48"/>
  <c r="V70"/>
  <c r="BT70" s="1"/>
  <c r="G66"/>
  <c r="CB66" s="1"/>
  <c r="M61"/>
  <c r="D62"/>
  <c r="V61"/>
  <c r="BT61" s="1"/>
  <c r="C71"/>
  <c r="F71"/>
  <c r="S53"/>
  <c r="B56"/>
  <c r="C50" i="14" s="1"/>
  <c r="E70" i="4"/>
  <c r="W61"/>
  <c r="F53"/>
  <c r="D70"/>
  <c r="B65"/>
  <c r="C59" i="14" s="1"/>
  <c r="F63" i="4"/>
  <c r="E54"/>
  <c r="AC54" s="1"/>
  <c r="C65"/>
  <c r="V60"/>
  <c r="BT60" s="1"/>
  <c r="BG60" s="1"/>
  <c r="M56"/>
  <c r="BO56" s="1"/>
  <c r="BP56" s="1"/>
  <c r="D52"/>
  <c r="G61"/>
  <c r="CB61" s="1"/>
  <c r="B66"/>
  <c r="C60" i="14" s="1"/>
  <c r="F50" i="4"/>
  <c r="V49"/>
  <c r="BT49" s="1"/>
  <c r="C51"/>
  <c r="M55"/>
  <c r="Q55" s="1"/>
  <c r="M51"/>
  <c r="S50"/>
  <c r="G70"/>
  <c r="CB70" s="1"/>
  <c r="BU67"/>
  <c r="BY67"/>
  <c r="BS57"/>
  <c r="BW57"/>
  <c r="BX57" s="1"/>
  <c r="Z66"/>
  <c r="AG55"/>
  <c r="AI55"/>
  <c r="AD55"/>
  <c r="I55"/>
  <c r="AE55"/>
  <c r="K55"/>
  <c r="AL55"/>
  <c r="L55"/>
  <c r="AH55"/>
  <c r="AF55"/>
  <c r="BV55"/>
  <c r="J55"/>
  <c r="AP55"/>
  <c r="BF55"/>
  <c r="AN55"/>
  <c r="BS71"/>
  <c r="BI71" s="1"/>
  <c r="AX64"/>
  <c r="BO64"/>
  <c r="BP64" s="1"/>
  <c r="R64"/>
  <c r="AY64"/>
  <c r="AS64"/>
  <c r="AV64" s="1"/>
  <c r="D58" i="14"/>
  <c r="BQ64" i="4"/>
  <c r="BR64" s="1"/>
  <c r="BB64"/>
  <c r="AZ64"/>
  <c r="AR64"/>
  <c r="BH64"/>
  <c r="AW64"/>
  <c r="R50"/>
  <c r="D44" i="14"/>
  <c r="AW50" i="4"/>
  <c r="AX50"/>
  <c r="AY50"/>
  <c r="BH50"/>
  <c r="AZ50"/>
  <c r="BB50"/>
  <c r="AS50"/>
  <c r="AV50" s="1"/>
  <c r="AR50"/>
  <c r="D51" i="14"/>
  <c r="AX57" i="4"/>
  <c r="AY57"/>
  <c r="D59" i="14"/>
  <c r="BQ65" i="4"/>
  <c r="BR65" s="1"/>
  <c r="BH65"/>
  <c r="BY62"/>
  <c r="BU62"/>
  <c r="D46" i="14"/>
  <c r="AW52" i="4"/>
  <c r="AX52"/>
  <c r="BH52"/>
  <c r="AY52"/>
  <c r="R52"/>
  <c r="AZ52"/>
  <c r="BO52"/>
  <c r="BP52" s="1"/>
  <c r="BB52"/>
  <c r="AS52"/>
  <c r="AV52" s="1"/>
  <c r="AR52"/>
  <c r="AB64"/>
  <c r="Y64"/>
  <c r="X64"/>
  <c r="AA64"/>
  <c r="Z64"/>
  <c r="AC64"/>
  <c r="AG64"/>
  <c r="J64"/>
  <c r="AE64"/>
  <c r="AP64"/>
  <c r="AL64"/>
  <c r="I64"/>
  <c r="BV64"/>
  <c r="BF64"/>
  <c r="AI64"/>
  <c r="L64"/>
  <c r="AN64"/>
  <c r="AD64"/>
  <c r="AF64"/>
  <c r="K64"/>
  <c r="AH64"/>
  <c r="BS54"/>
  <c r="BW54"/>
  <c r="BX54" s="1"/>
  <c r="BY69"/>
  <c r="BU69"/>
  <c r="AE65"/>
  <c r="AP65"/>
  <c r="AG65"/>
  <c r="BV65"/>
  <c r="AL65"/>
  <c r="AH65"/>
  <c r="I65"/>
  <c r="J48"/>
  <c r="AD48"/>
  <c r="BF48" s="1"/>
  <c r="AP48"/>
  <c r="L48"/>
  <c r="D43" i="14"/>
  <c r="R49" i="4"/>
  <c r="BO49"/>
  <c r="BP49" s="1"/>
  <c r="BQ49"/>
  <c r="BR49" s="1"/>
  <c r="Z63"/>
  <c r="AB63"/>
  <c r="Y63"/>
  <c r="AE53"/>
  <c r="AD53"/>
  <c r="AP53"/>
  <c r="AI53"/>
  <c r="AL53"/>
  <c r="BV53"/>
  <c r="AG53"/>
  <c r="BS64"/>
  <c r="BW64"/>
  <c r="BX64" s="1"/>
  <c r="BU53"/>
  <c r="BY53"/>
  <c r="D65" i="14"/>
  <c r="R71" i="4"/>
  <c r="BB71"/>
  <c r="AR71"/>
  <c r="BH71"/>
  <c r="AX71"/>
  <c r="AY71"/>
  <c r="AW71"/>
  <c r="AZ71"/>
  <c r="AS71"/>
  <c r="AV71" s="1"/>
  <c r="BO71"/>
  <c r="BP71" s="1"/>
  <c r="BU48"/>
  <c r="BY48"/>
  <c r="M59"/>
  <c r="Q59" s="1"/>
  <c r="S71"/>
  <c r="B68"/>
  <c r="C62" i="14" s="1"/>
  <c r="V59" i="4"/>
  <c r="BT59" s="1"/>
  <c r="C57"/>
  <c r="E53"/>
  <c r="F69"/>
  <c r="S60"/>
  <c r="G57"/>
  <c r="CB57" s="1"/>
  <c r="E61"/>
  <c r="B51"/>
  <c r="C45" i="14" s="1"/>
  <c r="W60" i="4"/>
  <c r="G49"/>
  <c r="CB49" s="1"/>
  <c r="AR40"/>
  <c r="AS40" s="1"/>
  <c r="AV40" s="1"/>
  <c r="BJ39"/>
  <c r="BK39" s="1"/>
  <c r="BN39" s="1"/>
  <c r="A33" i="14"/>
  <c r="B32"/>
  <c r="BJ38" i="4"/>
  <c r="BK38" s="1"/>
  <c r="BN38" s="1"/>
  <c r="AR34"/>
  <c r="AS34" s="1"/>
  <c r="AV34" s="1"/>
  <c r="L12" i="24"/>
  <c r="L22" s="1"/>
  <c r="J22"/>
  <c r="M12"/>
  <c r="M22" s="1"/>
  <c r="K12"/>
  <c r="K22" s="1"/>
  <c r="M25" i="26"/>
  <c r="AR36" i="4"/>
  <c r="AS36" s="1"/>
  <c r="AV36" s="1"/>
  <c r="AC68" l="1"/>
  <c r="BQ63"/>
  <c r="BR63" s="1"/>
  <c r="I47"/>
  <c r="AP47"/>
  <c r="BG65"/>
  <c r="X67"/>
  <c r="AA58"/>
  <c r="AC69"/>
  <c r="AA65"/>
  <c r="AC52"/>
  <c r="AD47"/>
  <c r="L47" s="1"/>
  <c r="BV47"/>
  <c r="AH53"/>
  <c r="BF53"/>
  <c r="AN53"/>
  <c r="AF53"/>
  <c r="AA63"/>
  <c r="AN48"/>
  <c r="BV48"/>
  <c r="AI65"/>
  <c r="BF65"/>
  <c r="AN65"/>
  <c r="AF65"/>
  <c r="BY59"/>
  <c r="AX65"/>
  <c r="BB65"/>
  <c r="AZ65"/>
  <c r="AR57"/>
  <c r="BO57"/>
  <c r="BP57" s="1"/>
  <c r="R57"/>
  <c r="BW71"/>
  <c r="BX71" s="1"/>
  <c r="Y48"/>
  <c r="AB48"/>
  <c r="X69"/>
  <c r="Y69"/>
  <c r="Y65"/>
  <c r="AH54"/>
  <c r="AI54"/>
  <c r="J54"/>
  <c r="AE54"/>
  <c r="AZ69"/>
  <c r="D63" i="14"/>
  <c r="BB69" i="4"/>
  <c r="AA50"/>
  <c r="Z50"/>
  <c r="BI63"/>
  <c r="R58"/>
  <c r="AX58"/>
  <c r="BO58"/>
  <c r="BP58" s="1"/>
  <c r="AF51"/>
  <c r="AG51"/>
  <c r="K51"/>
  <c r="AA52"/>
  <c r="AB52"/>
  <c r="AA62"/>
  <c r="AN50"/>
  <c r="AF50"/>
  <c r="AH50"/>
  <c r="AP50"/>
  <c r="AC51"/>
  <c r="Y51"/>
  <c r="Q50"/>
  <c r="I63"/>
  <c r="AN63"/>
  <c r="AE63"/>
  <c r="AG63"/>
  <c r="BI67"/>
  <c r="X58"/>
  <c r="AB67"/>
  <c r="BO67"/>
  <c r="BP67" s="1"/>
  <c r="BH67"/>
  <c r="BQ67"/>
  <c r="BR67" s="1"/>
  <c r="I62"/>
  <c r="BF62"/>
  <c r="AN62"/>
  <c r="L62"/>
  <c r="Q63"/>
  <c r="Q54"/>
  <c r="BQ71"/>
  <c r="BR71" s="1"/>
  <c r="L53"/>
  <c r="K53"/>
  <c r="J53"/>
  <c r="I53"/>
  <c r="X63"/>
  <c r="I48"/>
  <c r="J65"/>
  <c r="L65"/>
  <c r="K65"/>
  <c r="AD65"/>
  <c r="BO65"/>
  <c r="BP65" s="1"/>
  <c r="AR65"/>
  <c r="AW65"/>
  <c r="AZ57"/>
  <c r="BH57"/>
  <c r="BQ57"/>
  <c r="BR57" s="1"/>
  <c r="Z48"/>
  <c r="X48"/>
  <c r="Z69"/>
  <c r="Z65"/>
  <c r="X65"/>
  <c r="AG54"/>
  <c r="BF54"/>
  <c r="AD54"/>
  <c r="AL54"/>
  <c r="AS69"/>
  <c r="AV69" s="1"/>
  <c r="AY69"/>
  <c r="AR69"/>
  <c r="X50"/>
  <c r="AC50"/>
  <c r="BQ58"/>
  <c r="BR58" s="1"/>
  <c r="BB58"/>
  <c r="D52" i="14"/>
  <c r="AN51" i="4"/>
  <c r="AH51"/>
  <c r="AI51"/>
  <c r="AD51"/>
  <c r="X52"/>
  <c r="Z62"/>
  <c r="AC62"/>
  <c r="J50"/>
  <c r="L50"/>
  <c r="I50"/>
  <c r="BF50"/>
  <c r="AB51"/>
  <c r="AA51"/>
  <c r="AI63"/>
  <c r="AP63"/>
  <c r="AL63"/>
  <c r="BF63"/>
  <c r="AC58"/>
  <c r="BG62"/>
  <c r="Z67"/>
  <c r="BB67"/>
  <c r="AZ67"/>
  <c r="D61" i="14"/>
  <c r="K62" i="4"/>
  <c r="J62"/>
  <c r="BV62"/>
  <c r="Q62"/>
  <c r="AY65"/>
  <c r="AS65"/>
  <c r="AV65" s="1"/>
  <c r="R65"/>
  <c r="AS57"/>
  <c r="AV57" s="1"/>
  <c r="AW57"/>
  <c r="AA48"/>
  <c r="AC65"/>
  <c r="AO48"/>
  <c r="AF54"/>
  <c r="AN54"/>
  <c r="BV54"/>
  <c r="L54"/>
  <c r="AO69"/>
  <c r="BO69"/>
  <c r="BP69" s="1"/>
  <c r="BH69"/>
  <c r="AQ69"/>
  <c r="AB50"/>
  <c r="AY58"/>
  <c r="AR58"/>
  <c r="I51"/>
  <c r="L51"/>
  <c r="AL51"/>
  <c r="AP51"/>
  <c r="X62"/>
  <c r="Y62"/>
  <c r="BI62"/>
  <c r="AG50"/>
  <c r="BV50"/>
  <c r="K50"/>
  <c r="X51"/>
  <c r="AD63"/>
  <c r="BV63"/>
  <c r="AH63"/>
  <c r="L63"/>
  <c r="Z58"/>
  <c r="AR67"/>
  <c r="AW67"/>
  <c r="AI62"/>
  <c r="AL62"/>
  <c r="AE62"/>
  <c r="AG62"/>
  <c r="BG64"/>
  <c r="BQ52"/>
  <c r="BR52" s="1"/>
  <c r="BG69"/>
  <c r="AA67"/>
  <c r="Y67"/>
  <c r="AW45"/>
  <c r="BW45"/>
  <c r="BX45" s="1"/>
  <c r="Q60"/>
  <c r="CB76"/>
  <c r="L10" i="9"/>
  <c r="K10"/>
  <c r="N9" i="11"/>
  <c r="O9"/>
  <c r="Q53" i="4"/>
  <c r="BZ53"/>
  <c r="CA53"/>
  <c r="H53"/>
  <c r="E47" i="14" s="1"/>
  <c r="F47" s="1"/>
  <c r="J47" i="4"/>
  <c r="BZ47"/>
  <c r="CA47"/>
  <c r="H47"/>
  <c r="E41" i="14" s="1"/>
  <c r="F41" s="1"/>
  <c r="Q67" i="4"/>
  <c r="BZ67"/>
  <c r="CA67"/>
  <c r="H67"/>
  <c r="E61" i="14" s="1"/>
  <c r="F61" s="1"/>
  <c r="BZ55" i="4"/>
  <c r="CA55"/>
  <c r="H55"/>
  <c r="E49" i="14" s="1"/>
  <c r="F49" s="1"/>
  <c r="CA56" i="4"/>
  <c r="BZ56"/>
  <c r="H56"/>
  <c r="E50" i="14" s="1"/>
  <c r="F50" s="1"/>
  <c r="BZ71" i="4"/>
  <c r="CA71"/>
  <c r="H71"/>
  <c r="CA52"/>
  <c r="BZ52"/>
  <c r="H52"/>
  <c r="E46" i="14" s="1"/>
  <c r="F46" s="1"/>
  <c r="BZ49" i="4"/>
  <c r="CA49"/>
  <c r="H49"/>
  <c r="BZ57"/>
  <c r="CA57"/>
  <c r="H57"/>
  <c r="BZ69"/>
  <c r="CA69"/>
  <c r="H69"/>
  <c r="E63" i="14" s="1"/>
  <c r="F63" s="1"/>
  <c r="CA46" i="4"/>
  <c r="BZ46"/>
  <c r="H46"/>
  <c r="BZ63"/>
  <c r="CA63"/>
  <c r="H63"/>
  <c r="E57" i="14" s="1"/>
  <c r="F57" s="1"/>
  <c r="CA68" i="4"/>
  <c r="BZ68"/>
  <c r="H68"/>
  <c r="E62" i="14" s="1"/>
  <c r="F62" s="1"/>
  <c r="CA60" i="4"/>
  <c r="BZ60"/>
  <c r="H60"/>
  <c r="E54" i="14" s="1"/>
  <c r="F54" s="1"/>
  <c r="Q70" i="4"/>
  <c r="CA70"/>
  <c r="BZ70"/>
  <c r="H70"/>
  <c r="BZ61"/>
  <c r="CA61"/>
  <c r="H61"/>
  <c r="Q58"/>
  <c r="CA58"/>
  <c r="BZ58"/>
  <c r="H58"/>
  <c r="E52" i="14" s="1"/>
  <c r="F52" s="1"/>
  <c r="CA64" i="4"/>
  <c r="BZ64"/>
  <c r="H64"/>
  <c r="E58" i="14" s="1"/>
  <c r="F58" s="1"/>
  <c r="BZ45" i="4"/>
  <c r="CA45"/>
  <c r="H45"/>
  <c r="BZ59"/>
  <c r="CA59"/>
  <c r="H59"/>
  <c r="E53" i="14" s="1"/>
  <c r="F53" s="1"/>
  <c r="CA44" i="4"/>
  <c r="BZ44"/>
  <c r="H44"/>
  <c r="CA66"/>
  <c r="BZ66"/>
  <c r="H66"/>
  <c r="Q48"/>
  <c r="CA48"/>
  <c r="BZ48"/>
  <c r="H48"/>
  <c r="E42" i="14" s="1"/>
  <c r="F42" s="1"/>
  <c r="Q65" i="4"/>
  <c r="BZ65"/>
  <c r="CA65"/>
  <c r="H65"/>
  <c r="E59" i="14" s="1"/>
  <c r="F59" s="1"/>
  <c r="BZ51" i="4"/>
  <c r="CA51"/>
  <c r="H51"/>
  <c r="E45" i="14" s="1"/>
  <c r="F45" s="1"/>
  <c r="CA50" i="4"/>
  <c r="BZ50"/>
  <c r="H50"/>
  <c r="E44" i="14" s="1"/>
  <c r="F44" s="1"/>
  <c r="CA62" i="4"/>
  <c r="BZ62"/>
  <c r="H62"/>
  <c r="E56" i="14" s="1"/>
  <c r="F56" s="1"/>
  <c r="BZ43" i="4"/>
  <c r="CA43"/>
  <c r="H43"/>
  <c r="CA54"/>
  <c r="BZ54"/>
  <c r="H54"/>
  <c r="E48" i="14" s="1"/>
  <c r="F48" s="1"/>
  <c r="R43" i="4"/>
  <c r="D37" i="14"/>
  <c r="BQ43" i="4"/>
  <c r="BR43" s="1"/>
  <c r="BO43"/>
  <c r="BP43" s="1"/>
  <c r="BS43"/>
  <c r="BI43" s="1"/>
  <c r="BW43"/>
  <c r="BX43" s="1"/>
  <c r="AB43"/>
  <c r="Y43"/>
  <c r="BA41"/>
  <c r="BD41"/>
  <c r="BY43"/>
  <c r="K28" i="9" s="1"/>
  <c r="BU43" i="4"/>
  <c r="S28" i="9" s="1"/>
  <c r="X43" i="4"/>
  <c r="Z43"/>
  <c r="BV43"/>
  <c r="AD43"/>
  <c r="L43" s="1"/>
  <c r="AY43" s="1"/>
  <c r="E37" i="14"/>
  <c r="Q43" i="4"/>
  <c r="J43"/>
  <c r="K43" s="1"/>
  <c r="AN43"/>
  <c r="I43"/>
  <c r="AP43"/>
  <c r="AL41"/>
  <c r="AI41"/>
  <c r="AC43"/>
  <c r="AA43"/>
  <c r="BV44"/>
  <c r="AP44"/>
  <c r="J44"/>
  <c r="Q44"/>
  <c r="AD44"/>
  <c r="L44" s="1"/>
  <c r="E38" i="14"/>
  <c r="AN44" i="4"/>
  <c r="I44"/>
  <c r="K44"/>
  <c r="BO50"/>
  <c r="BP50" s="1"/>
  <c r="BQ50"/>
  <c r="BR50" s="1"/>
  <c r="AI42"/>
  <c r="AL42"/>
  <c r="D38" i="14"/>
  <c r="R44" i="4"/>
  <c r="BO44"/>
  <c r="BP44" s="1"/>
  <c r="BQ44"/>
  <c r="BR44" s="1"/>
  <c r="BD42"/>
  <c r="BA42"/>
  <c r="BU44"/>
  <c r="BY44"/>
  <c r="R29" i="9" s="1"/>
  <c r="BS44" i="4"/>
  <c r="AQ44" s="1"/>
  <c r="BW44"/>
  <c r="BX44" s="1"/>
  <c r="AB44"/>
  <c r="AA44"/>
  <c r="AC44"/>
  <c r="Y44"/>
  <c r="X44"/>
  <c r="Z44"/>
  <c r="AA54"/>
  <c r="BI68"/>
  <c r="Z45"/>
  <c r="Y45"/>
  <c r="AC45"/>
  <c r="X45"/>
  <c r="AA45"/>
  <c r="AB45"/>
  <c r="Q45"/>
  <c r="BY45"/>
  <c r="BU45"/>
  <c r="AP45"/>
  <c r="BV45"/>
  <c r="AN45"/>
  <c r="AD45"/>
  <c r="BH45" s="1"/>
  <c r="I45"/>
  <c r="E39" i="14"/>
  <c r="BF45" i="4"/>
  <c r="K45"/>
  <c r="L45"/>
  <c r="J45"/>
  <c r="R45"/>
  <c r="BO45"/>
  <c r="BP45" s="1"/>
  <c r="BQ45"/>
  <c r="BR45" s="1"/>
  <c r="D39" i="14"/>
  <c r="BG45" i="4"/>
  <c r="BB45"/>
  <c r="BI45"/>
  <c r="AO45"/>
  <c r="AQ45"/>
  <c r="Q61"/>
  <c r="AB46"/>
  <c r="AC46"/>
  <c r="Y46"/>
  <c r="AA46"/>
  <c r="X46"/>
  <c r="Z46"/>
  <c r="Q64"/>
  <c r="X66"/>
  <c r="Q66"/>
  <c r="BG68"/>
  <c r="AQ62"/>
  <c r="Q51"/>
  <c r="Q56"/>
  <c r="BU46"/>
  <c r="BY46"/>
  <c r="BO46"/>
  <c r="BP46" s="1"/>
  <c r="R46"/>
  <c r="D40" i="14"/>
  <c r="BQ46" i="4"/>
  <c r="BR46" s="1"/>
  <c r="BB46"/>
  <c r="AW46"/>
  <c r="Q47"/>
  <c r="AQ49"/>
  <c r="Q49"/>
  <c r="AC57"/>
  <c r="Q57"/>
  <c r="Q46"/>
  <c r="AP46"/>
  <c r="BV46"/>
  <c r="E40" i="14"/>
  <c r="J46" i="4"/>
  <c r="AD46"/>
  <c r="BH46" s="1"/>
  <c r="I46"/>
  <c r="AN46"/>
  <c r="AE46"/>
  <c r="BF46"/>
  <c r="L46"/>
  <c r="AX46" s="1"/>
  <c r="AH46"/>
  <c r="AG46"/>
  <c r="K46"/>
  <c r="AF46" s="1"/>
  <c r="BS46"/>
  <c r="AQ46" s="1"/>
  <c r="BW46"/>
  <c r="BX46" s="1"/>
  <c r="Q69"/>
  <c r="BF47"/>
  <c r="K47"/>
  <c r="BG71"/>
  <c r="BO48"/>
  <c r="BP48" s="1"/>
  <c r="AM48" s="1"/>
  <c r="Y54"/>
  <c r="AO62"/>
  <c r="BI60"/>
  <c r="Z54"/>
  <c r="AA66"/>
  <c r="AO71"/>
  <c r="X54"/>
  <c r="Y66"/>
  <c r="AB66"/>
  <c r="N21" i="11"/>
  <c r="AO65" i="4"/>
  <c r="I41" i="14"/>
  <c r="BY47" i="4"/>
  <c r="BU47"/>
  <c r="AB54"/>
  <c r="BI69"/>
  <c r="AO68"/>
  <c r="AC47"/>
  <c r="AB47"/>
  <c r="Y47"/>
  <c r="Z47"/>
  <c r="X47"/>
  <c r="AA47"/>
  <c r="BW47"/>
  <c r="BX47" s="1"/>
  <c r="BS47"/>
  <c r="AO47" s="1"/>
  <c r="X57"/>
  <c r="AB57"/>
  <c r="AQ54"/>
  <c r="AQ60"/>
  <c r="D41" i="14"/>
  <c r="BB47" i="4"/>
  <c r="BO47"/>
  <c r="BP47" s="1"/>
  <c r="BH47"/>
  <c r="R47"/>
  <c r="BQ47"/>
  <c r="BR47" s="1"/>
  <c r="AX47"/>
  <c r="AY47"/>
  <c r="AW47"/>
  <c r="AZ47"/>
  <c r="BG49"/>
  <c r="BG57"/>
  <c r="AQ71"/>
  <c r="BT125"/>
  <c r="AQ67"/>
  <c r="BG67"/>
  <c r="S32" i="9"/>
  <c r="BI65" i="4"/>
  <c r="AQ66"/>
  <c r="K32" i="9"/>
  <c r="R32"/>
  <c r="I49" i="4"/>
  <c r="BV49"/>
  <c r="AD49"/>
  <c r="L49" s="1"/>
  <c r="AN49"/>
  <c r="E43" i="14"/>
  <c r="F43" s="1"/>
  <c r="AP49" i="4"/>
  <c r="J49"/>
  <c r="AE57"/>
  <c r="E51" i="14"/>
  <c r="F51" s="1"/>
  <c r="AG57" i="4"/>
  <c r="BF57"/>
  <c r="K57"/>
  <c r="BV57"/>
  <c r="AN57"/>
  <c r="I57"/>
  <c r="AD57"/>
  <c r="AI57"/>
  <c r="L57"/>
  <c r="J57"/>
  <c r="AH57"/>
  <c r="AP57"/>
  <c r="AF57"/>
  <c r="AL57"/>
  <c r="BU57"/>
  <c r="BY57"/>
  <c r="BS59"/>
  <c r="BD59" s="1"/>
  <c r="BW59"/>
  <c r="BX59" s="1"/>
  <c r="G47" i="14"/>
  <c r="I59"/>
  <c r="B59" s="1"/>
  <c r="G59"/>
  <c r="I58"/>
  <c r="B58" s="1"/>
  <c r="BE65" i="4"/>
  <c r="AM65"/>
  <c r="BA65"/>
  <c r="BD65"/>
  <c r="AM57"/>
  <c r="BE57"/>
  <c r="BA64"/>
  <c r="BD64"/>
  <c r="I49" i="14"/>
  <c r="B49" s="1"/>
  <c r="G49"/>
  <c r="BS55" i="4"/>
  <c r="BA55" s="1"/>
  <c r="BW55"/>
  <c r="BX55" s="1"/>
  <c r="D64" i="14"/>
  <c r="BI70" i="4"/>
  <c r="BB70"/>
  <c r="AW70"/>
  <c r="BG70"/>
  <c r="R70"/>
  <c r="BH70"/>
  <c r="AX70"/>
  <c r="AY70"/>
  <c r="AR70"/>
  <c r="AZ70"/>
  <c r="BO70"/>
  <c r="BP70" s="1"/>
  <c r="BQ70"/>
  <c r="BR70" s="1"/>
  <c r="AS70"/>
  <c r="AV70" s="1"/>
  <c r="AO70"/>
  <c r="BY71"/>
  <c r="BU71"/>
  <c r="E60" i="14"/>
  <c r="F60" s="1"/>
  <c r="AE66" i="4"/>
  <c r="I66"/>
  <c r="BV66"/>
  <c r="AF66"/>
  <c r="AG66"/>
  <c r="L66"/>
  <c r="AL66"/>
  <c r="K66"/>
  <c r="AP66"/>
  <c r="J66"/>
  <c r="AD66"/>
  <c r="BF66"/>
  <c r="AN66"/>
  <c r="AI66"/>
  <c r="AH66"/>
  <c r="G48" i="14"/>
  <c r="I48"/>
  <c r="B48" s="1"/>
  <c r="AL47" i="4"/>
  <c r="AI47"/>
  <c r="BE69"/>
  <c r="AM69"/>
  <c r="I44" i="14"/>
  <c r="B44" s="1"/>
  <c r="G44"/>
  <c r="Y53" i="4"/>
  <c r="AB53"/>
  <c r="X53"/>
  <c r="AA53"/>
  <c r="Z53"/>
  <c r="AC53"/>
  <c r="Z55"/>
  <c r="Y55"/>
  <c r="AC55"/>
  <c r="AA55"/>
  <c r="AB55"/>
  <c r="X55"/>
  <c r="BY52"/>
  <c r="BU52"/>
  <c r="BE63"/>
  <c r="AM63"/>
  <c r="G56" i="14"/>
  <c r="I56"/>
  <c r="B56" s="1"/>
  <c r="Y57" i="4"/>
  <c r="Z57"/>
  <c r="AO57"/>
  <c r="O27" i="11"/>
  <c r="Y49" i="4"/>
  <c r="AC49"/>
  <c r="BG58"/>
  <c r="O18" i="11"/>
  <c r="S16" i="9"/>
  <c r="O30" i="11"/>
  <c r="R30" i="9"/>
  <c r="S27"/>
  <c r="K27"/>
  <c r="L21"/>
  <c r="S26"/>
  <c r="N29" i="11"/>
  <c r="K13" i="9"/>
  <c r="O22" i="11"/>
  <c r="L31" i="9"/>
  <c r="K17"/>
  <c r="L13"/>
  <c r="N8" i="11"/>
  <c r="L16" i="9"/>
  <c r="S30"/>
  <c r="K31"/>
  <c r="O29" i="11"/>
  <c r="S11" i="9"/>
  <c r="K20"/>
  <c r="S20"/>
  <c r="N13" i="11"/>
  <c r="K15" i="9"/>
  <c r="L22"/>
  <c r="N20" i="11"/>
  <c r="S25" i="9"/>
  <c r="R25"/>
  <c r="K26"/>
  <c r="BI48" i="4"/>
  <c r="AZ48"/>
  <c r="BB48"/>
  <c r="BH48"/>
  <c r="BO59"/>
  <c r="BP59" s="1"/>
  <c r="AO63"/>
  <c r="BI66"/>
  <c r="O28" i="11"/>
  <c r="AY61" i="4"/>
  <c r="AS61"/>
  <c r="AV61" s="1"/>
  <c r="R61"/>
  <c r="AZ61"/>
  <c r="AR61"/>
  <c r="BQ61"/>
  <c r="BR61" s="1"/>
  <c r="D55" i="14"/>
  <c r="AX61" i="4"/>
  <c r="AW61"/>
  <c r="BH61"/>
  <c r="BO61"/>
  <c r="BP61" s="1"/>
  <c r="BB61"/>
  <c r="BE71"/>
  <c r="AM71"/>
  <c r="BU61"/>
  <c r="BY61"/>
  <c r="BE60"/>
  <c r="AM60"/>
  <c r="BD69"/>
  <c r="BA69"/>
  <c r="I45" i="14"/>
  <c r="B45" s="1"/>
  <c r="G45"/>
  <c r="BE62" i="4"/>
  <c r="AM62"/>
  <c r="BA62"/>
  <c r="BD62"/>
  <c r="BY66"/>
  <c r="BU66"/>
  <c r="BS50"/>
  <c r="BD50" s="1"/>
  <c r="BW50"/>
  <c r="BX50" s="1"/>
  <c r="I57" i="14"/>
  <c r="B57" s="1"/>
  <c r="G57"/>
  <c r="BE67" i="4"/>
  <c r="AM67"/>
  <c r="AM66"/>
  <c r="BE66"/>
  <c r="AI45"/>
  <c r="AL45"/>
  <c r="AQ64"/>
  <c r="AB49"/>
  <c r="AO58"/>
  <c r="K21" i="9"/>
  <c r="AD6" i="30" s="1"/>
  <c r="S21" i="9"/>
  <c r="K18"/>
  <c r="L29"/>
  <c r="S14"/>
  <c r="N22" i="11"/>
  <c r="O17"/>
  <c r="S17" i="9"/>
  <c r="N10" i="11"/>
  <c r="O11"/>
  <c r="R13" i="9"/>
  <c r="K22"/>
  <c r="S23"/>
  <c r="R22"/>
  <c r="S15"/>
  <c r="O10" i="11"/>
  <c r="N12"/>
  <c r="O15"/>
  <c r="S22" i="9"/>
  <c r="L23"/>
  <c r="N16" i="11"/>
  <c r="L15" i="9"/>
  <c r="R21"/>
  <c r="L18"/>
  <c r="N18" i="11"/>
  <c r="L25" i="9"/>
  <c r="N23" i="11"/>
  <c r="L24" i="9"/>
  <c r="K25"/>
  <c r="BG63" i="4"/>
  <c r="N28" i="11"/>
  <c r="BS51" i="4"/>
  <c r="BA51" s="1"/>
  <c r="BW51"/>
  <c r="BX51" s="1"/>
  <c r="BS56"/>
  <c r="BE56" s="1"/>
  <c r="BW56"/>
  <c r="BX56" s="1"/>
  <c r="AB61"/>
  <c r="Z61"/>
  <c r="X61"/>
  <c r="Y61"/>
  <c r="AC61"/>
  <c r="AA61"/>
  <c r="BW61"/>
  <c r="BX61" s="1"/>
  <c r="BS61"/>
  <c r="AQ61" s="1"/>
  <c r="G61" i="14"/>
  <c r="I61"/>
  <c r="B61" s="1"/>
  <c r="BA68" i="4"/>
  <c r="BD68"/>
  <c r="BD71"/>
  <c r="BA71"/>
  <c r="BA57"/>
  <c r="BD57"/>
  <c r="BA50"/>
  <c r="AM64"/>
  <c r="BE64"/>
  <c r="D48" i="14"/>
  <c r="R54" i="4"/>
  <c r="AW54"/>
  <c r="AX54"/>
  <c r="BH54"/>
  <c r="AY54"/>
  <c r="AZ54"/>
  <c r="BB54"/>
  <c r="AS54"/>
  <c r="AV54" s="1"/>
  <c r="BO54"/>
  <c r="BP54" s="1"/>
  <c r="BQ54"/>
  <c r="BR54" s="1"/>
  <c r="AR54"/>
  <c r="AO54"/>
  <c r="BG54"/>
  <c r="BI54"/>
  <c r="BE68"/>
  <c r="AM68"/>
  <c r="G54" i="14"/>
  <c r="I54"/>
  <c r="B54" s="1"/>
  <c r="BG48" i="4"/>
  <c r="G52" i="14"/>
  <c r="I52"/>
  <c r="B52" s="1"/>
  <c r="BA58" i="4"/>
  <c r="BD58"/>
  <c r="I62" i="14"/>
  <c r="B62" s="1"/>
  <c r="G62"/>
  <c r="BS52" i="4"/>
  <c r="BD52" s="1"/>
  <c r="BW52"/>
  <c r="BX52" s="1"/>
  <c r="I46" i="14"/>
  <c r="B46" s="1"/>
  <c r="G46"/>
  <c r="BD63" i="4"/>
  <c r="BA63"/>
  <c r="I53" i="14"/>
  <c r="B53" s="1"/>
  <c r="G53"/>
  <c r="BA66" i="4"/>
  <c r="BD66"/>
  <c r="BD45"/>
  <c r="BA45"/>
  <c r="BQ51"/>
  <c r="BR51" s="1"/>
  <c r="L32" i="9"/>
  <c r="AO49" i="4"/>
  <c r="AA57"/>
  <c r="AQ65"/>
  <c r="BI64"/>
  <c r="AC66"/>
  <c r="BI57"/>
  <c r="AO60"/>
  <c r="Z49"/>
  <c r="BQ56"/>
  <c r="BR56" s="1"/>
  <c r="AQ58"/>
  <c r="BQ55"/>
  <c r="BR55" s="1"/>
  <c r="O26" i="11"/>
  <c r="L26" i="9"/>
  <c r="L14"/>
  <c r="L30"/>
  <c r="O19" i="11"/>
  <c r="L20" i="9"/>
  <c r="R20"/>
  <c r="R26"/>
  <c r="R27"/>
  <c r="S12"/>
  <c r="R23"/>
  <c r="S29"/>
  <c r="N19" i="11"/>
  <c r="O13"/>
  <c r="R18" i="9"/>
  <c r="N15" i="11"/>
  <c r="N17"/>
  <c r="R17" i="9"/>
  <c r="L27"/>
  <c r="O24" i="11"/>
  <c r="S19" i="9"/>
  <c r="O8" i="11"/>
  <c r="R14" i="9"/>
  <c r="S18"/>
  <c r="N30" i="11"/>
  <c r="O16"/>
  <c r="R24" i="9"/>
  <c r="N26" i="11"/>
  <c r="O21"/>
  <c r="K24" i="9"/>
  <c r="AW48" i="4"/>
  <c r="BI49"/>
  <c r="AQ63"/>
  <c r="AO67"/>
  <c r="R53"/>
  <c r="D47" i="14"/>
  <c r="BB53" i="4"/>
  <c r="AX53"/>
  <c r="BH53"/>
  <c r="AW53"/>
  <c r="BQ53"/>
  <c r="BR53" s="1"/>
  <c r="AY53"/>
  <c r="AZ53"/>
  <c r="BO53"/>
  <c r="BP53" s="1"/>
  <c r="AO53"/>
  <c r="AS53"/>
  <c r="AV53" s="1"/>
  <c r="AQ53"/>
  <c r="AR53"/>
  <c r="BI53"/>
  <c r="BG53"/>
  <c r="N27" i="11"/>
  <c r="AB60" i="4"/>
  <c r="X60"/>
  <c r="AA60"/>
  <c r="AC60"/>
  <c r="Y60"/>
  <c r="Z60"/>
  <c r="AM49"/>
  <c r="BE49"/>
  <c r="AE70"/>
  <c r="AG70"/>
  <c r="BV70"/>
  <c r="AH70"/>
  <c r="E64" i="14"/>
  <c r="F64" s="1"/>
  <c r="AN70" i="4"/>
  <c r="AF70"/>
  <c r="AD70"/>
  <c r="L70"/>
  <c r="BF70"/>
  <c r="K70"/>
  <c r="AI70"/>
  <c r="I70"/>
  <c r="J70"/>
  <c r="AL70"/>
  <c r="AP70"/>
  <c r="BY51"/>
  <c r="BU51"/>
  <c r="AG61"/>
  <c r="I61"/>
  <c r="BF61"/>
  <c r="E55" i="14"/>
  <c r="F55" s="1"/>
  <c r="L61" i="4"/>
  <c r="BV61"/>
  <c r="K61"/>
  <c r="AF61"/>
  <c r="AI61"/>
  <c r="AD61"/>
  <c r="J61"/>
  <c r="AN61"/>
  <c r="AL61"/>
  <c r="AH61"/>
  <c r="AE61"/>
  <c r="AP61"/>
  <c r="BY65"/>
  <c r="BU65"/>
  <c r="BX48"/>
  <c r="O31" i="11" s="1"/>
  <c r="N31"/>
  <c r="BA60" i="4"/>
  <c r="BD60"/>
  <c r="BE58"/>
  <c r="AM58"/>
  <c r="I63" i="14"/>
  <c r="B63" s="1"/>
  <c r="G63"/>
  <c r="AA70" i="4"/>
  <c r="X70"/>
  <c r="AC70"/>
  <c r="Z70"/>
  <c r="AB70"/>
  <c r="Y70"/>
  <c r="BY63"/>
  <c r="BU63"/>
  <c r="X56"/>
  <c r="AB56"/>
  <c r="AA56"/>
  <c r="AC56"/>
  <c r="Y56"/>
  <c r="Z56"/>
  <c r="I50" i="14"/>
  <c r="B50" s="1"/>
  <c r="G50"/>
  <c r="BA67" i="4"/>
  <c r="BD67"/>
  <c r="K48"/>
  <c r="AQ57"/>
  <c r="AO64"/>
  <c r="BO51"/>
  <c r="BP51" s="1"/>
  <c r="X49"/>
  <c r="AA49"/>
  <c r="BO55"/>
  <c r="BP55" s="1"/>
  <c r="AQ70"/>
  <c r="BG66"/>
  <c r="O23" i="11"/>
  <c r="R19" i="9"/>
  <c r="L17"/>
  <c r="S24"/>
  <c r="O12" i="11"/>
  <c r="K23" i="9"/>
  <c r="R31"/>
  <c r="O20" i="11"/>
  <c r="R11" i="9"/>
  <c r="T11" s="1"/>
  <c r="K16"/>
  <c r="M16" s="1"/>
  <c r="G15" i="11" s="1"/>
  <c r="B15" s="1"/>
  <c r="R15" i="9"/>
  <c r="S13"/>
  <c r="L12"/>
  <c r="K11"/>
  <c r="S31"/>
  <c r="T31" s="1"/>
  <c r="N14" i="11"/>
  <c r="K30" i="9"/>
  <c r="R16"/>
  <c r="L11"/>
  <c r="O25" i="11"/>
  <c r="K14" i="9"/>
  <c r="K12"/>
  <c r="O14" i="11"/>
  <c r="R12" i="9"/>
  <c r="N11" i="11"/>
  <c r="N24"/>
  <c r="AQ48" i="4"/>
  <c r="K19" i="9"/>
  <c r="L19"/>
  <c r="N25" i="11"/>
  <c r="AY48" i="4"/>
  <c r="AX48"/>
  <c r="BQ59"/>
  <c r="BR59" s="1"/>
  <c r="AO66"/>
  <c r="A34" i="14"/>
  <c r="B33"/>
  <c r="M39" i="26"/>
  <c r="N12" i="24"/>
  <c r="N22" s="1"/>
  <c r="D12" i="4"/>
  <c r="R12"/>
  <c r="AA12"/>
  <c r="X12"/>
  <c r="AC12"/>
  <c r="Z12"/>
  <c r="C12"/>
  <c r="D9" i="26" s="1"/>
  <c r="Y12" i="4"/>
  <c r="AB12"/>
  <c r="BI12"/>
  <c r="AQ12"/>
  <c r="BQ12"/>
  <c r="BO12"/>
  <c r="AO12"/>
  <c r="BG12"/>
  <c r="I47" i="14" l="1"/>
  <c r="B47" s="1"/>
  <c r="G41"/>
  <c r="AJ6" i="30"/>
  <c r="G58" i="14"/>
  <c r="AM6" i="30"/>
  <c r="BT6"/>
  <c r="BW6"/>
  <c r="BI47" i="4"/>
  <c r="T15" i="9"/>
  <c r="AA6" i="30"/>
  <c r="AS6"/>
  <c r="L28" i="9"/>
  <c r="BN6" i="30" s="1"/>
  <c r="AY6"/>
  <c r="U6"/>
  <c r="BZ6"/>
  <c r="L80" i="4"/>
  <c r="L76"/>
  <c r="O6" i="30"/>
  <c r="L6"/>
  <c r="R6"/>
  <c r="AV6"/>
  <c r="AP6"/>
  <c r="AG6"/>
  <c r="X6"/>
  <c r="AD75" i="4"/>
  <c r="AD125" s="1"/>
  <c r="AW12"/>
  <c r="AE12"/>
  <c r="I6" i="30"/>
  <c r="M10" i="9"/>
  <c r="M13"/>
  <c r="H72" i="4"/>
  <c r="H73" s="1"/>
  <c r="H77" s="1"/>
  <c r="E65" i="14"/>
  <c r="BZ76" i="4"/>
  <c r="H75" s="1"/>
  <c r="CA76"/>
  <c r="R28" i="9"/>
  <c r="T28" s="1"/>
  <c r="T16"/>
  <c r="M30"/>
  <c r="BA59" i="4"/>
  <c r="T13" i="9"/>
  <c r="M14"/>
  <c r="BD55" i="4"/>
  <c r="BH44"/>
  <c r="AZ44"/>
  <c r="AX44"/>
  <c r="AY44"/>
  <c r="AW44"/>
  <c r="BF44"/>
  <c r="AQ43"/>
  <c r="AE44"/>
  <c r="AF44"/>
  <c r="AG44"/>
  <c r="AH44"/>
  <c r="T32" i="9"/>
  <c r="K29"/>
  <c r="BE48" i="4"/>
  <c r="BB44"/>
  <c r="M23" i="9"/>
  <c r="G22" i="11" s="1"/>
  <c r="B22" s="1"/>
  <c r="BF43" i="4"/>
  <c r="AE43"/>
  <c r="AF43"/>
  <c r="AG43"/>
  <c r="AH43"/>
  <c r="BB43"/>
  <c r="AX43"/>
  <c r="AW43"/>
  <c r="AR42"/>
  <c r="AS42" s="1"/>
  <c r="AV42" s="1"/>
  <c r="BH43"/>
  <c r="AZ43"/>
  <c r="BJ41"/>
  <c r="BK41" s="1"/>
  <c r="BN41" s="1"/>
  <c r="AM43"/>
  <c r="BE43"/>
  <c r="I37" i="14"/>
  <c r="F37"/>
  <c r="G37" s="1"/>
  <c r="T26" i="9"/>
  <c r="AR41" i="4"/>
  <c r="AS41" s="1"/>
  <c r="AV41" s="1"/>
  <c r="AO43"/>
  <c r="BG43"/>
  <c r="AO44"/>
  <c r="BG44"/>
  <c r="BE44"/>
  <c r="AM44"/>
  <c r="BI44"/>
  <c r="F38" i="14"/>
  <c r="G38" s="1"/>
  <c r="I38"/>
  <c r="BJ42" i="4"/>
  <c r="BK42" s="1"/>
  <c r="BN42" s="1"/>
  <c r="T14" i="9"/>
  <c r="BD51" i="4"/>
  <c r="M21" i="9"/>
  <c r="AP125" i="4"/>
  <c r="K84" s="1"/>
  <c r="C24" i="3" s="1"/>
  <c r="J72" i="4"/>
  <c r="BE45"/>
  <c r="BJ45" s="1"/>
  <c r="BK45" s="1"/>
  <c r="BN45" s="1"/>
  <c r="AM45"/>
  <c r="T12" i="9"/>
  <c r="AO46" i="4"/>
  <c r="F39" i="14"/>
  <c r="I39"/>
  <c r="G39"/>
  <c r="BD56" i="4"/>
  <c r="T29" i="9"/>
  <c r="BD46" i="4"/>
  <c r="BA46"/>
  <c r="AM46"/>
  <c r="BE46"/>
  <c r="BJ69"/>
  <c r="BK69" s="1"/>
  <c r="BN69" s="1"/>
  <c r="BI46"/>
  <c r="BG46"/>
  <c r="BA56"/>
  <c r="F40" i="14"/>
  <c r="G40"/>
  <c r="I40"/>
  <c r="T20" i="9"/>
  <c r="M22"/>
  <c r="BG47" i="4"/>
  <c r="AQ47"/>
  <c r="T19" i="9"/>
  <c r="T18"/>
  <c r="M25"/>
  <c r="T21"/>
  <c r="M11"/>
  <c r="L72" i="4"/>
  <c r="B9" i="3" s="1"/>
  <c r="B10" s="1"/>
  <c r="BA47" i="4"/>
  <c r="BD47"/>
  <c r="BE47"/>
  <c r="AM47"/>
  <c r="AB125"/>
  <c r="N10" i="15" s="1"/>
  <c r="N11" s="1"/>
  <c r="M19" i="9"/>
  <c r="Q125" i="4"/>
  <c r="BJ63"/>
  <c r="BK63" s="1"/>
  <c r="BN63" s="1"/>
  <c r="AR45"/>
  <c r="AS45" s="1"/>
  <c r="AV45" s="1"/>
  <c r="BJ58"/>
  <c r="BK58" s="1"/>
  <c r="BN58" s="1"/>
  <c r="BE52"/>
  <c r="X125"/>
  <c r="H10" i="15" s="1"/>
  <c r="H11" s="1"/>
  <c r="AM52" i="4"/>
  <c r="T25" i="9"/>
  <c r="M15"/>
  <c r="T30"/>
  <c r="BJ65" i="4"/>
  <c r="BK65" s="1"/>
  <c r="BN65" s="1"/>
  <c r="BF49"/>
  <c r="AC125"/>
  <c r="O10" i="15" s="1"/>
  <c r="O11" s="1"/>
  <c r="AH48" i="4"/>
  <c r="AE48"/>
  <c r="AF48"/>
  <c r="AG48"/>
  <c r="BE53"/>
  <c r="AM53"/>
  <c r="BD53"/>
  <c r="BA53"/>
  <c r="BA54"/>
  <c r="BD54"/>
  <c r="BI51"/>
  <c r="BG51"/>
  <c r="AO51"/>
  <c r="AQ51"/>
  <c r="AO50"/>
  <c r="BI50"/>
  <c r="AQ50"/>
  <c r="BG50"/>
  <c r="I60" i="14"/>
  <c r="B60" s="1"/>
  <c r="G60"/>
  <c r="I43"/>
  <c r="G43"/>
  <c r="BB49" i="4"/>
  <c r="BH49"/>
  <c r="Z125"/>
  <c r="K10" i="15" s="1"/>
  <c r="K11" s="1"/>
  <c r="BJ57" i="4"/>
  <c r="BK57" s="1"/>
  <c r="BN57" s="1"/>
  <c r="T23" i="9"/>
  <c r="BJ62" i="4"/>
  <c r="BK62" s="1"/>
  <c r="BN62" s="1"/>
  <c r="M26" i="9"/>
  <c r="M20"/>
  <c r="M17"/>
  <c r="T27"/>
  <c r="AR47" i="4"/>
  <c r="AS47" s="1"/>
  <c r="AV47" s="1"/>
  <c r="AM50"/>
  <c r="AM51"/>
  <c r="BE51"/>
  <c r="G55" i="14"/>
  <c r="I55"/>
  <c r="B55" s="1"/>
  <c r="BG52" i="4"/>
  <c r="AO52"/>
  <c r="BI52"/>
  <c r="AQ52"/>
  <c r="BD61"/>
  <c r="BA61"/>
  <c r="BE59"/>
  <c r="AM59"/>
  <c r="AQ55"/>
  <c r="BG55"/>
  <c r="BI55"/>
  <c r="AO55"/>
  <c r="I42" i="14"/>
  <c r="G42"/>
  <c r="BI59" i="4"/>
  <c r="AQ59"/>
  <c r="AO59"/>
  <c r="BG59"/>
  <c r="BW125"/>
  <c r="AA125"/>
  <c r="L10" i="15" s="1"/>
  <c r="L11" s="1"/>
  <c r="M12" i="9"/>
  <c r="G11" i="11" s="1"/>
  <c r="B11" s="1"/>
  <c r="BJ67" i="4"/>
  <c r="BK67" s="1"/>
  <c r="BN67" s="1"/>
  <c r="BJ60"/>
  <c r="BK60" s="1"/>
  <c r="BN60" s="1"/>
  <c r="M24" i="9"/>
  <c r="O32" i="11"/>
  <c r="T17" i="9"/>
  <c r="BJ66" i="4"/>
  <c r="BK66" s="1"/>
  <c r="BN66" s="1"/>
  <c r="BJ71"/>
  <c r="BK71" s="1"/>
  <c r="BN71" s="1"/>
  <c r="T22" i="9"/>
  <c r="AO61" i="4"/>
  <c r="M31" i="9"/>
  <c r="M27"/>
  <c r="BJ64" i="4"/>
  <c r="BK64" s="1"/>
  <c r="BN64" s="1"/>
  <c r="AM55"/>
  <c r="BE55"/>
  <c r="I64" i="14"/>
  <c r="B64" s="1"/>
  <c r="G64"/>
  <c r="BD48" i="4"/>
  <c r="BA48"/>
  <c r="BI56"/>
  <c r="BG56"/>
  <c r="AO56"/>
  <c r="AQ56"/>
  <c r="BE70"/>
  <c r="AM70"/>
  <c r="BD70"/>
  <c r="BA70"/>
  <c r="T24" i="9"/>
  <c r="BS125" i="4"/>
  <c r="BJ68"/>
  <c r="BK68" s="1"/>
  <c r="BN68" s="1"/>
  <c r="M18" i="9"/>
  <c r="BI61" i="4"/>
  <c r="N32" i="11"/>
  <c r="H74" i="4"/>
  <c r="K49"/>
  <c r="K72" s="1"/>
  <c r="AM56"/>
  <c r="AM54"/>
  <c r="BE54"/>
  <c r="AM61"/>
  <c r="BE61"/>
  <c r="G51" i="14"/>
  <c r="I51"/>
  <c r="B51" s="1"/>
  <c r="AY49" i="4"/>
  <c r="AW49"/>
  <c r="AZ49"/>
  <c r="AX49"/>
  <c r="BG61"/>
  <c r="BE50"/>
  <c r="BA52"/>
  <c r="M32" i="9"/>
  <c r="A35" i="14"/>
  <c r="B34"/>
  <c r="BY12" i="4"/>
  <c r="BU12"/>
  <c r="S9" i="9" s="1"/>
  <c r="AY12" i="4"/>
  <c r="Y125"/>
  <c r="I10" i="15" s="1"/>
  <c r="BP12" i="4"/>
  <c r="BE12" s="1"/>
  <c r="AG12"/>
  <c r="BQ125"/>
  <c r="BO125"/>
  <c r="BR12"/>
  <c r="BH125" l="1"/>
  <c r="L84" s="1"/>
  <c r="B24" i="3" s="1"/>
  <c r="BB125" i="4"/>
  <c r="M28" i="9"/>
  <c r="BO6" i="30" s="1"/>
  <c r="G31" i="11"/>
  <c r="CA6" i="30"/>
  <c r="G14" i="11"/>
  <c r="B14" s="1"/>
  <c r="S6" i="30"/>
  <c r="G24" i="11"/>
  <c r="AN6" i="30"/>
  <c r="G29" i="11"/>
  <c r="BU6" i="30"/>
  <c r="H79" i="4"/>
  <c r="G30" i="11"/>
  <c r="B30" s="1"/>
  <c r="BX6" i="30"/>
  <c r="G25" i="11"/>
  <c r="AQ6" i="30"/>
  <c r="G27" i="11"/>
  <c r="M29" i="9"/>
  <c r="BQ6" i="30"/>
  <c r="H80" i="4"/>
  <c r="H76"/>
  <c r="G12" i="11"/>
  <c r="P6" i="30"/>
  <c r="G17" i="11"/>
  <c r="B17" s="1"/>
  <c r="AW6" i="30"/>
  <c r="G26" i="11"/>
  <c r="AZ6" i="30"/>
  <c r="G23" i="11"/>
  <c r="AT6" i="30"/>
  <c r="G19" i="11"/>
  <c r="B19" s="1"/>
  <c r="AH6" i="30"/>
  <c r="G18" i="11"/>
  <c r="AB6" i="30"/>
  <c r="G16" i="11"/>
  <c r="B16" s="1"/>
  <c r="Y6" i="30"/>
  <c r="K81" i="4"/>
  <c r="H81"/>
  <c r="G10" i="11"/>
  <c r="B10" s="1"/>
  <c r="M6" i="30"/>
  <c r="G21" i="11"/>
  <c r="AK6" i="30"/>
  <c r="G20" i="11"/>
  <c r="B20" s="1"/>
  <c r="AE6" i="30"/>
  <c r="G13" i="11"/>
  <c r="B13" s="1"/>
  <c r="V6" i="30"/>
  <c r="G9" i="11"/>
  <c r="J6" i="30"/>
  <c r="L79" i="4"/>
  <c r="L75"/>
  <c r="J73"/>
  <c r="J74" s="1"/>
  <c r="J86" s="1"/>
  <c r="J122" s="1"/>
  <c r="J125" s="1"/>
  <c r="F65" i="14"/>
  <c r="G65"/>
  <c r="G66" s="1"/>
  <c r="I65"/>
  <c r="B65" s="1"/>
  <c r="BA43" i="4"/>
  <c r="BA44"/>
  <c r="BD44"/>
  <c r="AI44"/>
  <c r="AL44"/>
  <c r="BJ52"/>
  <c r="BK52" s="1"/>
  <c r="BN52" s="1"/>
  <c r="BD43"/>
  <c r="AI43"/>
  <c r="AL43"/>
  <c r="BJ46"/>
  <c r="BK46" s="1"/>
  <c r="BN46" s="1"/>
  <c r="L81"/>
  <c r="B18" i="3" s="1"/>
  <c r="P10" i="15"/>
  <c r="P11" s="1"/>
  <c r="L73" i="4"/>
  <c r="BJ50"/>
  <c r="BK50" s="1"/>
  <c r="BN50" s="1"/>
  <c r="BJ55"/>
  <c r="BK55" s="1"/>
  <c r="BN55" s="1"/>
  <c r="BJ51"/>
  <c r="BK51" s="1"/>
  <c r="BN51" s="1"/>
  <c r="BJ47"/>
  <c r="BK47" s="1"/>
  <c r="BN47" s="1"/>
  <c r="BJ56"/>
  <c r="BK56" s="1"/>
  <c r="BN56" s="1"/>
  <c r="BJ59"/>
  <c r="BK59" s="1"/>
  <c r="BN59" s="1"/>
  <c r="M10" i="15"/>
  <c r="M11" s="1"/>
  <c r="BJ70" i="4"/>
  <c r="BK70" s="1"/>
  <c r="BN70" s="1"/>
  <c r="BJ48"/>
  <c r="BK48" s="1"/>
  <c r="BN48" s="1"/>
  <c r="AG49"/>
  <c r="AH49"/>
  <c r="AE49"/>
  <c r="AF49"/>
  <c r="BJ53"/>
  <c r="BK53" s="1"/>
  <c r="BN53" s="1"/>
  <c r="BA49"/>
  <c r="BD49"/>
  <c r="BJ61"/>
  <c r="BK61" s="1"/>
  <c r="BN61" s="1"/>
  <c r="BJ54"/>
  <c r="BK54" s="1"/>
  <c r="BN54" s="1"/>
  <c r="AI48"/>
  <c r="AL48"/>
  <c r="A36" i="14"/>
  <c r="B35"/>
  <c r="J10" i="15"/>
  <c r="I11"/>
  <c r="R10"/>
  <c r="K9" i="9"/>
  <c r="R9"/>
  <c r="T9" s="1"/>
  <c r="L9"/>
  <c r="BU125" i="4"/>
  <c r="AH12"/>
  <c r="AZ12"/>
  <c r="BP125"/>
  <c r="AX12"/>
  <c r="BA12" s="1"/>
  <c r="AF12"/>
  <c r="AM12"/>
  <c r="BR125"/>
  <c r="G28" i="11" l="1"/>
  <c r="BR6" i="30"/>
  <c r="F6"/>
  <c r="CC6" s="1"/>
  <c r="BJ43" i="4"/>
  <c r="BK43" s="1"/>
  <c r="BN43" s="1"/>
  <c r="BJ44"/>
  <c r="BK44" s="1"/>
  <c r="BN44" s="1"/>
  <c r="L77"/>
  <c r="B13" i="3" s="1"/>
  <c r="B12"/>
  <c r="AR44" i="4"/>
  <c r="AS44" s="1"/>
  <c r="AV44" s="1"/>
  <c r="AR43"/>
  <c r="AS43" s="1"/>
  <c r="AV43" s="1"/>
  <c r="L74"/>
  <c r="BD12"/>
  <c r="BJ12" s="1"/>
  <c r="B15" i="3"/>
  <c r="BJ49" i="4"/>
  <c r="BK49" s="1"/>
  <c r="BN49" s="1"/>
  <c r="AR48"/>
  <c r="AS48" s="1"/>
  <c r="AV48" s="1"/>
  <c r="K73"/>
  <c r="C9" i="3"/>
  <c r="C10" s="1"/>
  <c r="AL49" i="4"/>
  <c r="AI49"/>
  <c r="A37" i="14"/>
  <c r="B36"/>
  <c r="M9" i="9"/>
  <c r="R11" i="15"/>
  <c r="S10"/>
  <c r="S11" s="1"/>
  <c r="J11"/>
  <c r="Q10"/>
  <c r="Q11" s="1"/>
  <c r="L33" i="9"/>
  <c r="AL12" i="4"/>
  <c r="AI12"/>
  <c r="K80" l="1"/>
  <c r="C15" i="3" s="1"/>
  <c r="K76" i="4"/>
  <c r="C12" i="3" s="1"/>
  <c r="G8" i="11"/>
  <c r="A8" s="1"/>
  <c r="A10" s="1"/>
  <c r="A11" s="1"/>
  <c r="A12" s="1"/>
  <c r="G6" i="30"/>
  <c r="CD6" s="1"/>
  <c r="B18" i="11"/>
  <c r="AR49" i="4"/>
  <c r="AS49" s="1"/>
  <c r="AV49" s="1"/>
  <c r="A38" i="14"/>
  <c r="B37"/>
  <c r="K77" i="4"/>
  <c r="C13" i="3" s="1"/>
  <c r="K74" i="4"/>
  <c r="B21" i="11"/>
  <c r="G32"/>
  <c r="AR12" i="4"/>
  <c r="AS12" s="1"/>
  <c r="BK12"/>
  <c r="A13" i="11" l="1"/>
  <c r="A14" s="1"/>
  <c r="A15" s="1"/>
  <c r="A16" s="1"/>
  <c r="A17" s="1"/>
  <c r="A18" s="1"/>
  <c r="A19" s="1"/>
  <c r="A20" s="1"/>
  <c r="A21" s="1"/>
  <c r="A22" s="1"/>
  <c r="A23" s="1"/>
  <c r="A24" s="1"/>
  <c r="B24" s="1"/>
  <c r="B12"/>
  <c r="B8"/>
  <c r="A39" i="14"/>
  <c r="B38"/>
  <c r="B23" i="11"/>
  <c r="BN12" i="4"/>
  <c r="A25" i="11" l="1"/>
  <c r="B25" s="1"/>
  <c r="A40" i="14"/>
  <c r="B39"/>
  <c r="AV12" i="4"/>
  <c r="C18" i="3"/>
  <c r="BV88" i="4"/>
  <c r="BV125" s="1"/>
  <c r="AQ88"/>
  <c r="AQ125" s="1"/>
  <c r="K85" s="1"/>
  <c r="C22" i="3" s="1"/>
  <c r="BI125" i="4"/>
  <c r="L85" s="1"/>
  <c r="B22" i="3" s="1"/>
  <c r="BE88" i="4"/>
  <c r="AO88"/>
  <c r="AO125" s="1"/>
  <c r="K83" s="1"/>
  <c r="C21" i="3" s="1"/>
  <c r="BG88" i="4"/>
  <c r="BG125" s="1"/>
  <c r="L83" s="1"/>
  <c r="B21" i="3" s="1"/>
  <c r="BF88" i="4"/>
  <c r="BF125" s="1"/>
  <c r="L82" s="1"/>
  <c r="AN88"/>
  <c r="AN125" s="1"/>
  <c r="C19" i="3"/>
  <c r="C28" s="1"/>
  <c r="K82" i="4" l="1"/>
  <c r="K86" s="1"/>
  <c r="K122" s="1"/>
  <c r="L11" i="5" s="1"/>
  <c r="I10" i="29" s="1"/>
  <c r="H82" i="4"/>
  <c r="H86" s="1"/>
  <c r="H122" s="1"/>
  <c r="A26" i="11"/>
  <c r="B26" s="1"/>
  <c r="A41" i="14"/>
  <c r="B40"/>
  <c r="L86" i="4"/>
  <c r="L122" s="1"/>
  <c r="BE125"/>
  <c r="BJ88"/>
  <c r="BK88" s="1"/>
  <c r="BN88" s="1"/>
  <c r="AM125"/>
  <c r="AR88"/>
  <c r="AS88" s="1"/>
  <c r="AV88" s="1"/>
  <c r="AE125"/>
  <c r="B19" i="3"/>
  <c r="B28" s="1"/>
  <c r="B16"/>
  <c r="AX125" i="4"/>
  <c r="AZ125"/>
  <c r="AY125"/>
  <c r="AH125"/>
  <c r="AG125"/>
  <c r="AF125"/>
  <c r="C16" i="3" l="1"/>
  <c r="C26" s="1"/>
  <c r="C27" s="1"/>
  <c r="C31" s="1"/>
  <c r="C47" s="1"/>
  <c r="C48" s="1"/>
  <c r="K11" i="5"/>
  <c r="N11" s="1"/>
  <c r="N14" s="1"/>
  <c r="N33" s="1"/>
  <c r="A27" i="11"/>
  <c r="A28" s="1"/>
  <c r="A42" i="14"/>
  <c r="B41"/>
  <c r="B26" i="3"/>
  <c r="B27" s="1"/>
  <c r="B31" s="1"/>
  <c r="B47" s="1"/>
  <c r="B48" s="1"/>
  <c r="B27" i="11"/>
  <c r="B29"/>
  <c r="L14" i="5"/>
  <c r="L33" s="1"/>
  <c r="M11"/>
  <c r="M14" s="1"/>
  <c r="M33" s="1"/>
  <c r="H125" i="4"/>
  <c r="K125"/>
  <c r="L125"/>
  <c r="AL125"/>
  <c r="BD125"/>
  <c r="AW125"/>
  <c r="K14" i="5" l="1"/>
  <c r="K33" s="1"/>
  <c r="O11"/>
  <c r="O14" s="1"/>
  <c r="O33" s="1"/>
  <c r="G10" i="29"/>
  <c r="H10" s="1"/>
  <c r="A43" i="14"/>
  <c r="B42"/>
  <c r="B28" i="11"/>
  <c r="A29"/>
  <c r="A30" s="1"/>
  <c r="A31" s="1"/>
  <c r="B31" s="1"/>
  <c r="BA125" i="4"/>
  <c r="AI125"/>
  <c r="A44" i="14" l="1"/>
  <c r="A45" s="1"/>
  <c r="A46" s="1"/>
  <c r="A47" s="1"/>
  <c r="A48" s="1"/>
  <c r="A49" s="1"/>
  <c r="A50" s="1"/>
  <c r="A51" s="1"/>
  <c r="A52" s="1"/>
  <c r="A53" s="1"/>
  <c r="A54" s="1"/>
  <c r="A55" s="1"/>
  <c r="A56" s="1"/>
  <c r="A57" s="1"/>
  <c r="A58" s="1"/>
  <c r="A59" s="1"/>
  <c r="A60" s="1"/>
  <c r="A61" s="1"/>
  <c r="A62" s="1"/>
  <c r="A63" s="1"/>
  <c r="A64" s="1"/>
  <c r="A65" s="1"/>
  <c r="A66" s="1"/>
  <c r="B43"/>
  <c r="AR125" i="4"/>
  <c r="BJ125"/>
  <c r="AV125" l="1"/>
  <c r="AS125"/>
  <c r="BN125"/>
  <c r="BK125"/>
  <c r="B4" i="14"/>
  <c r="M33" i="9"/>
  <c r="K33" l="1"/>
</calcChain>
</file>

<file path=xl/sharedStrings.xml><?xml version="1.0" encoding="utf-8"?>
<sst xmlns="http://schemas.openxmlformats.org/spreadsheetml/2006/main" count="2103" uniqueCount="825">
  <si>
    <t>dk;kZy; dk uke ¼vaxzsth esa½ %</t>
  </si>
  <si>
    <t>Principal</t>
  </si>
  <si>
    <t>dk;kZy; dk uke ¼fgUnh esa½ %</t>
  </si>
  <si>
    <t>ctV vuqeku fofÙk; o"kZ %</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</si>
  <si>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</si>
  <si>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</si>
  <si>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</si>
  <si>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</si>
  <si>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</si>
  <si>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</si>
  <si>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</si>
  <si>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</si>
  <si>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</si>
  <si>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</si>
  <si>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</si>
  <si>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</si>
  <si>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</si>
  <si>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</si>
  <si>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</si>
  <si>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</si>
  <si>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</si>
  <si>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</si>
  <si>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</si>
  <si>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</si>
  <si>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</si>
  <si>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</si>
  <si>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</si>
  <si>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</si>
  <si>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</si>
  <si>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</si>
  <si>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</si>
  <si>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</si>
  <si>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</si>
  <si>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</si>
  <si>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</si>
  <si>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</si>
  <si>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</si>
  <si>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</si>
  <si>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</si>
  <si>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</si>
  <si>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</si>
  <si>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</si>
  <si>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</si>
  <si>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</si>
  <si>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</si>
  <si>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</si>
  <si>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</si>
  <si>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</si>
  <si>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</si>
  <si>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</si>
  <si>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</si>
  <si>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</si>
  <si>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</si>
  <si>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</si>
  <si>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</si>
  <si>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</si>
  <si>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</si>
  <si>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</si>
  <si>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</si>
  <si>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</si>
  <si>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</si>
  <si>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</si>
  <si>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</si>
  <si>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</si>
  <si>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</si>
  <si>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</si>
  <si>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</si>
  <si>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</si>
  <si>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</si>
  <si>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</si>
  <si>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</si>
  <si>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</si>
  <si>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</si>
  <si>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</si>
  <si>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</si>
  <si>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</si>
  <si>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</si>
  <si>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</si>
  <si>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</si>
  <si>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</si>
  <si>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</si>
  <si>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</si>
  <si>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</si>
  <si>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</si>
  <si>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</si>
  <si>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</si>
  <si>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</si>
  <si>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</si>
  <si>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</si>
  <si>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</si>
  <si>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</si>
  <si>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</si>
  <si>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</si>
  <si>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</si>
  <si>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</si>
  <si>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</si>
  <si>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</si>
  <si>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</si>
  <si>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</si>
  <si>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</si>
  <si>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</si>
  <si>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</si>
  <si>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</si>
  <si>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</si>
  <si>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</si>
  <si>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</si>
  <si>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</si>
  <si>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</si>
  <si>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</si>
  <si>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</si>
  <si>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</si>
  <si>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</si>
  <si>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</si>
  <si>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</si>
  <si>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</si>
  <si>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</si>
  <si>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</si>
  <si>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</si>
  <si>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</si>
  <si>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</si>
  <si>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</si>
  <si>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</si>
  <si>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</si>
  <si>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</si>
  <si>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</si>
  <si>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</si>
  <si>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</si>
  <si>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</si>
  <si>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</si>
  <si>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</si>
  <si>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</si>
  <si>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</si>
  <si>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</si>
  <si>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</si>
  <si>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</si>
  <si>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</si>
  <si>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</si>
  <si>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</si>
  <si>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</si>
  <si>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</si>
  <si>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</si>
  <si>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</si>
  <si>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</si>
  <si>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</si>
  <si>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</si>
  <si>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</si>
  <si>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</si>
  <si>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</si>
  <si>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</si>
  <si>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</si>
  <si>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</si>
  <si>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</si>
  <si>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</si>
  <si>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</si>
  <si>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</si>
  <si>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</si>
  <si>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</si>
  <si>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</si>
  <si>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</si>
  <si>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</si>
  <si>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</si>
  <si>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</si>
  <si>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</si>
  <si>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</si>
  <si>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</si>
  <si>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</si>
  <si>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</si>
  <si>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</si>
  <si>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</si>
  <si>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</si>
  <si>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</si>
  <si>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</si>
  <si>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</si>
  <si>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</si>
  <si>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</si>
  <si>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</si>
  <si>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</si>
  <si>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</si>
  <si>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</si>
  <si>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</si>
  <si>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</si>
  <si>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</si>
  <si>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</si>
  <si>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</si>
  <si>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</si>
  <si>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</si>
  <si>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</si>
  <si>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</si>
  <si>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</si>
  <si>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</si>
  <si>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</si>
  <si>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</si>
  <si>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</si>
  <si>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</si>
  <si>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</si>
  <si>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</si>
  <si>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</si>
  <si>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</si>
  <si>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</si>
  <si>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</si>
  <si>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</si>
  <si>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</si>
  <si>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</si>
  <si>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</si>
  <si>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</si>
  <si>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</si>
  <si>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</si>
  <si>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</si>
  <si>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</si>
  <si>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</si>
  <si>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</si>
  <si>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</si>
  <si>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</si>
  <si>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</si>
  <si>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</si>
  <si>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</si>
  <si>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</si>
  <si>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</si>
  <si>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</si>
  <si>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</si>
  <si>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</si>
  <si>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</si>
  <si>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</si>
  <si>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</si>
  <si>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</si>
  <si>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</si>
  <si>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</si>
  <si>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</si>
  <si>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</si>
  <si>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</si>
  <si>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</si>
  <si>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</si>
  <si>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</si>
  <si>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</si>
  <si>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</si>
  <si>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</si>
  <si>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</si>
  <si>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</si>
  <si>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</si>
  <si>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</si>
  <si>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</si>
  <si>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</si>
  <si>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</si>
  <si>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</si>
  <si>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</si>
  <si>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</si>
  <si>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</si>
  <si>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</si>
  <si>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</si>
  <si>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</si>
  <si>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</si>
  <si>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</si>
  <si>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</si>
  <si>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</si>
  <si>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</si>
  <si>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</si>
  <si>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</si>
  <si>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</si>
  <si>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</si>
  <si>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</si>
  <si>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</si>
  <si>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</si>
  <si>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</si>
  <si>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</si>
  <si>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</si>
  <si>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</si>
  <si>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</si>
  <si>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</si>
  <si>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</si>
  <si>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</si>
  <si>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</si>
  <si>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</si>
  <si>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</si>
  <si>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</si>
  <si>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</si>
  <si>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</si>
  <si>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</si>
  <si>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</si>
  <si>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</si>
  <si>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</si>
  <si>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</si>
  <si>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</si>
  <si>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</si>
  <si>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</si>
  <si>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</si>
  <si>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</si>
  <si>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</si>
  <si>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</si>
  <si>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</si>
  <si>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</si>
  <si>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</si>
  <si>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</si>
  <si>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</si>
  <si>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</si>
  <si>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</si>
  <si>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</si>
  <si>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</si>
  <si>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</si>
  <si>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</si>
  <si>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</si>
  <si>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</si>
  <si>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</si>
  <si>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</si>
  <si>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</si>
  <si>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</si>
  <si>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</si>
  <si>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</si>
  <si>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</si>
  <si>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</si>
  <si>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</si>
  <si>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</si>
  <si>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</si>
  <si>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</si>
  <si>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</si>
  <si>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</si>
  <si>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</si>
  <si>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</si>
  <si>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</si>
  <si>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</si>
  <si>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</si>
  <si>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</si>
  <si>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</si>
  <si>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</si>
  <si>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</si>
  <si>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</si>
  <si>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</si>
  <si>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</si>
  <si>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</si>
  <si>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</si>
  <si>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</si>
  <si>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</si>
  <si>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</si>
  <si>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</si>
  <si>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</si>
  <si>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</si>
  <si>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</si>
  <si>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</si>
  <si>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</si>
  <si>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</si>
  <si>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</si>
  <si>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</si>
  <si>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</si>
  <si>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</si>
  <si>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</si>
  <si>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</si>
  <si>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</si>
  <si>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</si>
  <si>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</si>
  <si>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</si>
  <si>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</si>
  <si>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</si>
  <si>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</si>
  <si>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</si>
  <si>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</si>
  <si>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</si>
  <si>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</si>
  <si>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</si>
  <si>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</si>
  <si>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</si>
  <si>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</si>
  <si>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</si>
  <si>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</si>
  <si>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</si>
  <si>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</si>
  <si>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</si>
  <si>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</si>
  <si>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</si>
  <si>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</si>
  <si>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</si>
  <si>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</si>
  <si>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</si>
  <si>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</si>
  <si>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</si>
  <si>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</si>
  <si>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</si>
  <si>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</si>
  <si>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</si>
  <si>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</si>
  <si>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</si>
  <si>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</si>
  <si>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</si>
  <si>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</si>
  <si>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</si>
  <si>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</si>
  <si>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</si>
  <si>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</si>
  <si>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</si>
  <si>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</si>
  <si>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</si>
  <si>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</si>
  <si>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</si>
  <si>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</si>
  <si>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</si>
  <si>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</si>
  <si>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</si>
  <si>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</si>
  <si>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</si>
  <si>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</si>
  <si>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</si>
  <si>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</si>
  <si>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</si>
  <si>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</si>
  <si>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</si>
  <si>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</si>
  <si>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</si>
  <si>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</si>
  <si>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</si>
  <si>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</si>
  <si>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</si>
  <si>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</si>
  <si>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</si>
  <si>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</si>
  <si>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</si>
  <si>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</si>
  <si>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</si>
  <si>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</si>
  <si>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</si>
  <si>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</si>
  <si>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</si>
  <si>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</si>
  <si>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</si>
  <si>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</si>
  <si>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</si>
  <si>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</si>
  <si>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</si>
  <si>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</si>
  <si>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</si>
  <si>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</si>
  <si>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</si>
  <si>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</si>
  <si>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</si>
  <si>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</si>
  <si>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</si>
  <si>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</si>
  <si>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</si>
  <si>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</si>
  <si>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</si>
  <si>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</si>
  <si>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</si>
  <si>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</si>
  <si>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</si>
  <si>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</si>
  <si>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</si>
  <si>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</si>
  <si>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</si>
  <si>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</si>
  <si>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</si>
  <si>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</si>
  <si>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</si>
  <si>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</si>
  <si>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</si>
  <si>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</si>
  <si>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</si>
  <si>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</si>
  <si>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</si>
  <si>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</si>
  <si>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</si>
  <si>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</si>
  <si>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</si>
  <si>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</si>
  <si>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</si>
  <si>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</si>
  <si>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</si>
  <si>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</si>
  <si>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</si>
  <si>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</si>
  <si>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</si>
  <si>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</si>
  <si>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</si>
  <si>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</si>
  <si>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</si>
  <si>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</si>
  <si>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</si>
  <si>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</si>
  <si>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</si>
  <si>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</si>
  <si>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</si>
  <si>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</si>
  <si>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</si>
  <si>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</si>
  <si>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</si>
  <si>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</si>
  <si>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</si>
  <si>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</si>
  <si>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</si>
  <si>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</si>
  <si>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</si>
  <si>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</si>
  <si>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</si>
  <si>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</si>
  <si>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</si>
  <si>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</si>
  <si>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</si>
  <si>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</si>
  <si>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</si>
  <si>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</si>
  <si>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</si>
  <si>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</si>
  <si>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</si>
  <si>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</si>
  <si>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</si>
  <si>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</si>
  <si>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</si>
  <si>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</si>
  <si>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</si>
  <si>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</si>
  <si>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</si>
  <si>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</si>
  <si>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</si>
  <si>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</si>
  <si>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</si>
  <si>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</si>
  <si>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</si>
  <si>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</si>
  <si>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</si>
  <si>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</si>
  <si>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</si>
  <si>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</si>
  <si>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</si>
  <si>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</si>
  <si>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</si>
  <si>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</si>
  <si>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</si>
  <si>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</si>
  <si>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</si>
  <si>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</si>
  <si>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</si>
  <si>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</si>
  <si>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</si>
  <si>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</si>
  <si>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</si>
  <si>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</si>
  <si>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</si>
  <si>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</si>
  <si>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</si>
  <si>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</si>
  <si>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</si>
  <si>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</si>
  <si>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</si>
  <si>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</si>
  <si>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</si>
  <si>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</si>
  <si>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</si>
  <si>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</si>
  <si>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</si>
  <si>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</si>
  <si>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</si>
  <si>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</si>
  <si>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</si>
  <si>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</si>
  <si>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</si>
  <si>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</si>
  <si>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</si>
  <si>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</si>
  <si>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CLERK GRADE III</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</si>
  <si>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</si>
  <si>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</si>
  <si>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</si>
  <si>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</si>
  <si>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</si>
  <si>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</si>
  <si>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</si>
  <si>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</si>
  <si>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</si>
  <si>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</si>
  <si>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</si>
  <si>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</si>
  <si>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</si>
  <si>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</si>
  <si>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</si>
  <si>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</si>
  <si>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</si>
  <si>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Budget
 (NP,PLAN etc)</t>
  </si>
  <si>
    <t xml:space="preserve"> izi= &amp; 8 ¼th-,- 1½</t>
  </si>
  <si>
    <t>Ø- l-</t>
  </si>
  <si>
    <t>Male/Female</t>
  </si>
  <si>
    <t>vkbZMh ua-</t>
  </si>
  <si>
    <t>in uke</t>
  </si>
  <si>
    <t>in dk Lohd`r osru</t>
  </si>
  <si>
    <t>12 ekg  dh jkf'k</t>
  </si>
  <si>
    <t>tUefrfFk</t>
  </si>
  <si>
    <t>fo-fo-</t>
  </si>
  <si>
    <t>osru o`f) frfFk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</si>
  <si>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</si>
  <si>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</si>
  <si>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</si>
  <si>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</si>
  <si>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</si>
  <si>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</si>
  <si>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</si>
  <si>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</si>
  <si>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</si>
  <si>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</si>
  <si>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</si>
  <si>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</si>
  <si>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</si>
  <si>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</si>
  <si>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</si>
  <si>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</si>
  <si>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</si>
  <si>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</si>
  <si>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</si>
  <si>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</si>
  <si>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</si>
  <si>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</si>
  <si>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</si>
  <si>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laLFkk iz/kku dk uke%</t>
  </si>
  <si>
    <t>eksckbZy ua- %&amp;</t>
  </si>
  <si>
    <t>2021-22</t>
  </si>
  <si>
    <t>vuqlwfpr tkfr ds Nk= o Nk=kvksa ds fy, Nk=o``fRr dk fooj.k</t>
  </si>
  <si>
    <t xml:space="preserve"> ek/;fed f'k{kk                                                       </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</si>
  <si>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</si>
  <si>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</si>
  <si>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</si>
  <si>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</si>
  <si>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</si>
  <si>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</si>
  <si>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</si>
  <si>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</si>
  <si>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</si>
  <si>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</si>
  <si>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</si>
  <si>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</si>
  <si>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</si>
  <si>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</si>
  <si>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</si>
  <si>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</si>
  <si>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</si>
  <si>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</si>
  <si>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</si>
  <si>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</si>
  <si>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</si>
  <si>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</si>
  <si>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</si>
  <si>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</si>
  <si>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</si>
  <si>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</si>
  <si>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 xml:space="preserve">Instruct. About Font </t>
  </si>
  <si>
    <t>t; xq:nso oklqnso th egkjkt</t>
  </si>
  <si>
    <t>Prepared By</t>
  </si>
  <si>
    <t>HEERALAL JAT</t>
  </si>
  <si>
    <t>Sr. Teacher</t>
  </si>
  <si>
    <t xml:space="preserve">MAHATMA GANDHI </t>
  </si>
  <si>
    <t>GOVERNMENT SCHOOL</t>
  </si>
  <si>
    <r>
      <t xml:space="preserve">You can also Downlaod Format-8  For helping  Prapatra -8 By Using  PAY MANAGER  (report </t>
    </r>
    <r>
      <rPr>
        <b/>
        <sz val="14"/>
        <color rgb="FFFFFF00"/>
        <rFont val="Calibri"/>
        <family val="2"/>
      </rPr>
      <t>→ DDO report → perfoma 8</t>
    </r>
  </si>
  <si>
    <t>izi= 6</t>
  </si>
  <si>
    <t>nj izfrekg</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</si>
  <si>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</si>
  <si>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</si>
  <si>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</si>
  <si>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</si>
  <si>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</si>
  <si>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</si>
  <si>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</si>
  <si>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</si>
  <si>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</si>
  <si>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</si>
  <si>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</si>
  <si>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</si>
  <si>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</si>
  <si>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</si>
  <si>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</si>
  <si>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</si>
  <si>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</si>
  <si>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</si>
  <si>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dqy ;ksx 1 ls 6 ¼c½</t>
  </si>
  <si>
    <t>Ø-l-</t>
  </si>
  <si>
    <t>vkfQl vkbZMh u0</t>
  </si>
  <si>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</si>
  <si>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 xml:space="preserve">जय गुरुदेव वासुदेव जी महाराज </t>
  </si>
  <si>
    <t>m"kk ikfy;k</t>
  </si>
  <si>
    <t>2022-23</t>
  </si>
  <si>
    <t>Jherh m"kk ikfy;k</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</si>
  <si>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</si>
  <si>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</si>
  <si>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</si>
  <si>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</si>
  <si>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</si>
  <si>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</si>
  <si>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</si>
  <si>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</si>
  <si>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</si>
  <si>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</si>
  <si>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</si>
  <si>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</si>
  <si>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</si>
  <si>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</si>
  <si>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</si>
  <si>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</si>
  <si>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fjDr in</t>
  </si>
  <si>
    <t>2023-24</t>
  </si>
  <si>
    <t>एक्सेल शीट यू ट्यूब विडियो लिंक 
Excel Sheet Youtube Video Link</t>
  </si>
  <si>
    <t>https://youtu.be/02KrGxb5ISI</t>
  </si>
  <si>
    <t>https://youtu.be/irbvEwgYzi0</t>
  </si>
  <si>
    <t>2024-25</t>
  </si>
  <si>
    <t>VICE-PRINCIPAL</t>
  </si>
  <si>
    <t>उप-प्रधानाचार्य</t>
  </si>
  <si>
    <t xml:space="preserve">izi=&amp;12 </t>
  </si>
  <si>
    <t>Lohd`r dk;Zjr fjDr inksa dk fooj.k</t>
  </si>
  <si>
    <t>Øl</t>
  </si>
  <si>
    <t>vkfQl vkbZMh</t>
  </si>
  <si>
    <t>CykWd</t>
  </si>
  <si>
    <t>iz/kkukpk;Z</t>
  </si>
  <si>
    <t>miizkpk;Z</t>
  </si>
  <si>
    <t>iz/kkuk/;kid</t>
  </si>
  <si>
    <t>O;k[;krk</t>
  </si>
  <si>
    <t xml:space="preserve"> 'kk-f'k-izFke xzsM&amp;1</t>
  </si>
  <si>
    <t>iqLr-v/;{k xzsM&amp;1</t>
  </si>
  <si>
    <t>iqLr-v/;{k xzsM&amp;kk</t>
  </si>
  <si>
    <t xml:space="preserve"> 'kk-f'k- xzsM&amp;kk</t>
  </si>
  <si>
    <t>iz;ksx'kkyk lgk;d&amp;kk</t>
  </si>
  <si>
    <t>v/;kid kkk</t>
  </si>
  <si>
    <t>iqLr-v/;{k xzsM&amp;kkk</t>
  </si>
  <si>
    <t xml:space="preserve"> 'kk-f'k- xzsM&amp;kkk</t>
  </si>
  <si>
    <t xml:space="preserve"> ofj"B iz;ksx'kkyk lgk;d</t>
  </si>
  <si>
    <t>iz;ksx'kkyk lgk;d&amp;kkk</t>
  </si>
  <si>
    <t>vfr-iz'kklfud vf/kdkjh</t>
  </si>
  <si>
    <t>lg;d iz'kklfud vf/kdkjh</t>
  </si>
  <si>
    <t>ofj"B csflad dEI;wVj vuqns'kd</t>
  </si>
  <si>
    <t xml:space="preserve"> csflad dEI;wVj vuqns'kd</t>
  </si>
  <si>
    <t>ofj"B lgk;d</t>
  </si>
  <si>
    <t>dfu"B lgk;d</t>
  </si>
  <si>
    <t>iz;ks'kkyk lsod</t>
  </si>
  <si>
    <t>prqFkZ Js.kh deZpkjh</t>
  </si>
  <si>
    <t>loZ;ksx</t>
  </si>
  <si>
    <t>loZ;ksx&amp;enokj</t>
  </si>
  <si>
    <t>izR;sd en ds fy;s i`Fkd&amp;i~Fkd rS;kj djkosa] QksUV nsofy;kl 010 esa rS;kj djkosa</t>
  </si>
  <si>
    <t>vkbZ,Q,e,l ,oa 'kkyk niZ.k ls feyku dj izLrqr djsaA</t>
  </si>
  <si>
    <t>ctV en %&amp;</t>
  </si>
  <si>
    <t>dk;kZy; dk uke %&amp;</t>
  </si>
  <si>
    <t>d`f"k v/;kid &amp;1</t>
  </si>
  <si>
    <t>o-v-</t>
  </si>
  <si>
    <t>uke fo|ky;</t>
  </si>
  <si>
    <t>uke lafonk deZpkjh</t>
  </si>
  <si>
    <t>lafonk  ij dk;Zjr gksus dh frfFk</t>
  </si>
  <si>
    <t>is eSfVªDl</t>
  </si>
  <si>
    <t>,d ekg dk lafonk dk  osru</t>
  </si>
  <si>
    <t>dk;kZy; %&amp;</t>
  </si>
  <si>
    <r>
      <t xml:space="preserve">izi=&amp; </t>
    </r>
    <r>
      <rPr>
        <b/>
        <u/>
        <sz val="14"/>
        <color indexed="8"/>
        <rFont val="Calibri"/>
        <family val="2"/>
        <scheme val="minor"/>
      </rPr>
      <t>MGGS</t>
    </r>
    <r>
      <rPr>
        <b/>
        <u/>
        <sz val="14"/>
        <color indexed="8"/>
        <rFont val="DevLys 010"/>
      </rPr>
      <t xml:space="preserve"> lafonk dkfeZdksa dk fooj.k</t>
    </r>
  </si>
  <si>
    <t>L-14</t>
  </si>
  <si>
    <t>2025-26</t>
  </si>
  <si>
    <t>vk; O;; vuqeku pkyw o"kZ 2024&amp;25</t>
  </si>
  <si>
    <t xml:space="preserve">Jh gseUr vkgqtk </t>
  </si>
  <si>
    <t xml:space="preserve">Jh cgknqj jke </t>
  </si>
  <si>
    <t>vxLr 23 ls ekpZ 24 rd ¼xr o"kZ½</t>
  </si>
  <si>
    <t>vizsy 2024 ls tqykbZ 2025 rd ¼pkyw o"kZ½</t>
  </si>
  <si>
    <t>2025&amp;26 ds fy,</t>
  </si>
  <si>
    <t>Salary on 1st March 24</t>
  </si>
  <si>
    <t>foÙkh; o"kZ 2024&amp;25 ds fy, fuf'pr O;;ksa¼ vf/kdkfj;ksa ,ao deZpkfj;ksa ds laosru½ dk foLr`r vk; O;;d vuqeku ¼ vizsy ls ekpZ rd½</t>
  </si>
  <si>
    <t>Aug.24 to Mar.25</t>
  </si>
  <si>
    <t>2026-27</t>
  </si>
  <si>
    <t>vxLr 2025 ls ekpZ 2026 rd dk lEHkkfor O;;</t>
  </si>
  <si>
    <t>o"kZ 2026&amp;27 dk vuqekfur O;;</t>
  </si>
  <si>
    <r>
      <t xml:space="preserve">Basic Pay 
</t>
    </r>
    <r>
      <rPr>
        <b/>
        <sz val="11"/>
        <color rgb="FF0000CC"/>
        <rFont val="Calibri"/>
        <family val="2"/>
        <scheme val="minor"/>
      </rPr>
      <t xml:space="preserve">(According </t>
    </r>
    <r>
      <rPr>
        <b/>
        <u/>
        <sz val="11"/>
        <color rgb="FFFF0000"/>
        <rFont val="Calibri"/>
        <family val="2"/>
        <scheme val="minor"/>
      </rPr>
      <t>March-2026</t>
    </r>
    <r>
      <rPr>
        <b/>
        <sz val="11"/>
        <color rgb="FF0000CC"/>
        <rFont val="Calibri"/>
        <family val="2"/>
        <scheme val="minor"/>
      </rPr>
      <t>)</t>
    </r>
  </si>
  <si>
    <t>o"kZ 2025&amp;26 dk la'kksf/kr</t>
  </si>
  <si>
    <t>o"kZ 2025&amp;26 dk la'kksf/kr vk;</t>
  </si>
  <si>
    <t>o"kZ 2026&amp;27 dk vuqekfur</t>
  </si>
  <si>
    <t>o"kZ 2026&amp;27 dk vuqekfur vk;</t>
  </si>
  <si>
    <t>ds osru vuqeku o"kZ ¼vizSy ls ekpZ rd½ 2025&amp;26</t>
  </si>
  <si>
    <t>vkxkeh o"kZ ds fy;s jde ¼dkWye 8 vkSj 10 dk ;ksx½
2026&amp;27</t>
  </si>
  <si>
    <t>pkyw o"kZ ds fy, la'kksf/kr vuqeku
2025&amp;26</t>
  </si>
  <si>
    <t>vxLr 2025 ls ekpZ 2026 rd dk lEHkkfor O;; ¼pkyw o"kZ½</t>
  </si>
  <si>
    <t>la'kksf/kr vuqeku ¼pkyw o"kZ½ 
o"kZ 25&amp;26½</t>
  </si>
  <si>
    <t>vk; O;; vuqeku vkxkeh o"kZ ¼26&amp;27½</t>
  </si>
  <si>
    <t>vxLr 2025 ls ekpZ 2026 rd dk lEHkkfor vk; ¼pkyw o"kZ½</t>
  </si>
  <si>
    <t>l'kksf/kr vuqeku 2025&amp;26 ¼pkyw o"kZ½ ¼08$10½</t>
  </si>
  <si>
    <t>vk; O;;d vuqeku 2026&amp;27 ¼vkxkeh o"kZ½</t>
  </si>
  <si>
    <t>la'kksf/kr vuqeku 
l= 2025&amp;26</t>
  </si>
  <si>
    <t>vk;&amp;O;;d vuqeku
l= 2026&amp;27</t>
  </si>
  <si>
    <t>la'kksf/kr vuqeku l= 2025&amp;26 vk;&amp;O;;d vuqeku lkjka'k 2026&amp;27</t>
  </si>
  <si>
    <t>fofr; o"kZ 2025&amp;26 esa laosru esa vkofVr jkf'k       ¼izi=&amp;09 ls½</t>
  </si>
  <si>
    <t>tqykbZ 25 rd okLrfod O;; ¼izi=&amp;09 ls ½</t>
  </si>
  <si>
    <r>
      <t xml:space="preserve">vxLr 2025 ls ekpZ 2026 rd gksus okyk vuqekfur O;; ¼dkWye </t>
    </r>
    <r>
      <rPr>
        <sz val="12"/>
        <color indexed="8"/>
        <rFont val="Arial"/>
        <family val="2"/>
      </rPr>
      <t>7-5</t>
    </r>
    <r>
      <rPr>
        <sz val="14"/>
        <color indexed="8"/>
        <rFont val="Arial"/>
        <family val="2"/>
      </rPr>
      <t>)</t>
    </r>
  </si>
  <si>
    <r>
      <t>o"kZ 2025&amp;26 ds fy;s vfrfjDr vko';drk  ¼dkWye 4</t>
    </r>
    <r>
      <rPr>
        <sz val="16"/>
        <color indexed="8"/>
        <rFont val="DevLys 010"/>
      </rPr>
      <t>&amp;7½</t>
    </r>
  </si>
  <si>
    <t>foRrh; o"kZ 2026&amp;-27 ds fy;s vuqeku    ¼izi= 9 ls ½</t>
  </si>
  <si>
    <t>vk; O;;d vuqeku l= 2026&amp;2027 ,oa la'kksf/kr l= 2025&amp;26</t>
  </si>
  <si>
    <t>la'kksf/kr vuqeku 2025&amp;26</t>
  </si>
  <si>
    <t>vk; O;; vuqeku 2026&amp;27</t>
  </si>
  <si>
    <t>Lohd`r inksa dh la[;k 
¼fnukad 01-04-2025 dh fLFkfr½</t>
  </si>
  <si>
    <t>Jh nsokuUn</t>
  </si>
  <si>
    <t>pkyw o"kZ 2025&amp;26 esa Lohd`r inksa dh la[;k</t>
  </si>
  <si>
    <t>pkyw o"kZ 2025&amp;26 esa lekIr fd, inksa dh la[;k</t>
  </si>
  <si>
    <t>fnukad 31-08-2025 dks fjDr inksa dh la[;k</t>
  </si>
  <si>
    <t>Jherh lhek</t>
  </si>
  <si>
    <t>egkRek xka/kh jktdh; fo|ky; ¼vaxzsth ek/;e½ cj ] C;koj</t>
  </si>
  <si>
    <t>Mahatma Gandhi Government School (English Medium) Bar, (BEAWAR)</t>
  </si>
  <si>
    <t>L I S T   O F   P E N D I N G   T. A.   C L A I M S   FOR FY 2025-26</t>
  </si>
  <si>
    <t>L I S T   O F   P E N D I N G   M E D I C A L   C L A I M S   FOR FY 2025-26</t>
  </si>
  <si>
    <t>o"kZ 2025&amp;26 ds fy, 
la'kksf/kr vuqeku
10 ekg ds fy,</t>
  </si>
  <si>
    <t>o"kZ 2026&amp;27 ds fy, 
vuqekfur jkf'k 
10 ekg ds fy,</t>
  </si>
  <si>
    <t>2026&amp;27 ds fy,</t>
  </si>
  <si>
    <t>l'kksf/kr vuqeku ¼pkyw o"kZ½
2025&amp;26</t>
  </si>
  <si>
    <t>vk; O;;d vuqeku ¼vkxkeh o"kZ½
2026&amp;27</t>
  </si>
  <si>
    <t>fofÙk; o"kZ 2025&amp;26</t>
  </si>
  <si>
    <t>For FY - 2025-26 (April 2025 to March 2026)</t>
  </si>
  <si>
    <t>Budget Estimate For FY 
2025-26</t>
  </si>
  <si>
    <t>Revised Estimate For FY 
2025-26</t>
  </si>
  <si>
    <t>vk; O;;d vuqeku 2025&amp;26 ,oa la'kksf/kr vuqeku 2026&amp;27</t>
  </si>
  <si>
    <t>o"kZ 2025&amp;2026 dk la'kksf/kr vuqeku</t>
  </si>
  <si>
    <t>o"kZ 2026&amp;2027 dk vk; O;;d vuqeku</t>
  </si>
  <si>
    <t>izkIr ctV vkoaVu 2025&amp;26</t>
  </si>
  <si>
    <t>7th pay Fixation arrear paid &amp; to be paid  during 2017-25</t>
  </si>
  <si>
    <t>lafonk ¼fo|kFkhZ fe= ;kstukUrxZr½ o"kZ 2025&amp;26 ds O;; dh lwpuk</t>
  </si>
  <si>
    <t>okLrfod O;; 2024&amp;25</t>
  </si>
  <si>
    <t>osru ekpZ 2025</t>
  </si>
  <si>
    <t>fn- 01-7-26 dks ns; osru o`f) jkf'k</t>
  </si>
  <si>
    <t>vkxkeh o"kZ 2026&amp;27 ds fy, jde</t>
  </si>
  <si>
    <t>ekg ekpZ 26 isM vizSy 26 dk osru</t>
  </si>
  <si>
    <t>tqykbZ] 25 ls Qjojh 26 rd okLrfod vkgfjr</t>
  </si>
  <si>
    <t>tqykbZ] 25 ls Qjojh 26 rd dk osru</t>
  </si>
  <si>
    <t xml:space="preserve">pkyw o"kZ 2025&amp;26 ds fy, la'kksf/kr vuqeku </t>
  </si>
  <si>
    <t xml:space="preserve">DA @ 55% </t>
  </si>
  <si>
    <t>DA Arrear 07/25 to 02/26</t>
  </si>
  <si>
    <t>HRA 10%</t>
  </si>
  <si>
    <t>forh; o"kZ 2025&amp;26 ds fy, fuf'pr O;;ksa¼ vf/kdkfj;ksa ,ao deZpkfj;ksa ds laosru½  dk foLr`r vk;­O;;d vuqeku ¼ vizsy ls ekpZ rd½</t>
  </si>
  <si>
    <t>forh; o"kZ 2025&amp;26 ds fy, fuf'pr O;;ksa ¼vf/kdkfj;ksa ,ao deZpkfj;ksa ds laosru½  dk foLr`r vk;­O;;d vuqeku ¼vizsy] 2025 ls ekpZ] 2026 rd½</t>
  </si>
  <si>
    <t>Budget Estimate for 2026­27</t>
  </si>
  <si>
    <t>April 25 to July 25</t>
  </si>
  <si>
    <t>Revised Estimates for 2025­26</t>
  </si>
  <si>
    <t>foÙkh; o"kZ 2025&amp;26 ds fy, fuf'pr O;;ksa dk foLr`r vk;­O;;d vuqeku ¼vizsy]2025 ls ekpZ] 2026 rd½</t>
  </si>
  <si>
    <t>Øekad % exkvek@cj@ctV@2025&amp;26@</t>
  </si>
  <si>
    <t>la'kksf/kr ctV vuqeku l= 2025&amp;26 ,oa vk;&amp;O;;d vuqeku 2026&amp;27 izLrqr djus ckcr A</t>
  </si>
  <si>
    <t xml:space="preserve">          mi;qZDr fo"k;kUrxZr fuosnu gaS fd LFkkuh; fo|ky; esa dk;Zjr deZpkfj;ksa ds fy, la'kksf/kr ctV vuqeku l= 2025&amp;26 ,oa vk;&amp;O;;d vuqeku 2026&amp;27 fu/kkZfjr izi= esa rS;kj dj vko';d dk;Zokgh gsrq Jheku dh lsok esa lknj iszf"kr gS A</t>
  </si>
  <si>
    <t>08- 31-07-2025 rd cdk;k ;k=k@fpfdRlk foi=ksa dh o"kZokj vyx&amp;vyx lwph &amp; 1 izfr</t>
  </si>
  <si>
    <t>BAR, BEAWAR</t>
  </si>
</sst>
</file>

<file path=xl/styles.xml><?xml version="1.0" encoding="utf-8"?>
<styleSheet xmlns="http://schemas.openxmlformats.org/spreadsheetml/2006/main">
  <numFmts count="19">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 numFmtId="182" formatCode="dd/mm/yyyy"/>
  </numFmts>
  <fonts count="236">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amily val="2"/>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amily val="2"/>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
      <b/>
      <u/>
      <sz val="11"/>
      <color rgb="FFFF0000"/>
      <name val="Calibri"/>
      <family val="2"/>
      <scheme val="minor"/>
    </font>
    <font>
      <b/>
      <sz val="12"/>
      <color rgb="FF002060"/>
      <name val="Calibri"/>
      <family val="2"/>
      <scheme val="minor"/>
    </font>
    <font>
      <b/>
      <sz val="14"/>
      <color theme="1"/>
      <name val="Calibri"/>
      <family val="2"/>
      <scheme val="minor"/>
    </font>
    <font>
      <u/>
      <sz val="11"/>
      <color theme="10"/>
      <name val="Calibri"/>
      <family val="2"/>
    </font>
    <font>
      <b/>
      <u/>
      <sz val="14"/>
      <color theme="10"/>
      <name val="Calibri"/>
      <family val="2"/>
    </font>
    <font>
      <sz val="11.5"/>
      <name val="DevLys 010"/>
    </font>
    <font>
      <sz val="11"/>
      <color theme="1"/>
      <name val="Calibri"/>
      <family val="2"/>
      <scheme val="minor"/>
    </font>
    <font>
      <b/>
      <u/>
      <sz val="14"/>
      <name val="DevLys 010"/>
    </font>
    <font>
      <sz val="18"/>
      <color theme="1"/>
      <name val="DevLys 010"/>
    </font>
    <font>
      <b/>
      <sz val="12"/>
      <color theme="1"/>
      <name val="Arial"/>
      <family val="2"/>
    </font>
    <font>
      <b/>
      <sz val="11"/>
      <color theme="1"/>
      <name val="DevLys 010"/>
    </font>
    <font>
      <b/>
      <sz val="11"/>
      <color theme="1"/>
      <name val="Arial"/>
      <family val="2"/>
    </font>
    <font>
      <b/>
      <u/>
      <sz val="14"/>
      <color theme="1"/>
      <name val="DevLys 010"/>
    </font>
    <font>
      <b/>
      <u/>
      <sz val="14"/>
      <color indexed="8"/>
      <name val="DevLys 010"/>
    </font>
    <font>
      <b/>
      <u/>
      <sz val="14"/>
      <color indexed="8"/>
      <name val="Calibri"/>
      <family val="2"/>
      <scheme val="minor"/>
    </font>
    <font>
      <b/>
      <sz val="8"/>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12" fillId="0" borderId="0">
      <protection locked="0"/>
    </xf>
    <xf numFmtId="0" fontId="223" fillId="0" borderId="0" applyNumberFormat="0" applyFill="0" applyBorder="0" applyAlignment="0" applyProtection="0">
      <alignment vertical="top"/>
      <protection locked="0"/>
    </xf>
    <xf numFmtId="0" fontId="226" fillId="0" borderId="0"/>
  </cellStyleXfs>
  <cellXfs count="1155">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0" borderId="69" xfId="0" applyFont="1" applyFill="1" applyBorder="1" applyAlignment="1" applyProtection="1">
      <alignment horizontal="center" vertical="center"/>
      <protection hidden="1"/>
    </xf>
    <xf numFmtId="0" fontId="205" fillId="20" borderId="70" xfId="0" applyFont="1" applyFill="1" applyBorder="1" applyAlignment="1" applyProtection="1">
      <alignment horizontal="center" vertical="center"/>
      <protection hidden="1"/>
    </xf>
    <xf numFmtId="0" fontId="109" fillId="20" borderId="70" xfId="0" applyFont="1" applyFill="1" applyBorder="1" applyAlignment="1" applyProtection="1">
      <alignment horizontal="center" vertical="center"/>
      <protection hidden="1"/>
    </xf>
    <xf numFmtId="0" fontId="205" fillId="20"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6" fillId="17"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214" fillId="0" borderId="0" xfId="0" applyFont="1"/>
    <xf numFmtId="0" fontId="218" fillId="0" borderId="8" xfId="0" applyFont="1" applyBorder="1" applyAlignment="1">
      <alignment horizontal="center" vertical="center"/>
    </xf>
    <xf numFmtId="0" fontId="218" fillId="0" borderId="8" xfId="0" applyFont="1" applyBorder="1" applyAlignment="1">
      <alignment horizontal="center" vertical="center" wrapText="1"/>
    </xf>
    <xf numFmtId="0" fontId="218" fillId="0" borderId="8" xfId="0" applyFont="1" applyBorder="1" applyAlignment="1">
      <alignment horizontal="center" wrapText="1"/>
    </xf>
    <xf numFmtId="0" fontId="218" fillId="0" borderId="8" xfId="0" applyFont="1" applyBorder="1" applyAlignment="1">
      <alignment horizontal="center"/>
    </xf>
    <xf numFmtId="0" fontId="214" fillId="0" borderId="8" xfId="0" applyFont="1" applyBorder="1" applyAlignment="1">
      <alignment horizontal="center" vertical="center"/>
    </xf>
    <xf numFmtId="1" fontId="215" fillId="0" borderId="8" xfId="0" applyNumberFormat="1" applyFont="1" applyBorder="1" applyAlignment="1">
      <alignment horizontal="center" vertical="center"/>
    </xf>
    <xf numFmtId="0" fontId="214" fillId="0" borderId="8" xfId="0" applyFont="1" applyBorder="1" applyAlignment="1">
      <alignment horizontal="center" vertical="center" wrapText="1"/>
    </xf>
    <xf numFmtId="0" fontId="214" fillId="21" borderId="8" xfId="0" applyFont="1" applyFill="1" applyBorder="1" applyAlignment="1">
      <alignment horizontal="center" vertical="center" wrapText="1"/>
    </xf>
    <xf numFmtId="0" fontId="214" fillId="21" borderId="8" xfId="0" applyFont="1" applyFill="1" applyBorder="1" applyAlignment="1">
      <alignment horizontal="center" vertical="center"/>
    </xf>
    <xf numFmtId="0" fontId="214" fillId="0" borderId="21" xfId="0" applyFont="1" applyBorder="1" applyAlignment="1">
      <alignment horizontal="center" vertical="center" wrapText="1"/>
    </xf>
    <xf numFmtId="0" fontId="214" fillId="21" borderId="21" xfId="0" applyFont="1" applyFill="1" applyBorder="1" applyAlignment="1">
      <alignment horizontal="center" vertical="center" wrapText="1"/>
    </xf>
    <xf numFmtId="0" fontId="219" fillId="0" borderId="23" xfId="0" applyFont="1" applyBorder="1" applyAlignment="1">
      <alignment horizontal="center"/>
    </xf>
    <xf numFmtId="0" fontId="219" fillId="0" borderId="0" xfId="0" applyFont="1" applyBorder="1" applyAlignment="1">
      <alignment horizontal="center"/>
    </xf>
    <xf numFmtId="0" fontId="0" fillId="11" borderId="0" xfId="0" applyFill="1" applyProtection="1">
      <protection hidden="1"/>
    </xf>
    <xf numFmtId="0" fontId="196" fillId="11" borderId="0" xfId="0" applyFont="1" applyFill="1" applyAlignment="1" applyProtection="1">
      <alignment vertical="top"/>
      <protection hidden="1"/>
    </xf>
    <xf numFmtId="0" fontId="32" fillId="8" borderId="2" xfId="0" applyFont="1" applyFill="1" applyBorder="1" applyAlignment="1" applyProtection="1">
      <alignment horizontal="right" vertical="center"/>
    </xf>
    <xf numFmtId="0" fontId="221" fillId="8" borderId="8" xfId="0" applyFont="1" applyFill="1" applyBorder="1" applyAlignment="1" applyProtection="1">
      <alignment horizontal="center" vertical="center" shrinkToFit="1"/>
    </xf>
    <xf numFmtId="0" fontId="45" fillId="2" borderId="8" xfId="0" applyFont="1" applyFill="1" applyBorder="1" applyAlignment="1">
      <alignment horizontal="center" vertical="center" wrapText="1"/>
    </xf>
    <xf numFmtId="0" fontId="19" fillId="2" borderId="13" xfId="0" applyFont="1" applyFill="1" applyBorder="1" applyAlignment="1">
      <alignment horizontal="center" vertical="center"/>
    </xf>
    <xf numFmtId="0" fontId="60" fillId="2" borderId="1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76" fillId="2" borderId="13" xfId="0" applyFont="1" applyFill="1" applyBorder="1" applyAlignment="1">
      <alignment horizontal="center" vertical="center"/>
    </xf>
    <xf numFmtId="0" fontId="33" fillId="0" borderId="0" xfId="3" applyFont="1" applyFill="1"/>
    <xf numFmtId="0" fontId="33" fillId="0" borderId="0" xfId="3" applyFont="1" applyFill="1" applyAlignment="1">
      <alignment horizontal="right"/>
    </xf>
    <xf numFmtId="0" fontId="33" fillId="0" borderId="8" xfId="1" applyFont="1" applyFill="1" applyBorder="1" applyAlignment="1" applyProtection="1">
      <alignment horizontal="center"/>
    </xf>
    <xf numFmtId="0" fontId="33" fillId="0" borderId="0" xfId="1" applyFont="1" applyFill="1" applyProtection="1"/>
    <xf numFmtId="0" fontId="33" fillId="0" borderId="8" xfId="1" applyFont="1" applyFill="1" applyBorder="1" applyProtection="1"/>
    <xf numFmtId="0" fontId="107" fillId="0" borderId="0" xfId="1" applyFont="1" applyFill="1" applyProtection="1"/>
    <xf numFmtId="0" fontId="83" fillId="0" borderId="0" xfId="1" applyFont="1" applyFill="1" applyProtection="1"/>
    <xf numFmtId="0" fontId="227" fillId="0" borderId="23" xfId="3" applyFont="1" applyFill="1" applyBorder="1" applyAlignment="1">
      <alignment horizontal="center" vertical="center"/>
    </xf>
    <xf numFmtId="0" fontId="227" fillId="0" borderId="23" xfId="3" applyFont="1" applyFill="1" applyBorder="1" applyAlignment="1">
      <alignment horizontal="center"/>
    </xf>
    <xf numFmtId="0" fontId="171" fillId="0" borderId="0" xfId="1" applyFont="1" applyFill="1" applyProtection="1"/>
    <xf numFmtId="0" fontId="26" fillId="0" borderId="0" xfId="1" applyFont="1" applyFill="1" applyAlignment="1" applyProtection="1">
      <alignment vertical="center"/>
    </xf>
    <xf numFmtId="0" fontId="228" fillId="0" borderId="0" xfId="3" applyFont="1" applyFill="1" applyBorder="1" applyAlignment="1"/>
    <xf numFmtId="0" fontId="9" fillId="0" borderId="0" xfId="3" applyFont="1" applyFill="1" applyBorder="1"/>
    <xf numFmtId="0" fontId="9" fillId="0" borderId="0" xfId="3" applyFont="1" applyFill="1" applyBorder="1" applyAlignment="1"/>
    <xf numFmtId="0" fontId="9" fillId="0" borderId="0" xfId="3" applyFont="1" applyFill="1" applyBorder="1" applyAlignment="1">
      <alignment horizontal="center"/>
    </xf>
    <xf numFmtId="0" fontId="9" fillId="0" borderId="8" xfId="3" applyFont="1" applyFill="1" applyBorder="1" applyAlignment="1">
      <alignment horizontal="center"/>
    </xf>
    <xf numFmtId="0" fontId="9" fillId="0" borderId="8" xfId="3" applyFont="1" applyFill="1" applyBorder="1"/>
    <xf numFmtId="0" fontId="229" fillId="0" borderId="8" xfId="3" applyFont="1" applyFill="1" applyBorder="1"/>
    <xf numFmtId="0" fontId="230" fillId="0" borderId="8" xfId="3" applyFont="1" applyFill="1" applyBorder="1"/>
    <xf numFmtId="0" fontId="231" fillId="0" borderId="8" xfId="3" applyFont="1" applyFill="1" applyBorder="1"/>
    <xf numFmtId="0" fontId="229" fillId="0" borderId="0" xfId="3" applyFont="1" applyFill="1" applyBorder="1"/>
    <xf numFmtId="0" fontId="230" fillId="0" borderId="0" xfId="3" applyFont="1" applyFill="1" applyBorder="1"/>
    <xf numFmtId="0" fontId="231" fillId="0" borderId="0" xfId="3" applyFont="1" applyFill="1" applyBorder="1"/>
    <xf numFmtId="0" fontId="30" fillId="0" borderId="0" xfId="3" applyFont="1" applyFill="1" applyBorder="1" applyAlignment="1"/>
    <xf numFmtId="0" fontId="30" fillId="0" borderId="23" xfId="3" applyFont="1" applyFill="1" applyBorder="1" applyAlignment="1">
      <alignment horizontal="right" vertical="center"/>
    </xf>
    <xf numFmtId="0" fontId="232" fillId="0" borderId="23" xfId="3" applyFont="1" applyFill="1" applyBorder="1" applyAlignment="1">
      <alignment horizontal="center" vertical="center"/>
    </xf>
    <xf numFmtId="0" fontId="30" fillId="0" borderId="8" xfId="3" applyFont="1" applyFill="1" applyBorder="1" applyAlignment="1">
      <alignment horizontal="center" vertical="center" wrapText="1"/>
    </xf>
    <xf numFmtId="0" fontId="30" fillId="0" borderId="0" xfId="3" applyFont="1" applyFill="1" applyBorder="1" applyAlignment="1">
      <alignment vertical="center"/>
    </xf>
    <xf numFmtId="0" fontId="9" fillId="0" borderId="23" xfId="3" applyFont="1" applyFill="1" applyBorder="1" applyAlignment="1"/>
    <xf numFmtId="0" fontId="227" fillId="0" borderId="23" xfId="3" applyFont="1" applyFill="1" applyBorder="1" applyAlignment="1">
      <alignment vertical="center"/>
    </xf>
    <xf numFmtId="0" fontId="26" fillId="0" borderId="0" xfId="3" applyFont="1" applyFill="1" applyBorder="1" applyAlignment="1">
      <alignment horizontal="right" vertical="center"/>
    </xf>
    <xf numFmtId="0" fontId="35" fillId="0" borderId="0" xfId="3" applyFont="1" applyFill="1" applyBorder="1" applyAlignment="1">
      <alignment horizontal="left" vertical="center"/>
    </xf>
    <xf numFmtId="0" fontId="35" fillId="0" borderId="23" xfId="3" applyFont="1" applyFill="1" applyBorder="1" applyAlignment="1">
      <alignment horizontal="left" vertical="center"/>
    </xf>
    <xf numFmtId="0" fontId="227" fillId="0" borderId="0" xfId="3" applyFont="1" applyFill="1" applyBorder="1" applyAlignment="1">
      <alignment vertical="center"/>
    </xf>
    <xf numFmtId="0" fontId="33" fillId="0" borderId="0" xfId="3" applyFont="1" applyFill="1" applyBorder="1"/>
    <xf numFmtId="0" fontId="26" fillId="0" borderId="0" xfId="1" applyFont="1" applyFill="1" applyProtection="1"/>
    <xf numFmtId="0" fontId="89" fillId="0" borderId="0" xfId="1" applyFont="1" applyFill="1" applyProtection="1"/>
    <xf numFmtId="0" fontId="26" fillId="0" borderId="8" xfId="1" applyFont="1" applyFill="1" applyBorder="1" applyAlignment="1" applyProtection="1">
      <alignment horizontal="center"/>
    </xf>
    <xf numFmtId="0" fontId="26" fillId="0" borderId="8" xfId="1" applyFont="1" applyFill="1" applyBorder="1" applyAlignment="1" applyProtection="1">
      <alignment horizontal="center" vertical="center"/>
    </xf>
    <xf numFmtId="0" fontId="20" fillId="0" borderId="8" xfId="1" applyFont="1" applyFill="1" applyBorder="1" applyAlignment="1" applyProtection="1">
      <alignment horizontal="center" vertical="center"/>
    </xf>
    <xf numFmtId="0" fontId="20" fillId="0" borderId="8" xfId="1" applyFont="1" applyFill="1" applyBorder="1" applyProtection="1"/>
    <xf numFmtId="0" fontId="33" fillId="0" borderId="8" xfId="1" applyFont="1" applyFill="1" applyBorder="1" applyAlignment="1" applyProtection="1">
      <alignment vertical="center" wrapText="1"/>
    </xf>
    <xf numFmtId="0" fontId="61" fillId="0" borderId="8" xfId="1" applyFont="1" applyFill="1" applyBorder="1" applyAlignment="1" applyProtection="1">
      <alignment horizontal="center" vertical="center"/>
    </xf>
    <xf numFmtId="0" fontId="124" fillId="0" borderId="8" xfId="1" applyFont="1" applyFill="1" applyBorder="1" applyAlignment="1" applyProtection="1">
      <alignment horizontal="center" vertical="center"/>
    </xf>
    <xf numFmtId="0" fontId="33" fillId="6" borderId="8" xfId="0" applyFont="1" applyFill="1" applyBorder="1" applyAlignment="1">
      <alignment horizontal="center" vertical="center" wrapText="1"/>
    </xf>
    <xf numFmtId="0" fontId="146" fillId="6" borderId="8" xfId="0" applyFont="1" applyFill="1" applyBorder="1" applyAlignment="1">
      <alignment horizontal="center" vertical="center" wrapText="1"/>
    </xf>
    <xf numFmtId="0" fontId="26" fillId="0" borderId="8" xfId="0" applyFont="1" applyBorder="1" applyAlignment="1">
      <alignment horizontal="center" vertical="center" wrapText="1"/>
    </xf>
    <xf numFmtId="0" fontId="146" fillId="0" borderId="8" xfId="0" applyFont="1" applyBorder="1" applyAlignment="1">
      <alignment horizontal="center" vertical="center" wrapText="1"/>
    </xf>
    <xf numFmtId="182" fontId="15" fillId="2" borderId="8" xfId="0" applyNumberFormat="1" applyFont="1" applyFill="1" applyBorder="1" applyAlignment="1">
      <alignment horizontal="center" vertical="center" shrinkToFit="1"/>
    </xf>
    <xf numFmtId="0" fontId="60" fillId="18" borderId="0" xfId="0" applyFont="1" applyFill="1" applyAlignment="1" applyProtection="1">
      <alignment horizontal="center" vertical="center"/>
      <protection hidden="1"/>
    </xf>
    <xf numFmtId="0" fontId="204" fillId="19" borderId="0" xfId="0" applyFont="1" applyFill="1" applyBorder="1" applyAlignment="1" applyProtection="1">
      <alignment horizontal="center" vertical="center" wrapText="1"/>
      <protection hidden="1"/>
    </xf>
    <xf numFmtId="0" fontId="129" fillId="0" borderId="0" xfId="0" applyFont="1" applyAlignment="1" applyProtection="1">
      <alignment horizontal="center" vertical="center" wrapText="1"/>
      <protection hidden="1"/>
    </xf>
    <xf numFmtId="0" fontId="129" fillId="0" borderId="0" xfId="0" applyFont="1" applyAlignment="1" applyProtection="1">
      <alignment horizontal="center" vertical="center"/>
      <protection hidden="1"/>
    </xf>
    <xf numFmtId="0" fontId="224" fillId="0" borderId="0" xfId="2" applyFont="1" applyAlignment="1" applyProtection="1">
      <alignment horizontal="center" vertical="center"/>
      <protection hidden="1"/>
    </xf>
    <xf numFmtId="0" fontId="222" fillId="0" borderId="0" xfId="0" applyFont="1" applyAlignment="1" applyProtection="1">
      <alignment horizontal="center" vertical="center"/>
      <protection hidden="1"/>
    </xf>
    <xf numFmtId="0" fontId="224" fillId="0" borderId="0" xfId="2" applyFont="1" applyAlignment="1" applyProtection="1">
      <alignment horizontal="center"/>
      <protection hidden="1"/>
    </xf>
    <xf numFmtId="0" fontId="222" fillId="0" borderId="0" xfId="0" applyFont="1" applyAlignment="1" applyProtection="1">
      <alignment horizontal="center"/>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69" fillId="5" borderId="0" xfId="0" applyFont="1" applyFill="1" applyBorder="1" applyAlignment="1">
      <alignment horizontal="center" vertical="center" shrinkToFi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3" fillId="5" borderId="41" xfId="0" applyFont="1" applyFill="1" applyBorder="1" applyAlignment="1" applyProtection="1">
      <alignment horizontal="center" vertical="center" wrapText="1"/>
      <protection locked="0"/>
    </xf>
    <xf numFmtId="0" fontId="213" fillId="5" borderId="22" xfId="0"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18"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0" fontId="20" fillId="2" borderId="0" xfId="0" applyFont="1" applyFill="1" applyAlignment="1" applyProtection="1">
      <alignment horizontal="right" vertical="center"/>
      <protection locked="0"/>
    </xf>
    <xf numFmtId="0" fontId="138"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6" fillId="2" borderId="0" xfId="0" applyFont="1" applyFill="1" applyAlignment="1">
      <alignment horizontal="center" vertical="top" wrapText="1"/>
    </xf>
    <xf numFmtId="0" fontId="205" fillId="0" borderId="0" xfId="0" applyFont="1" applyAlignment="1">
      <alignment horizontal="center"/>
    </xf>
    <xf numFmtId="0" fontId="120" fillId="0" borderId="0" xfId="0" applyFont="1" applyAlignment="1">
      <alignment horizontal="center"/>
    </xf>
    <xf numFmtId="0" fontId="219" fillId="0" borderId="0" xfId="0" applyFont="1" applyBorder="1" applyAlignment="1">
      <alignment horizontal="center"/>
    </xf>
    <xf numFmtId="178" fontId="149" fillId="2" borderId="0" xfId="0" applyNumberFormat="1" applyFont="1" applyFill="1" applyAlignment="1">
      <alignment horizontal="center" shrinkToFit="1"/>
    </xf>
    <xf numFmtId="0" fontId="18" fillId="2" borderId="0" xfId="0" applyFont="1" applyFill="1" applyBorder="1" applyAlignment="1">
      <alignment horizontal="center"/>
    </xf>
    <xf numFmtId="0" fontId="175" fillId="2" borderId="0" xfId="0" applyFont="1" applyFill="1" applyAlignment="1">
      <alignment horizontal="center"/>
    </xf>
    <xf numFmtId="0" fontId="26" fillId="2" borderId="0" xfId="0" applyFont="1" applyFill="1" applyAlignment="1">
      <alignment horizontal="center"/>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146" fillId="2" borderId="0" xfId="0" applyFont="1" applyFill="1" applyAlignment="1">
      <alignment horizontal="center" vertical="top" wrapText="1"/>
    </xf>
    <xf numFmtId="0" fontId="232" fillId="0" borderId="0" xfId="3" applyFont="1" applyFill="1" applyBorder="1" applyAlignment="1">
      <alignment horizontal="center" vertical="center"/>
    </xf>
    <xf numFmtId="0" fontId="235" fillId="0" borderId="0" xfId="3" applyFont="1" applyFill="1" applyBorder="1" applyAlignment="1">
      <alignment horizontal="left" vertical="center"/>
    </xf>
    <xf numFmtId="0" fontId="30" fillId="0" borderId="0" xfId="3" applyFont="1" applyFill="1" applyBorder="1" applyAlignment="1">
      <alignment horizontal="right" vertical="center"/>
    </xf>
    <xf numFmtId="0" fontId="120" fillId="0" borderId="0" xfId="3" applyFont="1" applyFill="1" applyBorder="1" applyAlignment="1">
      <alignment horizontal="left" vertical="center"/>
    </xf>
    <xf numFmtId="0" fontId="146" fillId="2" borderId="0" xfId="0" applyFont="1" applyFill="1" applyAlignment="1">
      <alignment horizontal="center"/>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17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33" fillId="2" borderId="8" xfId="0" applyFont="1" applyFill="1" applyBorder="1" applyAlignment="1">
      <alignment horizontal="center" vertical="center" wrapText="1"/>
    </xf>
    <xf numFmtId="0" fontId="225"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26" fillId="0" borderId="21" xfId="1" applyFont="1" applyFill="1" applyBorder="1" applyAlignment="1" applyProtection="1">
      <alignment horizontal="center" vertical="center"/>
    </xf>
    <xf numFmtId="0" fontId="26" fillId="0" borderId="18" xfId="1" applyFont="1" applyFill="1" applyBorder="1" applyAlignment="1" applyProtection="1">
      <alignment horizontal="center" vertical="center"/>
    </xf>
    <xf numFmtId="0" fontId="26" fillId="0" borderId="21" xfId="1" applyFont="1" applyFill="1" applyBorder="1" applyAlignment="1" applyProtection="1">
      <alignment horizontal="center" vertical="center" wrapText="1"/>
    </xf>
    <xf numFmtId="0" fontId="26" fillId="0" borderId="18" xfId="1" applyFont="1" applyFill="1" applyBorder="1" applyAlignment="1" applyProtection="1">
      <alignment horizontal="center" vertical="center" wrapText="1"/>
    </xf>
    <xf numFmtId="0" fontId="26" fillId="0" borderId="13" xfId="1" applyFont="1" applyFill="1" applyBorder="1" applyAlignment="1" applyProtection="1">
      <alignment horizontal="center" vertical="center" wrapText="1"/>
    </xf>
    <xf numFmtId="0" fontId="26" fillId="0" borderId="2" xfId="1" applyFont="1" applyFill="1" applyBorder="1" applyAlignment="1" applyProtection="1">
      <alignment horizontal="center" vertical="center" wrapText="1"/>
    </xf>
    <xf numFmtId="0" fontId="26" fillId="0" borderId="14" xfId="1" applyFont="1" applyFill="1" applyBorder="1" applyAlignment="1" applyProtection="1">
      <alignment horizontal="center" vertical="center" wrapText="1"/>
    </xf>
    <xf numFmtId="0" fontId="227" fillId="0" borderId="0" xfId="3" applyFont="1" applyFill="1" applyBorder="1" applyAlignment="1">
      <alignment horizontal="center"/>
    </xf>
    <xf numFmtId="0" fontId="227" fillId="0" borderId="0" xfId="3" applyFont="1" applyFill="1" applyBorder="1" applyAlignment="1">
      <alignment horizontal="center" vertical="center"/>
    </xf>
    <xf numFmtId="0" fontId="35" fillId="0" borderId="0" xfId="3" applyFont="1" applyFill="1" applyBorder="1" applyAlignment="1">
      <alignment horizontal="left" vertical="center"/>
    </xf>
    <xf numFmtId="0" fontId="26" fillId="0" borderId="8" xfId="1" applyFont="1" applyFill="1" applyBorder="1" applyAlignment="1" applyProtection="1">
      <alignment horizontal="center" vertical="center" wrapText="1"/>
    </xf>
    <xf numFmtId="0" fontId="26" fillId="0" borderId="0" xfId="3" applyFont="1" applyFill="1" applyAlignment="1">
      <alignment horizontal="right" vertical="center"/>
    </xf>
    <xf numFmtId="0" fontId="18" fillId="0" borderId="0" xfId="3" applyFont="1" applyFill="1" applyAlignment="1">
      <alignment horizontal="left" vertical="center" wrapText="1"/>
    </xf>
    <xf numFmtId="0" fontId="26" fillId="0" borderId="0" xfId="3" applyFont="1" applyFill="1" applyBorder="1" applyAlignment="1">
      <alignment horizontal="right" vertical="center"/>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25" fillId="2" borderId="0" xfId="0" applyFont="1" applyFill="1" applyAlignment="1">
      <alignment horizontal="center" vertical="center" shrinkToFi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26" fillId="2" borderId="0" xfId="0" applyFont="1" applyFill="1" applyAlignment="1">
      <alignment horizontal="center" vertical="center"/>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175" fillId="0" borderId="0" xfId="0" applyFont="1" applyAlignment="1">
      <alignment horizontal="center" vertical="center"/>
    </xf>
    <xf numFmtId="0" fontId="20" fillId="6" borderId="24" xfId="0" applyFont="1" applyFill="1" applyBorder="1" applyAlignment="1">
      <alignment horizontal="center" vertical="center"/>
    </xf>
    <xf numFmtId="0" fontId="66" fillId="0" borderId="0" xfId="0" applyFont="1" applyAlignment="1">
      <alignment horizontal="center"/>
    </xf>
    <xf numFmtId="0" fontId="209" fillId="0" borderId="0" xfId="0" applyFont="1" applyAlignment="1">
      <alignment horizontal="center"/>
    </xf>
    <xf numFmtId="0" fontId="210"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171"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0" fontId="114" fillId="0" borderId="23" xfId="0" applyFont="1" applyBorder="1" applyAlignment="1">
      <alignment horizontal="center" vertical="center"/>
    </xf>
    <xf numFmtId="0" fontId="178" fillId="2" borderId="0" xfId="0" applyFont="1" applyFill="1" applyAlignment="1">
      <alignment horizontal="center"/>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8"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10" fillId="2" borderId="0" xfId="0" applyFont="1" applyFill="1" applyBorder="1" applyAlignment="1" applyProtection="1">
      <alignment horizontal="center" vertical="center" wrapTex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xf numFmtId="175" fontId="17" fillId="0" borderId="8" xfId="0" applyNumberFormat="1" applyFont="1" applyFill="1" applyBorder="1" applyAlignment="1">
      <alignment horizontal="center" vertical="center" wrapText="1"/>
    </xf>
  </cellXfs>
  <cellStyles count="4">
    <cellStyle name="Hyperlink" xfId="2" builtinId="8"/>
    <cellStyle name="Normal" xfId="0" builtinId="0"/>
    <cellStyle name="Normal 2 2" xfId="1"/>
    <cellStyle name="Normal 23 4" xfId="3"/>
  </cellStyles>
  <dxfs count="40">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318654</xdr:colOff>
      <xdr:row>6</xdr:row>
      <xdr:rowOff>138545</xdr:rowOff>
    </xdr:from>
    <xdr:to>
      <xdr:col>25</xdr:col>
      <xdr:colOff>118628</xdr:colOff>
      <xdr:row>13</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19049</xdr:colOff>
      <xdr:row>0</xdr:row>
      <xdr:rowOff>171450</xdr:rowOff>
    </xdr:from>
    <xdr:to>
      <xdr:col>16</xdr:col>
      <xdr:colOff>295274</xdr:colOff>
      <xdr:row>5</xdr:row>
      <xdr:rowOff>155448</xdr:rowOff>
    </xdr:to>
    <xdr:sp macro="" textlink="">
      <xdr:nvSpPr>
        <xdr:cNvPr id="2" name="Oval Callout 1"/>
        <xdr:cNvSpPr/>
      </xdr:nvSpPr>
      <xdr:spPr>
        <a:xfrm>
          <a:off x="8848724" y="171450"/>
          <a:ext cx="3057525" cy="15460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 bldk fofM;ksa ns[k ldrs gSaA </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row r="5">
          <cell r="A5" t="str">
            <v>BUDGET HEAD : 2202-GENERAL EDUCATION, 02-SECONDARY EDUCATION, 109-GOVT. SEC. SCHOOL, (27)-BOYS SCHOOL (01) (STATE FUND)</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id="1" name="Table3" displayName="Table3" ref="B6:I65" totalsRowShown="0" headerRowDxfId="23" dataDxfId="21" headerRowBorderDxfId="22" tableBorderDxfId="20" totalsRowBorderDxfId="19">
  <tableColumns count="8">
    <tableColumn id="1" name="1" dataDxfId="18">
      <calculatedColumnFormula>IF(I7&gt;0,A7,"")</calculatedColumnFormula>
    </tableColumn>
    <tableColumn id="2" name="2" dataDxfId="17">
      <calculatedColumnFormula>'[1](3) Format 8'!C12</calculatedColumnFormula>
    </tableColumn>
    <tableColumn id="3" name="3" dataDxfId="16">
      <calculatedColumnFormula>'[1](3) Format 8'!F12</calculatedColumnFormula>
    </tableColumn>
    <tableColumn id="4" name="4" dataDxfId="15">
      <calculatedColumnFormula>('[1](3) Format 8'!I12)-ROUND(('[1](3) Format 8'!I12)*2.935%,-1)</calculatedColumnFormula>
    </tableColumn>
    <tableColumn id="5" name="5" dataDxfId="14">
      <calculatedColumnFormula>IF(AND(E7=""),"",'Formet 8'!$C$77)</calculatedColumnFormula>
    </tableColumn>
    <tableColumn id="6" name="6" dataDxfId="13">
      <calculatedColumnFormula>IF(AND(E7=""),"",ROUND((E7*F7)*2,0))</calculatedColumnFormula>
    </tableColumn>
    <tableColumn id="7" name="7" dataDxfId="12"/>
    <tableColumn id="8" name="8" dataDxfId="11">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irbvEwgYzi0" TargetMode="External"/><Relationship Id="rId1" Type="http://schemas.openxmlformats.org/officeDocument/2006/relationships/hyperlink" Target="https://youtu.be/02KrGxb5ISI"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showGridLines="0" showRowColHeaders="0" tabSelected="1" workbookViewId="0">
      <selection activeCell="F26" sqref="F26"/>
    </sheetView>
  </sheetViews>
  <sheetFormatPr defaultColWidth="9.125" defaultRowHeight="15"/>
  <cols>
    <col min="1" max="1" width="3.625" style="652" customWidth="1"/>
    <col min="2" max="2" width="124.75" style="652" customWidth="1"/>
    <col min="3" max="3" width="3.875" style="652" customWidth="1"/>
    <col min="4" max="4" width="11.125" style="652" customWidth="1"/>
    <col min="5" max="5" width="10.625" style="652" customWidth="1"/>
    <col min="6" max="16384" width="9.125" style="652"/>
  </cols>
  <sheetData>
    <row r="1" spans="1:9">
      <c r="A1" s="702"/>
      <c r="B1" s="702"/>
      <c r="C1" s="702"/>
    </row>
    <row r="2" spans="1:9" s="651" customFormat="1" ht="31.5">
      <c r="A2" s="702"/>
      <c r="B2" s="649" t="s">
        <v>626</v>
      </c>
      <c r="C2" s="703"/>
      <c r="D2" s="650"/>
      <c r="E2" s="650"/>
      <c r="F2" s="650"/>
      <c r="G2" s="650"/>
      <c r="H2" s="650"/>
      <c r="I2" s="650"/>
    </row>
    <row r="3" spans="1:9" ht="15" customHeight="1">
      <c r="A3" s="702"/>
      <c r="C3" s="702"/>
    </row>
    <row r="4" spans="1:9" ht="18.75">
      <c r="A4" s="702"/>
      <c r="B4" s="653" t="s">
        <v>627</v>
      </c>
      <c r="C4" s="702"/>
    </row>
    <row r="5" spans="1:9" ht="109.5" customHeight="1">
      <c r="A5" s="702"/>
      <c r="B5" s="654" t="s">
        <v>628</v>
      </c>
      <c r="C5" s="702"/>
    </row>
    <row r="6" spans="1:9" ht="105" customHeight="1">
      <c r="A6" s="702"/>
      <c r="B6" s="655" t="s">
        <v>629</v>
      </c>
      <c r="C6" s="702"/>
      <c r="F6" s="762" t="s">
        <v>669</v>
      </c>
      <c r="G6" s="762"/>
      <c r="H6" s="762"/>
    </row>
    <row r="7" spans="1:9" ht="21.75" customHeight="1">
      <c r="A7" s="702"/>
      <c r="C7" s="702"/>
    </row>
    <row r="8" spans="1:9" ht="51.75">
      <c r="A8" s="702"/>
      <c r="B8" s="654" t="s">
        <v>630</v>
      </c>
      <c r="C8" s="702"/>
      <c r="D8" s="763" t="s">
        <v>691</v>
      </c>
      <c r="E8" s="764"/>
      <c r="F8" s="764"/>
      <c r="G8" s="764"/>
    </row>
    <row r="9" spans="1:9" ht="47.25">
      <c r="A9" s="702"/>
      <c r="B9" s="656" t="s">
        <v>632</v>
      </c>
      <c r="C9" s="702"/>
      <c r="D9" s="765" t="s">
        <v>692</v>
      </c>
      <c r="E9" s="766"/>
      <c r="F9" s="766"/>
      <c r="G9" s="766"/>
    </row>
    <row r="10" spans="1:9" ht="18.75">
      <c r="A10" s="702"/>
      <c r="C10" s="702"/>
      <c r="D10" s="767" t="s">
        <v>693</v>
      </c>
      <c r="E10" s="768"/>
      <c r="F10" s="768"/>
      <c r="G10" s="768"/>
    </row>
    <row r="11" spans="1:9" ht="34.5">
      <c r="A11" s="702"/>
      <c r="B11" s="657" t="s">
        <v>631</v>
      </c>
      <c r="C11" s="702"/>
    </row>
    <row r="12" spans="1:9" ht="15.75">
      <c r="A12" s="702"/>
      <c r="B12" s="655" t="s">
        <v>633</v>
      </c>
      <c r="C12" s="702"/>
    </row>
    <row r="13" spans="1:9" ht="24.75" customHeight="1">
      <c r="A13" s="702"/>
      <c r="C13" s="702"/>
      <c r="D13" s="761" t="s">
        <v>637</v>
      </c>
      <c r="E13" s="761"/>
    </row>
    <row r="14" spans="1:9" ht="51.75">
      <c r="A14" s="702"/>
      <c r="B14" s="658" t="s">
        <v>635</v>
      </c>
      <c r="C14" s="702"/>
    </row>
    <row r="15" spans="1:9" ht="47.25">
      <c r="A15" s="702"/>
      <c r="B15" s="656" t="s">
        <v>634</v>
      </c>
      <c r="C15" s="702"/>
    </row>
    <row r="16" spans="1:9" ht="15.75" thickBot="1">
      <c r="A16" s="702"/>
      <c r="C16" s="702"/>
    </row>
    <row r="17" spans="1:3" ht="47.25" customHeight="1" thickBot="1">
      <c r="A17" s="702"/>
      <c r="B17" s="667" t="s">
        <v>644</v>
      </c>
      <c r="C17" s="702"/>
    </row>
    <row r="18" spans="1:3" ht="15.75" thickBot="1">
      <c r="A18" s="702"/>
      <c r="C18" s="702"/>
    </row>
    <row r="19" spans="1:3" ht="18.75">
      <c r="A19" s="702"/>
      <c r="B19" s="645" t="s">
        <v>639</v>
      </c>
      <c r="C19" s="702"/>
    </row>
    <row r="20" spans="1:3" ht="18">
      <c r="A20" s="702"/>
      <c r="B20" s="646" t="s">
        <v>640</v>
      </c>
      <c r="C20" s="702"/>
    </row>
    <row r="21" spans="1:3" ht="18.75">
      <c r="A21" s="702"/>
      <c r="B21" s="647" t="s">
        <v>641</v>
      </c>
      <c r="C21" s="702"/>
    </row>
    <row r="22" spans="1:3" ht="18">
      <c r="A22" s="702"/>
      <c r="B22" s="646" t="s">
        <v>642</v>
      </c>
      <c r="C22" s="702"/>
    </row>
    <row r="23" spans="1:3" ht="18">
      <c r="A23" s="702"/>
      <c r="B23" s="646" t="s">
        <v>643</v>
      </c>
      <c r="C23" s="702"/>
    </row>
    <row r="24" spans="1:3" ht="18.75" thickBot="1">
      <c r="A24" s="702"/>
      <c r="B24" s="648" t="s">
        <v>824</v>
      </c>
      <c r="C24" s="702"/>
    </row>
    <row r="25" spans="1:3">
      <c r="A25" s="702"/>
      <c r="C25" s="702"/>
    </row>
    <row r="26" spans="1:3">
      <c r="A26" s="702"/>
      <c r="B26" s="702"/>
      <c r="C26" s="702"/>
    </row>
  </sheetData>
  <sheetProtection password="C1FB" sheet="1" objects="1" scenarios="1" selectLockedCells="1"/>
  <mergeCells count="5">
    <mergeCell ref="D13:E13"/>
    <mergeCell ref="F6:H6"/>
    <mergeCell ref="D8:G8"/>
    <mergeCell ref="D9:G9"/>
    <mergeCell ref="D10:G10"/>
  </mergeCells>
  <hyperlinks>
    <hyperlink ref="D9" r:id="rId1"/>
    <hyperlink ref="D10" r:id="rId2"/>
  </hyperlinks>
  <pageMargins left="0.7" right="0.7" top="0.75" bottom="0.75" header="0.3" footer="0.3"/>
  <pageSetup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sheetPr codeName="Sheet9">
    <tabColor rgb="FF00B050"/>
    <pageSetUpPr fitToPage="1"/>
  </sheetPr>
  <dimension ref="A1:AC56"/>
  <sheetViews>
    <sheetView showGridLines="0" view="pageBreakPreview" zoomScale="110" zoomScaleSheetLayoutView="110" workbookViewId="0">
      <selection activeCell="X12" sqref="X12"/>
    </sheetView>
  </sheetViews>
  <sheetFormatPr defaultColWidth="9.125" defaultRowHeight="15"/>
  <cols>
    <col min="1" max="1" width="7.875" style="147" customWidth="1"/>
    <col min="2" max="2" width="8.875" style="147" customWidth="1"/>
    <col min="3" max="17" width="6.25" style="147" customWidth="1"/>
    <col min="18" max="18" width="7" style="147" customWidth="1"/>
    <col min="19" max="19" width="7.125" style="147" customWidth="1"/>
    <col min="20" max="20" width="8" style="147" customWidth="1"/>
    <col min="21" max="23" width="6.25" style="147" customWidth="1"/>
    <col min="24" max="16384" width="9.125" style="147"/>
  </cols>
  <sheetData>
    <row r="1" spans="1:29" ht="18" customHeight="1">
      <c r="A1" s="480"/>
      <c r="B1" s="480"/>
      <c r="C1" s="480"/>
      <c r="D1" s="480"/>
      <c r="E1" s="480"/>
      <c r="F1" s="480"/>
      <c r="G1" s="480"/>
      <c r="H1" s="480"/>
      <c r="I1" s="480"/>
      <c r="J1" s="480"/>
      <c r="K1" s="480"/>
      <c r="L1" s="480"/>
      <c r="M1" s="480"/>
      <c r="N1" s="480"/>
      <c r="O1" s="480"/>
      <c r="P1" s="480"/>
      <c r="Q1" s="480"/>
      <c r="R1" s="480"/>
      <c r="S1" s="944">
        <f>Summary!$C$1</f>
        <v>30695</v>
      </c>
      <c r="T1" s="944"/>
      <c r="U1" s="944"/>
      <c r="V1" s="944"/>
      <c r="W1" s="944"/>
    </row>
    <row r="2" spans="1:29" ht="32.25" customHeight="1" thickBot="1">
      <c r="A2" s="945" t="str">
        <f>Summary!A2</f>
        <v>iz/kkukpk;Z egkRek xka/kh jktdh; fo|ky; ¼vaxzsth ek/;e½ cj ] C;koj</v>
      </c>
      <c r="B2" s="945"/>
      <c r="C2" s="945"/>
      <c r="D2" s="945"/>
      <c r="E2" s="945"/>
      <c r="F2" s="945"/>
      <c r="G2" s="945"/>
      <c r="H2" s="945"/>
      <c r="I2" s="945"/>
      <c r="J2" s="945"/>
      <c r="K2" s="945"/>
      <c r="L2" s="945"/>
      <c r="M2" s="945"/>
      <c r="N2" s="945"/>
      <c r="O2" s="945"/>
      <c r="P2" s="945"/>
      <c r="Q2" s="945"/>
      <c r="R2" s="945"/>
      <c r="S2" s="945"/>
      <c r="T2" s="945"/>
      <c r="U2" s="945"/>
      <c r="V2" s="945"/>
      <c r="W2" s="945"/>
    </row>
    <row r="3" spans="1:29" ht="24" customHeight="1">
      <c r="A3" s="481"/>
      <c r="B3" s="481"/>
      <c r="C3" s="481"/>
      <c r="D3" s="481"/>
      <c r="E3" s="481"/>
      <c r="F3" s="481"/>
      <c r="G3" s="481"/>
      <c r="H3" s="481"/>
      <c r="I3" s="481"/>
      <c r="J3" s="939" t="s">
        <v>322</v>
      </c>
      <c r="K3" s="939"/>
      <c r="L3" s="939"/>
      <c r="M3" s="939"/>
      <c r="N3" s="939"/>
      <c r="O3" s="481"/>
      <c r="P3" s="481"/>
      <c r="Q3" s="481"/>
      <c r="R3" s="481"/>
      <c r="S3" s="481"/>
      <c r="T3" s="481"/>
      <c r="U3" s="481"/>
      <c r="V3" s="481"/>
      <c r="W3" s="481"/>
      <c r="Z3" s="929" t="s">
        <v>636</v>
      </c>
      <c r="AA3" s="930"/>
      <c r="AB3" s="930"/>
      <c r="AC3" s="931"/>
    </row>
    <row r="4" spans="1:29" ht="10.5" customHeight="1">
      <c r="A4" s="481"/>
      <c r="B4" s="481"/>
      <c r="C4" s="481"/>
      <c r="D4" s="481"/>
      <c r="E4" s="481"/>
      <c r="F4" s="481"/>
      <c r="G4" s="481"/>
      <c r="H4" s="481"/>
      <c r="I4" s="481"/>
      <c r="J4" s="481"/>
      <c r="K4" s="481"/>
      <c r="L4" s="481"/>
      <c r="M4" s="481"/>
      <c r="N4" s="481"/>
      <c r="O4" s="481"/>
      <c r="P4" s="481"/>
      <c r="Q4" s="481"/>
      <c r="R4" s="481"/>
      <c r="S4" s="481"/>
      <c r="T4" s="481"/>
      <c r="U4" s="481"/>
      <c r="V4" s="481"/>
      <c r="W4" s="481"/>
      <c r="Z4" s="932"/>
      <c r="AA4" s="933"/>
      <c r="AB4" s="933"/>
      <c r="AC4" s="934"/>
    </row>
    <row r="5" spans="1:29" s="148" customFormat="1" ht="36.75" customHeight="1" thickBot="1">
      <c r="A5" s="946" t="s">
        <v>290</v>
      </c>
      <c r="B5" s="946" t="s">
        <v>291</v>
      </c>
      <c r="C5" s="940" t="s">
        <v>292</v>
      </c>
      <c r="D5" s="940"/>
      <c r="E5" s="940"/>
      <c r="F5" s="940" t="s">
        <v>293</v>
      </c>
      <c r="G5" s="940"/>
      <c r="H5" s="940"/>
      <c r="I5" s="940" t="s">
        <v>294</v>
      </c>
      <c r="J5" s="940"/>
      <c r="K5" s="940"/>
      <c r="L5" s="940" t="s">
        <v>295</v>
      </c>
      <c r="M5" s="940"/>
      <c r="N5" s="940"/>
      <c r="O5" s="940" t="s">
        <v>296</v>
      </c>
      <c r="P5" s="940"/>
      <c r="Q5" s="940"/>
      <c r="R5" s="940" t="s">
        <v>297</v>
      </c>
      <c r="S5" s="940"/>
      <c r="T5" s="940"/>
      <c r="U5" s="940" t="s">
        <v>298</v>
      </c>
      <c r="V5" s="940"/>
      <c r="W5" s="940"/>
      <c r="Z5" s="935"/>
      <c r="AA5" s="936"/>
      <c r="AB5" s="936"/>
      <c r="AC5" s="937"/>
    </row>
    <row r="6" spans="1:29" s="148" customFormat="1" ht="29.25" customHeight="1">
      <c r="A6" s="946"/>
      <c r="B6" s="946"/>
      <c r="C6" s="557" t="s">
        <v>299</v>
      </c>
      <c r="D6" s="557" t="s">
        <v>300</v>
      </c>
      <c r="E6" s="557" t="s">
        <v>301</v>
      </c>
      <c r="F6" s="557" t="s">
        <v>299</v>
      </c>
      <c r="G6" s="557" t="s">
        <v>300</v>
      </c>
      <c r="H6" s="557" t="s">
        <v>301</v>
      </c>
      <c r="I6" s="557" t="s">
        <v>299</v>
      </c>
      <c r="J6" s="557" t="s">
        <v>300</v>
      </c>
      <c r="K6" s="557" t="s">
        <v>301</v>
      </c>
      <c r="L6" s="557" t="s">
        <v>299</v>
      </c>
      <c r="M6" s="557" t="s">
        <v>300</v>
      </c>
      <c r="N6" s="557" t="s">
        <v>301</v>
      </c>
      <c r="O6" s="557" t="s">
        <v>299</v>
      </c>
      <c r="P6" s="557" t="s">
        <v>300</v>
      </c>
      <c r="Q6" s="557" t="s">
        <v>301</v>
      </c>
      <c r="R6" s="557" t="s">
        <v>299</v>
      </c>
      <c r="S6" s="557" t="s">
        <v>300</v>
      </c>
      <c r="T6" s="557" t="s">
        <v>301</v>
      </c>
      <c r="U6" s="557" t="s">
        <v>299</v>
      </c>
      <c r="V6" s="557" t="s">
        <v>300</v>
      </c>
      <c r="W6" s="557" t="s">
        <v>301</v>
      </c>
    </row>
    <row r="7" spans="1:29" ht="21" customHeight="1">
      <c r="A7" s="479">
        <v>1</v>
      </c>
      <c r="B7" s="479" t="s">
        <v>302</v>
      </c>
      <c r="C7" s="178">
        <v>0</v>
      </c>
      <c r="D7" s="178">
        <v>1</v>
      </c>
      <c r="E7" s="477">
        <f>SUM(C7+D7)</f>
        <v>1</v>
      </c>
      <c r="F7" s="178">
        <v>0</v>
      </c>
      <c r="G7" s="178">
        <v>0</v>
      </c>
      <c r="H7" s="477">
        <f>SUM(F7+G7)</f>
        <v>0</v>
      </c>
      <c r="I7" s="178">
        <v>2</v>
      </c>
      <c r="J7" s="178">
        <v>1</v>
      </c>
      <c r="K7" s="477">
        <f>SUM(I7+J7)</f>
        <v>3</v>
      </c>
      <c r="L7" s="178">
        <v>4</v>
      </c>
      <c r="M7" s="178">
        <v>8</v>
      </c>
      <c r="N7" s="477">
        <f>SUM(L7+M7)</f>
        <v>12</v>
      </c>
      <c r="O7" s="178">
        <v>0</v>
      </c>
      <c r="P7" s="178">
        <v>2</v>
      </c>
      <c r="Q7" s="477">
        <f>SUM(O7+P7)</f>
        <v>2</v>
      </c>
      <c r="R7" s="478">
        <f>SUM(C7,F7,I7,L7,O7)</f>
        <v>6</v>
      </c>
      <c r="S7" s="478">
        <f>SUM(D7,G7,J7,M7,P7)</f>
        <v>12</v>
      </c>
      <c r="T7" s="478">
        <f>SUM(R7+S7)</f>
        <v>18</v>
      </c>
      <c r="U7" s="178">
        <v>0</v>
      </c>
      <c r="V7" s="178">
        <v>0</v>
      </c>
      <c r="W7" s="477">
        <f>SUM(U7+V7)</f>
        <v>0</v>
      </c>
    </row>
    <row r="8" spans="1:29" ht="21" customHeight="1">
      <c r="A8" s="479">
        <v>2</v>
      </c>
      <c r="B8" s="479" t="s">
        <v>303</v>
      </c>
      <c r="C8" s="178">
        <v>0</v>
      </c>
      <c r="D8" s="178">
        <v>0</v>
      </c>
      <c r="E8" s="477">
        <f t="shared" ref="E8:E18" si="0">SUM(C8+D8)</f>
        <v>0</v>
      </c>
      <c r="F8" s="178">
        <v>0</v>
      </c>
      <c r="G8" s="178">
        <v>0</v>
      </c>
      <c r="H8" s="477">
        <f t="shared" ref="H8:H18" si="1">SUM(F8+G8)</f>
        <v>0</v>
      </c>
      <c r="I8" s="178">
        <v>2</v>
      </c>
      <c r="J8" s="178">
        <v>1</v>
      </c>
      <c r="K8" s="477">
        <f t="shared" ref="K8:K18" si="2">SUM(I8+J8)</f>
        <v>3</v>
      </c>
      <c r="L8" s="178">
        <v>5</v>
      </c>
      <c r="M8" s="178">
        <v>4</v>
      </c>
      <c r="N8" s="477">
        <f t="shared" ref="N8:N18" si="3">SUM(L8+M8)</f>
        <v>9</v>
      </c>
      <c r="O8" s="178">
        <v>0</v>
      </c>
      <c r="P8" s="178">
        <v>0</v>
      </c>
      <c r="Q8" s="477">
        <f t="shared" ref="Q8:Q18" si="4">SUM(O8+P8)</f>
        <v>0</v>
      </c>
      <c r="R8" s="478">
        <f t="shared" ref="R8:R18" si="5">SUM(C8,F8,I8,L8,O8)</f>
        <v>7</v>
      </c>
      <c r="S8" s="478">
        <f t="shared" ref="S8:S18" si="6">SUM(D8,G8,J8,M8,P8)</f>
        <v>5</v>
      </c>
      <c r="T8" s="478">
        <f t="shared" ref="T8:T18" si="7">SUM(R8+S8)</f>
        <v>12</v>
      </c>
      <c r="U8" s="178">
        <v>1</v>
      </c>
      <c r="V8" s="178">
        <v>0</v>
      </c>
      <c r="W8" s="477">
        <f t="shared" ref="W8:W18" si="8">SUM(U8+V8)</f>
        <v>1</v>
      </c>
    </row>
    <row r="9" spans="1:29" ht="21" customHeight="1">
      <c r="A9" s="479">
        <v>3</v>
      </c>
      <c r="B9" s="479" t="s">
        <v>304</v>
      </c>
      <c r="C9" s="178">
        <v>0</v>
      </c>
      <c r="D9" s="178">
        <v>0</v>
      </c>
      <c r="E9" s="477">
        <f t="shared" si="0"/>
        <v>0</v>
      </c>
      <c r="F9" s="178">
        <v>0</v>
      </c>
      <c r="G9" s="178">
        <v>0</v>
      </c>
      <c r="H9" s="477">
        <f t="shared" si="1"/>
        <v>0</v>
      </c>
      <c r="I9" s="178">
        <v>5</v>
      </c>
      <c r="J9" s="178">
        <v>0</v>
      </c>
      <c r="K9" s="477">
        <f t="shared" si="2"/>
        <v>5</v>
      </c>
      <c r="L9" s="178">
        <v>3</v>
      </c>
      <c r="M9" s="178">
        <v>6</v>
      </c>
      <c r="N9" s="477">
        <f t="shared" si="3"/>
        <v>9</v>
      </c>
      <c r="O9" s="178">
        <v>0</v>
      </c>
      <c r="P9" s="178">
        <v>0</v>
      </c>
      <c r="Q9" s="477">
        <f t="shared" si="4"/>
        <v>0</v>
      </c>
      <c r="R9" s="478">
        <f t="shared" si="5"/>
        <v>8</v>
      </c>
      <c r="S9" s="478">
        <f t="shared" si="6"/>
        <v>6</v>
      </c>
      <c r="T9" s="478">
        <f t="shared" si="7"/>
        <v>14</v>
      </c>
      <c r="U9" s="178">
        <v>1</v>
      </c>
      <c r="V9" s="178">
        <v>0</v>
      </c>
      <c r="W9" s="477">
        <f t="shared" si="8"/>
        <v>1</v>
      </c>
    </row>
    <row r="10" spans="1:29" ht="21" customHeight="1">
      <c r="A10" s="479">
        <v>4</v>
      </c>
      <c r="B10" s="479" t="s">
        <v>305</v>
      </c>
      <c r="C10" s="178">
        <v>1</v>
      </c>
      <c r="D10" s="178">
        <v>0</v>
      </c>
      <c r="E10" s="477">
        <f t="shared" si="0"/>
        <v>1</v>
      </c>
      <c r="F10" s="178">
        <v>0</v>
      </c>
      <c r="G10" s="178">
        <v>0</v>
      </c>
      <c r="H10" s="477">
        <f t="shared" si="1"/>
        <v>0</v>
      </c>
      <c r="I10" s="178">
        <v>1</v>
      </c>
      <c r="J10" s="178">
        <v>1</v>
      </c>
      <c r="K10" s="477">
        <f t="shared" si="2"/>
        <v>2</v>
      </c>
      <c r="L10" s="178">
        <v>2</v>
      </c>
      <c r="M10" s="178">
        <v>8</v>
      </c>
      <c r="N10" s="477">
        <f t="shared" si="3"/>
        <v>10</v>
      </c>
      <c r="O10" s="178">
        <v>0</v>
      </c>
      <c r="P10" s="178">
        <v>0</v>
      </c>
      <c r="Q10" s="477">
        <f t="shared" si="4"/>
        <v>0</v>
      </c>
      <c r="R10" s="478">
        <f t="shared" si="5"/>
        <v>4</v>
      </c>
      <c r="S10" s="478">
        <f t="shared" si="6"/>
        <v>9</v>
      </c>
      <c r="T10" s="478">
        <f t="shared" si="7"/>
        <v>13</v>
      </c>
      <c r="U10" s="178">
        <v>0</v>
      </c>
      <c r="V10" s="178">
        <v>2</v>
      </c>
      <c r="W10" s="477">
        <f t="shared" si="8"/>
        <v>2</v>
      </c>
    </row>
    <row r="11" spans="1:29" ht="21" customHeight="1">
      <c r="A11" s="479">
        <v>5</v>
      </c>
      <c r="B11" s="479" t="s">
        <v>306</v>
      </c>
      <c r="C11" s="178">
        <v>0</v>
      </c>
      <c r="D11" s="178">
        <v>1</v>
      </c>
      <c r="E11" s="477">
        <f t="shared" si="0"/>
        <v>1</v>
      </c>
      <c r="F11" s="178">
        <v>0</v>
      </c>
      <c r="G11" s="178">
        <v>0</v>
      </c>
      <c r="H11" s="477">
        <f t="shared" si="1"/>
        <v>0</v>
      </c>
      <c r="I11" s="178">
        <v>3</v>
      </c>
      <c r="J11" s="178">
        <v>1</v>
      </c>
      <c r="K11" s="477">
        <f t="shared" si="2"/>
        <v>4</v>
      </c>
      <c r="L11" s="178">
        <v>12</v>
      </c>
      <c r="M11" s="178">
        <v>7</v>
      </c>
      <c r="N11" s="477">
        <f t="shared" si="3"/>
        <v>19</v>
      </c>
      <c r="O11" s="178">
        <v>0</v>
      </c>
      <c r="P11" s="178">
        <v>0</v>
      </c>
      <c r="Q11" s="477">
        <f t="shared" si="4"/>
        <v>0</v>
      </c>
      <c r="R11" s="478">
        <f t="shared" si="5"/>
        <v>15</v>
      </c>
      <c r="S11" s="478">
        <f t="shared" si="6"/>
        <v>9</v>
      </c>
      <c r="T11" s="478">
        <f t="shared" si="7"/>
        <v>24</v>
      </c>
      <c r="U11" s="178">
        <v>0</v>
      </c>
      <c r="V11" s="178">
        <v>1</v>
      </c>
      <c r="W11" s="477">
        <f t="shared" si="8"/>
        <v>1</v>
      </c>
    </row>
    <row r="12" spans="1:29" ht="21" customHeight="1">
      <c r="A12" s="479">
        <v>6</v>
      </c>
      <c r="B12" s="479" t="s">
        <v>307</v>
      </c>
      <c r="C12" s="178">
        <v>0</v>
      </c>
      <c r="D12" s="178">
        <v>0</v>
      </c>
      <c r="E12" s="477">
        <f t="shared" si="0"/>
        <v>0</v>
      </c>
      <c r="F12" s="178">
        <v>0</v>
      </c>
      <c r="G12" s="178">
        <v>0</v>
      </c>
      <c r="H12" s="477">
        <f t="shared" si="1"/>
        <v>0</v>
      </c>
      <c r="I12" s="178">
        <v>3</v>
      </c>
      <c r="J12" s="178">
        <v>2</v>
      </c>
      <c r="K12" s="477">
        <f t="shared" si="2"/>
        <v>5</v>
      </c>
      <c r="L12" s="178">
        <v>17</v>
      </c>
      <c r="M12" s="178">
        <v>5</v>
      </c>
      <c r="N12" s="477">
        <f t="shared" si="3"/>
        <v>22</v>
      </c>
      <c r="O12" s="178">
        <v>0</v>
      </c>
      <c r="P12" s="178">
        <v>0</v>
      </c>
      <c r="Q12" s="477">
        <f t="shared" si="4"/>
        <v>0</v>
      </c>
      <c r="R12" s="478">
        <f t="shared" si="5"/>
        <v>20</v>
      </c>
      <c r="S12" s="478">
        <f t="shared" si="6"/>
        <v>7</v>
      </c>
      <c r="T12" s="478">
        <f t="shared" si="7"/>
        <v>27</v>
      </c>
      <c r="U12" s="178">
        <v>2</v>
      </c>
      <c r="V12" s="178">
        <v>0</v>
      </c>
      <c r="W12" s="477">
        <f t="shared" si="8"/>
        <v>2</v>
      </c>
    </row>
    <row r="13" spans="1:29" ht="21" customHeight="1">
      <c r="A13" s="479">
        <v>7</v>
      </c>
      <c r="B13" s="479" t="s">
        <v>308</v>
      </c>
      <c r="C13" s="178">
        <v>0</v>
      </c>
      <c r="D13" s="178">
        <v>0</v>
      </c>
      <c r="E13" s="477">
        <f t="shared" si="0"/>
        <v>0</v>
      </c>
      <c r="F13" s="178">
        <v>0</v>
      </c>
      <c r="G13" s="178">
        <v>0</v>
      </c>
      <c r="H13" s="477">
        <f t="shared" si="1"/>
        <v>0</v>
      </c>
      <c r="I13" s="178">
        <v>3</v>
      </c>
      <c r="J13" s="178">
        <v>0</v>
      </c>
      <c r="K13" s="477">
        <f t="shared" si="2"/>
        <v>3</v>
      </c>
      <c r="L13" s="178">
        <v>15</v>
      </c>
      <c r="M13" s="178">
        <v>14</v>
      </c>
      <c r="N13" s="477">
        <f t="shared" si="3"/>
        <v>29</v>
      </c>
      <c r="O13" s="178">
        <v>0</v>
      </c>
      <c r="P13" s="178">
        <v>0</v>
      </c>
      <c r="Q13" s="477">
        <f t="shared" si="4"/>
        <v>0</v>
      </c>
      <c r="R13" s="478">
        <f t="shared" si="5"/>
        <v>18</v>
      </c>
      <c r="S13" s="478">
        <f t="shared" si="6"/>
        <v>14</v>
      </c>
      <c r="T13" s="478">
        <f t="shared" si="7"/>
        <v>32</v>
      </c>
      <c r="U13" s="178">
        <v>4</v>
      </c>
      <c r="V13" s="178">
        <v>10</v>
      </c>
      <c r="W13" s="477">
        <f t="shared" si="8"/>
        <v>14</v>
      </c>
    </row>
    <row r="14" spans="1:29" ht="21" customHeight="1">
      <c r="A14" s="479">
        <v>8</v>
      </c>
      <c r="B14" s="479" t="s">
        <v>309</v>
      </c>
      <c r="C14" s="178">
        <v>0</v>
      </c>
      <c r="D14" s="178">
        <v>0</v>
      </c>
      <c r="E14" s="477">
        <f t="shared" si="0"/>
        <v>0</v>
      </c>
      <c r="F14" s="178">
        <v>0</v>
      </c>
      <c r="G14" s="178">
        <v>0</v>
      </c>
      <c r="H14" s="477">
        <f t="shared" si="1"/>
        <v>0</v>
      </c>
      <c r="I14" s="178">
        <v>2</v>
      </c>
      <c r="J14" s="178">
        <v>3</v>
      </c>
      <c r="K14" s="477">
        <f t="shared" si="2"/>
        <v>5</v>
      </c>
      <c r="L14" s="178">
        <v>18</v>
      </c>
      <c r="M14" s="178">
        <v>19</v>
      </c>
      <c r="N14" s="477">
        <f t="shared" si="3"/>
        <v>37</v>
      </c>
      <c r="O14" s="178">
        <v>0</v>
      </c>
      <c r="P14" s="178">
        <v>1</v>
      </c>
      <c r="Q14" s="477">
        <f t="shared" si="4"/>
        <v>1</v>
      </c>
      <c r="R14" s="478">
        <f t="shared" si="5"/>
        <v>20</v>
      </c>
      <c r="S14" s="478">
        <f t="shared" si="6"/>
        <v>23</v>
      </c>
      <c r="T14" s="478">
        <f t="shared" si="7"/>
        <v>43</v>
      </c>
      <c r="U14" s="178">
        <v>0</v>
      </c>
      <c r="V14" s="178">
        <v>0</v>
      </c>
      <c r="W14" s="477">
        <f t="shared" si="8"/>
        <v>0</v>
      </c>
    </row>
    <row r="15" spans="1:29" ht="21" customHeight="1">
      <c r="A15" s="479">
        <v>9</v>
      </c>
      <c r="B15" s="479" t="s">
        <v>310</v>
      </c>
      <c r="C15" s="178">
        <v>0</v>
      </c>
      <c r="D15" s="178">
        <v>0</v>
      </c>
      <c r="E15" s="477">
        <f t="shared" si="0"/>
        <v>0</v>
      </c>
      <c r="F15" s="178">
        <v>0</v>
      </c>
      <c r="G15" s="178">
        <v>0</v>
      </c>
      <c r="H15" s="477">
        <f t="shared" si="1"/>
        <v>0</v>
      </c>
      <c r="I15" s="178">
        <v>4</v>
      </c>
      <c r="J15" s="178">
        <v>2</v>
      </c>
      <c r="K15" s="477">
        <f t="shared" si="2"/>
        <v>6</v>
      </c>
      <c r="L15" s="178">
        <v>93</v>
      </c>
      <c r="M15" s="178">
        <v>74</v>
      </c>
      <c r="N15" s="477">
        <f t="shared" si="3"/>
        <v>167</v>
      </c>
      <c r="O15" s="178">
        <v>0</v>
      </c>
      <c r="P15" s="178">
        <v>3</v>
      </c>
      <c r="Q15" s="477">
        <f t="shared" si="4"/>
        <v>3</v>
      </c>
      <c r="R15" s="478">
        <f t="shared" si="5"/>
        <v>97</v>
      </c>
      <c r="S15" s="478">
        <f t="shared" si="6"/>
        <v>79</v>
      </c>
      <c r="T15" s="478">
        <f t="shared" si="7"/>
        <v>176</v>
      </c>
      <c r="U15" s="178">
        <v>8</v>
      </c>
      <c r="V15" s="178">
        <v>8</v>
      </c>
      <c r="W15" s="477">
        <f t="shared" si="8"/>
        <v>16</v>
      </c>
    </row>
    <row r="16" spans="1:29" ht="21" customHeight="1">
      <c r="A16" s="479">
        <v>10</v>
      </c>
      <c r="B16" s="479" t="s">
        <v>311</v>
      </c>
      <c r="C16" s="178">
        <v>0</v>
      </c>
      <c r="D16" s="178">
        <v>0</v>
      </c>
      <c r="E16" s="477">
        <f t="shared" si="0"/>
        <v>0</v>
      </c>
      <c r="F16" s="178">
        <v>0</v>
      </c>
      <c r="G16" s="178">
        <v>0</v>
      </c>
      <c r="H16" s="477">
        <f t="shared" si="1"/>
        <v>0</v>
      </c>
      <c r="I16" s="178">
        <v>6</v>
      </c>
      <c r="J16" s="178">
        <v>1</v>
      </c>
      <c r="K16" s="477">
        <f t="shared" si="2"/>
        <v>7</v>
      </c>
      <c r="L16" s="178">
        <v>65</v>
      </c>
      <c r="M16" s="178">
        <v>42</v>
      </c>
      <c r="N16" s="477">
        <f t="shared" si="3"/>
        <v>107</v>
      </c>
      <c r="O16" s="178">
        <v>2</v>
      </c>
      <c r="P16" s="178">
        <v>0</v>
      </c>
      <c r="Q16" s="477">
        <f t="shared" si="4"/>
        <v>2</v>
      </c>
      <c r="R16" s="478">
        <f t="shared" si="5"/>
        <v>73</v>
      </c>
      <c r="S16" s="478">
        <f t="shared" si="6"/>
        <v>43</v>
      </c>
      <c r="T16" s="478">
        <f t="shared" si="7"/>
        <v>116</v>
      </c>
      <c r="U16" s="178">
        <v>10</v>
      </c>
      <c r="V16" s="178">
        <v>12</v>
      </c>
      <c r="W16" s="477">
        <f t="shared" si="8"/>
        <v>22</v>
      </c>
    </row>
    <row r="17" spans="1:23" ht="21" customHeight="1">
      <c r="A17" s="479">
        <v>11</v>
      </c>
      <c r="B17" s="479" t="s">
        <v>312</v>
      </c>
      <c r="C17" s="178">
        <v>0</v>
      </c>
      <c r="D17" s="178">
        <v>0</v>
      </c>
      <c r="E17" s="477">
        <f t="shared" si="0"/>
        <v>0</v>
      </c>
      <c r="F17" s="178">
        <v>0</v>
      </c>
      <c r="G17" s="178">
        <v>0</v>
      </c>
      <c r="H17" s="477">
        <f t="shared" si="1"/>
        <v>0</v>
      </c>
      <c r="I17" s="178">
        <v>2</v>
      </c>
      <c r="J17" s="178">
        <v>3</v>
      </c>
      <c r="K17" s="477">
        <f t="shared" si="2"/>
        <v>5</v>
      </c>
      <c r="L17" s="178">
        <v>32</v>
      </c>
      <c r="M17" s="178">
        <v>36</v>
      </c>
      <c r="N17" s="477">
        <f t="shared" si="3"/>
        <v>68</v>
      </c>
      <c r="O17" s="178">
        <v>1</v>
      </c>
      <c r="P17" s="178">
        <v>1</v>
      </c>
      <c r="Q17" s="477">
        <f t="shared" si="4"/>
        <v>2</v>
      </c>
      <c r="R17" s="478">
        <f t="shared" si="5"/>
        <v>35</v>
      </c>
      <c r="S17" s="478">
        <f t="shared" si="6"/>
        <v>40</v>
      </c>
      <c r="T17" s="478">
        <f t="shared" si="7"/>
        <v>75</v>
      </c>
      <c r="U17" s="178">
        <v>6</v>
      </c>
      <c r="V17" s="178">
        <v>6</v>
      </c>
      <c r="W17" s="477">
        <f t="shared" si="8"/>
        <v>12</v>
      </c>
    </row>
    <row r="18" spans="1:23" ht="21" customHeight="1">
      <c r="A18" s="479">
        <v>12</v>
      </c>
      <c r="B18" s="479" t="s">
        <v>313</v>
      </c>
      <c r="C18" s="178">
        <v>0</v>
      </c>
      <c r="D18" s="178">
        <v>0</v>
      </c>
      <c r="E18" s="477">
        <f t="shared" si="0"/>
        <v>0</v>
      </c>
      <c r="F18" s="178">
        <v>0</v>
      </c>
      <c r="G18" s="178">
        <v>1</v>
      </c>
      <c r="H18" s="477">
        <f t="shared" si="1"/>
        <v>1</v>
      </c>
      <c r="I18" s="178">
        <v>0</v>
      </c>
      <c r="J18" s="178">
        <v>1</v>
      </c>
      <c r="K18" s="477">
        <f t="shared" si="2"/>
        <v>1</v>
      </c>
      <c r="L18" s="178">
        <v>16</v>
      </c>
      <c r="M18" s="178">
        <v>19</v>
      </c>
      <c r="N18" s="477">
        <f t="shared" si="3"/>
        <v>35</v>
      </c>
      <c r="O18" s="178">
        <v>0</v>
      </c>
      <c r="P18" s="178">
        <v>0</v>
      </c>
      <c r="Q18" s="477">
        <f t="shared" si="4"/>
        <v>0</v>
      </c>
      <c r="R18" s="478">
        <f t="shared" si="5"/>
        <v>16</v>
      </c>
      <c r="S18" s="478">
        <f t="shared" si="6"/>
        <v>21</v>
      </c>
      <c r="T18" s="478">
        <f t="shared" si="7"/>
        <v>37</v>
      </c>
      <c r="U18" s="178">
        <v>1</v>
      </c>
      <c r="V18" s="178">
        <v>0</v>
      </c>
      <c r="W18" s="477">
        <f t="shared" si="8"/>
        <v>1</v>
      </c>
    </row>
    <row r="19" spans="1:23" s="149" customFormat="1" ht="21.75" customHeight="1">
      <c r="A19" s="942" t="s">
        <v>70</v>
      </c>
      <c r="B19" s="943"/>
      <c r="C19" s="478">
        <f>SUM(C7:C18)</f>
        <v>1</v>
      </c>
      <c r="D19" s="478">
        <f t="shared" ref="D19:W19" si="9">SUM(D7:D18)</f>
        <v>2</v>
      </c>
      <c r="E19" s="478">
        <f t="shared" si="9"/>
        <v>3</v>
      </c>
      <c r="F19" s="478">
        <f t="shared" si="9"/>
        <v>0</v>
      </c>
      <c r="G19" s="478">
        <f t="shared" si="9"/>
        <v>1</v>
      </c>
      <c r="H19" s="478">
        <f t="shared" si="9"/>
        <v>1</v>
      </c>
      <c r="I19" s="478">
        <f t="shared" si="9"/>
        <v>33</v>
      </c>
      <c r="J19" s="478">
        <f t="shared" si="9"/>
        <v>16</v>
      </c>
      <c r="K19" s="478">
        <f t="shared" si="9"/>
        <v>49</v>
      </c>
      <c r="L19" s="478">
        <f t="shared" si="9"/>
        <v>282</v>
      </c>
      <c r="M19" s="478">
        <f t="shared" si="9"/>
        <v>242</v>
      </c>
      <c r="N19" s="478">
        <f t="shared" si="9"/>
        <v>524</v>
      </c>
      <c r="O19" s="478">
        <f t="shared" si="9"/>
        <v>3</v>
      </c>
      <c r="P19" s="478">
        <f t="shared" si="9"/>
        <v>7</v>
      </c>
      <c r="Q19" s="478">
        <f t="shared" si="9"/>
        <v>10</v>
      </c>
      <c r="R19" s="478">
        <f t="shared" si="9"/>
        <v>319</v>
      </c>
      <c r="S19" s="478">
        <f t="shared" si="9"/>
        <v>268</v>
      </c>
      <c r="T19" s="478">
        <f t="shared" si="9"/>
        <v>587</v>
      </c>
      <c r="U19" s="478">
        <f t="shared" si="9"/>
        <v>33</v>
      </c>
      <c r="V19" s="478">
        <f t="shared" si="9"/>
        <v>39</v>
      </c>
      <c r="W19" s="478">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19" t="s">
        <v>561</v>
      </c>
      <c r="B21" s="519"/>
      <c r="C21" s="519"/>
      <c r="D21" s="519"/>
      <c r="E21" s="519"/>
      <c r="F21" s="519"/>
      <c r="G21" s="520"/>
      <c r="H21" s="520"/>
      <c r="I21" s="520"/>
      <c r="J21" s="520"/>
      <c r="K21" s="520"/>
      <c r="L21" s="520"/>
      <c r="M21" s="520"/>
      <c r="N21" s="520"/>
      <c r="O21" s="520"/>
      <c r="P21" s="521"/>
      <c r="Q21" s="150"/>
      <c r="R21" s="150"/>
      <c r="S21" s="150"/>
      <c r="T21" s="150"/>
      <c r="U21" s="150"/>
      <c r="V21" s="150"/>
      <c r="W21" s="150"/>
    </row>
    <row r="22" spans="1:23" s="326" customFormat="1" ht="15.75">
      <c r="A22" s="519"/>
      <c r="B22" s="519"/>
      <c r="C22" s="519"/>
      <c r="D22" s="519"/>
      <c r="E22" s="519"/>
      <c r="F22" s="519"/>
      <c r="G22" s="520"/>
      <c r="H22" s="520"/>
      <c r="I22" s="520"/>
      <c r="J22" s="520"/>
      <c r="K22" s="520"/>
      <c r="L22" s="520"/>
      <c r="M22" s="520"/>
      <c r="N22" s="520"/>
      <c r="O22" s="520"/>
      <c r="P22" s="521"/>
      <c r="Q22" s="150"/>
      <c r="R22" s="910" t="str">
        <f>CONCATENATE("¼ ",Master!G3,"½")</f>
        <v>¼ m"kk ikfy;k½</v>
      </c>
      <c r="S22" s="910"/>
      <c r="T22" s="910"/>
      <c r="U22" s="910"/>
      <c r="V22" s="910"/>
      <c r="W22" s="150"/>
    </row>
    <row r="23" spans="1:23" customFormat="1" ht="16.5">
      <c r="A23" s="150"/>
      <c r="B23" s="150"/>
      <c r="C23" s="150"/>
      <c r="D23" s="150"/>
      <c r="E23" s="150"/>
      <c r="F23" s="150"/>
      <c r="G23" s="150"/>
      <c r="H23" s="150"/>
      <c r="I23" s="150"/>
      <c r="J23" s="150"/>
      <c r="K23" s="150"/>
      <c r="L23" s="150"/>
      <c r="M23" s="150"/>
      <c r="N23" s="150"/>
      <c r="O23" s="150"/>
      <c r="P23" s="150"/>
      <c r="Q23" s="150"/>
      <c r="R23" s="941" t="str">
        <f>Master!C2</f>
        <v>iz/kkukpk;Z</v>
      </c>
      <c r="S23" s="941"/>
      <c r="T23" s="941"/>
      <c r="U23" s="941"/>
      <c r="V23" s="941"/>
      <c r="W23" s="150"/>
    </row>
    <row r="24" spans="1:23" customFormat="1" ht="15" customHeight="1">
      <c r="A24" s="150"/>
      <c r="B24" s="150"/>
      <c r="C24" s="150"/>
      <c r="D24" s="150"/>
      <c r="E24" s="150"/>
      <c r="F24" s="150"/>
      <c r="G24" s="150"/>
      <c r="H24" s="150"/>
      <c r="I24" s="150"/>
      <c r="J24" s="150"/>
      <c r="K24" s="150"/>
      <c r="L24" s="150"/>
      <c r="M24" s="150"/>
      <c r="N24" s="150"/>
      <c r="O24" s="150"/>
      <c r="P24" s="150"/>
      <c r="Q24" s="150"/>
      <c r="R24" s="938" t="str">
        <f>Master!D2</f>
        <v>egkRek xka/kh jktdh; fo|ky; ¼vaxzsth ek/;e½ cj ] C;koj</v>
      </c>
      <c r="S24" s="938"/>
      <c r="T24" s="938"/>
      <c r="U24" s="938"/>
      <c r="V24" s="938"/>
      <c r="W24" s="150"/>
    </row>
    <row r="25" spans="1:23" customFormat="1" ht="15" customHeight="1">
      <c r="A25" s="150"/>
      <c r="B25" s="150"/>
      <c r="C25" s="150"/>
      <c r="D25" s="150"/>
      <c r="E25" s="150"/>
      <c r="F25" s="150"/>
      <c r="G25" s="150"/>
      <c r="H25" s="150"/>
      <c r="I25" s="150"/>
      <c r="J25" s="150"/>
      <c r="K25" s="150"/>
      <c r="L25" s="150"/>
      <c r="M25" s="150"/>
      <c r="N25" s="150"/>
      <c r="O25" s="150"/>
      <c r="P25" s="150"/>
      <c r="Q25" s="150"/>
      <c r="R25" s="938"/>
      <c r="S25" s="938"/>
      <c r="T25" s="938"/>
      <c r="U25" s="938"/>
      <c r="V25" s="938"/>
      <c r="W25" s="150"/>
    </row>
    <row r="26" spans="1:23" customFormat="1" ht="15" customHeight="1">
      <c r="A26" s="150"/>
      <c r="B26" s="150"/>
      <c r="C26" s="150"/>
      <c r="D26" s="150"/>
      <c r="E26" s="150"/>
      <c r="F26" s="150"/>
      <c r="G26" s="150"/>
      <c r="H26" s="150"/>
      <c r="I26" s="150"/>
      <c r="J26" s="150"/>
      <c r="K26" s="150"/>
      <c r="L26" s="150"/>
      <c r="M26" s="150"/>
      <c r="N26" s="150"/>
      <c r="O26" s="150"/>
      <c r="P26" s="150"/>
      <c r="Q26" s="150"/>
      <c r="R26" s="938"/>
      <c r="S26" s="938"/>
      <c r="T26" s="938"/>
      <c r="U26" s="938"/>
      <c r="V26" s="938"/>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A19:B19"/>
    <mergeCell ref="S1:W1"/>
    <mergeCell ref="A2:W2"/>
    <mergeCell ref="A5:A6"/>
    <mergeCell ref="B5:B6"/>
    <mergeCell ref="C5:E5"/>
    <mergeCell ref="F5:H5"/>
    <mergeCell ref="I5:K5"/>
    <mergeCell ref="L5:N5"/>
    <mergeCell ref="O5:Q5"/>
    <mergeCell ref="R5:T5"/>
    <mergeCell ref="R22:V22"/>
    <mergeCell ref="Z3:AC5"/>
    <mergeCell ref="R24:V26"/>
    <mergeCell ref="J3:N3"/>
    <mergeCell ref="U5:W5"/>
    <mergeCell ref="R23:V23"/>
  </mergeCells>
  <pageMargins left="0.45" right="0.38" top="0.5" bottom="0.5" header="0.3" footer="0.3"/>
  <pageSetup paperSize="9" scale="91" orientation="landscape" blackAndWhite="1" horizontalDpi="300" verticalDpi="300" r:id="rId1"/>
</worksheet>
</file>

<file path=xl/worksheets/sheet11.xml><?xml version="1.0" encoding="utf-8"?>
<worksheet xmlns="http://schemas.openxmlformats.org/spreadsheetml/2006/main" xmlns:r="http://schemas.openxmlformats.org/officeDocument/2006/relationships">
  <sheetPr codeName="Sheet10">
    <tabColor rgb="FFFFFF00"/>
  </sheetPr>
  <dimension ref="A1:U40"/>
  <sheetViews>
    <sheetView showGridLines="0" view="pageBreakPreview" topLeftCell="B7" zoomScale="110" zoomScaleSheetLayoutView="110" workbookViewId="0">
      <selection activeCell="P14" sqref="P14"/>
    </sheetView>
  </sheetViews>
  <sheetFormatPr defaultRowHeight="15"/>
  <cols>
    <col min="1" max="1" width="3" hidden="1" customWidth="1"/>
    <col min="2" max="2" width="6.25" style="326"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10.875" customWidth="1"/>
    <col min="12" max="12" width="10.25" customWidth="1"/>
    <col min="13" max="13" width="9.625" customWidth="1"/>
    <col min="14" max="14" width="9.875" customWidth="1"/>
    <col min="17" max="21" width="9.125" hidden="1" customWidth="1"/>
  </cols>
  <sheetData>
    <row r="1" spans="1:20" ht="15.75">
      <c r="A1" s="198"/>
      <c r="B1" s="198"/>
      <c r="C1" s="198"/>
      <c r="D1" s="198"/>
      <c r="E1" s="198"/>
      <c r="F1" s="198"/>
      <c r="G1" s="198"/>
      <c r="H1" s="198"/>
      <c r="I1" s="198"/>
      <c r="J1" s="198"/>
      <c r="K1" s="198"/>
      <c r="L1" s="198"/>
      <c r="M1" s="949"/>
      <c r="N1" s="949"/>
    </row>
    <row r="2" spans="1:20" s="204" customFormat="1" ht="16.5" customHeight="1">
      <c r="A2" s="871" t="str">
        <f>Summary!$A$2</f>
        <v>iz/kkukpk;Z egkRek xka/kh jktdh; fo|ky; ¼vaxzsth ek/;e½ cj ] C;koj</v>
      </c>
      <c r="B2" s="871"/>
      <c r="C2" s="871"/>
      <c r="D2" s="871"/>
      <c r="E2" s="871"/>
      <c r="F2" s="871"/>
      <c r="G2" s="871"/>
      <c r="H2" s="871"/>
      <c r="I2" s="871"/>
      <c r="J2" s="871"/>
      <c r="K2" s="871"/>
      <c r="L2" s="871"/>
      <c r="M2" s="871"/>
      <c r="N2" s="871"/>
    </row>
    <row r="3" spans="1:20" ht="13.5" customHeight="1">
      <c r="A3" s="950" t="s">
        <v>327</v>
      </c>
      <c r="B3" s="950"/>
      <c r="C3" s="950"/>
      <c r="D3" s="950"/>
      <c r="E3" s="950"/>
      <c r="F3" s="950"/>
      <c r="G3" s="950"/>
      <c r="H3" s="950"/>
      <c r="I3" s="950"/>
      <c r="J3" s="950"/>
      <c r="K3" s="950"/>
      <c r="L3" s="950"/>
      <c r="M3" s="950"/>
      <c r="N3" s="950"/>
    </row>
    <row r="4" spans="1:20" ht="17.25" customHeight="1">
      <c r="A4" s="951" t="s">
        <v>328</v>
      </c>
      <c r="B4" s="951"/>
      <c r="C4" s="951"/>
      <c r="D4" s="951"/>
      <c r="E4" s="951"/>
      <c r="F4" s="951"/>
      <c r="G4" s="951"/>
      <c r="H4" s="951"/>
      <c r="I4" s="951"/>
      <c r="J4" s="951"/>
      <c r="K4" s="951"/>
      <c r="L4" s="951"/>
      <c r="M4" s="951"/>
      <c r="N4" s="951"/>
    </row>
    <row r="5" spans="1:20">
      <c r="A5" s="947" t="str">
        <f>'Formet 8'!A7</f>
        <v>BUDGET HEAD : 2202-GENERAL EDUCATION, 02-SECONDARY EDUCATION, 109-GOVT. SEC. SCHOOL, (02)-GIRLS SCHOOL (STATE FUND)</v>
      </c>
      <c r="B5" s="947"/>
      <c r="C5" s="947"/>
      <c r="D5" s="947"/>
      <c r="E5" s="947"/>
      <c r="F5" s="947"/>
      <c r="G5" s="947"/>
      <c r="H5" s="947"/>
      <c r="I5" s="947"/>
      <c r="J5" s="947"/>
      <c r="K5" s="947"/>
      <c r="L5" s="948" t="s">
        <v>284</v>
      </c>
      <c r="M5" s="948"/>
      <c r="N5" s="948"/>
    </row>
    <row r="6" spans="1:20" ht="34.5" customHeight="1">
      <c r="A6" s="952" t="s">
        <v>325</v>
      </c>
      <c r="B6" s="952" t="s">
        <v>325</v>
      </c>
      <c r="C6" s="952" t="s">
        <v>329</v>
      </c>
      <c r="D6" s="952" t="s">
        <v>330</v>
      </c>
      <c r="E6" s="952" t="s">
        <v>331</v>
      </c>
      <c r="F6" s="952" t="s">
        <v>332</v>
      </c>
      <c r="G6" s="953" t="s">
        <v>778</v>
      </c>
      <c r="H6" s="953" t="s">
        <v>780</v>
      </c>
      <c r="I6" s="953" t="s">
        <v>781</v>
      </c>
      <c r="J6" s="953" t="s">
        <v>333</v>
      </c>
      <c r="K6" s="952" t="s">
        <v>334</v>
      </c>
      <c r="L6" s="952"/>
      <c r="M6" s="952" t="s">
        <v>782</v>
      </c>
      <c r="N6" s="952" t="s">
        <v>335</v>
      </c>
    </row>
    <row r="7" spans="1:20" ht="48" customHeight="1">
      <c r="A7" s="952"/>
      <c r="B7" s="952"/>
      <c r="C7" s="952"/>
      <c r="D7" s="952"/>
      <c r="E7" s="952"/>
      <c r="F7" s="952"/>
      <c r="G7" s="953"/>
      <c r="H7" s="953"/>
      <c r="I7" s="953"/>
      <c r="J7" s="953"/>
      <c r="K7" s="710" t="s">
        <v>336</v>
      </c>
      <c r="L7" s="710" t="s">
        <v>337</v>
      </c>
      <c r="M7" s="952"/>
      <c r="N7" s="952"/>
    </row>
    <row r="8" spans="1:20" ht="9.75" customHeight="1">
      <c r="A8" s="205">
        <v>1</v>
      </c>
      <c r="B8" s="205">
        <v>1</v>
      </c>
      <c r="C8" s="205">
        <v>1</v>
      </c>
      <c r="D8" s="205">
        <v>2</v>
      </c>
      <c r="E8" s="205">
        <v>3</v>
      </c>
      <c r="F8" s="205">
        <v>4</v>
      </c>
      <c r="G8" s="205">
        <v>5</v>
      </c>
      <c r="H8" s="205">
        <v>6</v>
      </c>
      <c r="I8" s="205">
        <v>7</v>
      </c>
      <c r="J8" s="205">
        <v>8</v>
      </c>
      <c r="K8" s="711">
        <v>9</v>
      </c>
      <c r="L8" s="711">
        <v>10</v>
      </c>
      <c r="M8" s="205">
        <v>11</v>
      </c>
      <c r="N8" s="205">
        <v>12</v>
      </c>
    </row>
    <row r="9" spans="1:20" ht="15" customHeight="1">
      <c r="A9" s="199">
        <f>IF(G9&gt;=1,1,0)</f>
        <v>1</v>
      </c>
      <c r="B9" s="488">
        <f>IF(G9&gt;0,A9,"")</f>
        <v>1</v>
      </c>
      <c r="C9" s="186" t="s">
        <v>338</v>
      </c>
      <c r="D9" s="482" t="str">
        <f>Master!$C$5</f>
        <v>PLAN - GIRLS</v>
      </c>
      <c r="E9" s="486" t="s">
        <v>53</v>
      </c>
      <c r="F9" s="493" t="s">
        <v>339</v>
      </c>
      <c r="G9" s="363">
        <f>COUNTIF(Master!C$60:C$109,'Format 1A'!E9)</f>
        <v>1</v>
      </c>
      <c r="H9" s="317" t="s">
        <v>340</v>
      </c>
      <c r="I9" s="317" t="s">
        <v>340</v>
      </c>
      <c r="J9" s="317">
        <f>SUM(G9:I9)</f>
        <v>1</v>
      </c>
      <c r="K9" s="708">
        <f>SUMIF('Formet 8'!E$12:E$106,'Format 1A'!E9,'Formet 8'!BY$12:BY$106)</f>
        <v>1</v>
      </c>
      <c r="L9" s="708">
        <f>SUMIF('Formet 8'!E$12:E$106,'Format 1A'!E9,'Formet 8'!BU$12:BU$106)</f>
        <v>0</v>
      </c>
      <c r="M9" s="483">
        <f t="shared" ref="M9:M32" si="0">J9-(K9+L9)</f>
        <v>0</v>
      </c>
      <c r="N9" s="484"/>
      <c r="Q9">
        <f>J9</f>
        <v>1</v>
      </c>
      <c r="R9">
        <f>SUMIF('Formet 8'!E$12:E$106,'Format 1A'!E9,'Formet 8'!BY$12:BY$106)</f>
        <v>1</v>
      </c>
      <c r="S9">
        <f>SUMIF('Formet 8'!E$12:E$338,'Format 1A'!E9,'Formet 8'!BU$12:BU$338)</f>
        <v>0</v>
      </c>
      <c r="T9">
        <f>Q9-(R9+S9)</f>
        <v>0</v>
      </c>
    </row>
    <row r="10" spans="1:20" s="326" customFormat="1" ht="15" customHeight="1">
      <c r="A10" s="199"/>
      <c r="B10" s="488"/>
      <c r="C10" s="211" t="s">
        <v>338</v>
      </c>
      <c r="D10" s="482" t="str">
        <f>Master!$C$5</f>
        <v>PLAN - GIRLS</v>
      </c>
      <c r="E10" s="486" t="s">
        <v>695</v>
      </c>
      <c r="F10" s="493" t="s">
        <v>739</v>
      </c>
      <c r="G10" s="363">
        <f>COUNTIF(Master!C$60:C$109,'Format 1A'!E10)</f>
        <v>1</v>
      </c>
      <c r="H10" s="317" t="s">
        <v>340</v>
      </c>
      <c r="I10" s="317" t="s">
        <v>340</v>
      </c>
      <c r="J10" s="317">
        <f>SUM(G10:I10)</f>
        <v>1</v>
      </c>
      <c r="K10" s="708">
        <f>SUMIF('Formet 8'!E$12:E$106,'Format 1A'!E10,'Formet 8'!BY$12:BY$106)</f>
        <v>1</v>
      </c>
      <c r="L10" s="708">
        <f>SUMIF('Formet 8'!E$12:E$106,'Format 1A'!E10,'Formet 8'!BU$12:BU$106)</f>
        <v>0</v>
      </c>
      <c r="M10" s="483">
        <f t="shared" si="0"/>
        <v>0</v>
      </c>
      <c r="N10" s="484"/>
    </row>
    <row r="11" spans="1:20" ht="15" customHeight="1">
      <c r="A11" s="199">
        <f>IF(G11&gt;=1,1,0)+A9</f>
        <v>1</v>
      </c>
      <c r="B11" s="488" t="str">
        <f t="shared" ref="B11:B32" si="1">IF(G11&gt;0,A11,"")</f>
        <v/>
      </c>
      <c r="C11" s="186" t="s">
        <v>338</v>
      </c>
      <c r="D11" s="482" t="str">
        <f>Master!$C$5</f>
        <v>PLAN - GIRLS</v>
      </c>
      <c r="E11" s="486" t="s">
        <v>197</v>
      </c>
      <c r="F11" s="493" t="s">
        <v>739</v>
      </c>
      <c r="G11" s="363">
        <f>COUNTIF(Master!C$60:C$109,'Format 1A'!E11)</f>
        <v>0</v>
      </c>
      <c r="H11" s="317" t="s">
        <v>340</v>
      </c>
      <c r="I11" s="317" t="s">
        <v>340</v>
      </c>
      <c r="J11" s="317">
        <f t="shared" ref="J11:J32" si="2">SUM(G11:I11)</f>
        <v>0</v>
      </c>
      <c r="K11" s="708">
        <f>SUMIF('Formet 8'!E$12:E$106,'Format 1A'!E11,'Formet 8'!BY$12:BY$106)</f>
        <v>0</v>
      </c>
      <c r="L11" s="708">
        <f>SUMIF('Formet 8'!E$12:E$106,'Format 1A'!E11,'Formet 8'!BU$12:BU$106)</f>
        <v>0</v>
      </c>
      <c r="M11" s="483">
        <f t="shared" si="0"/>
        <v>0</v>
      </c>
      <c r="N11" s="484"/>
      <c r="Q11">
        <f t="shared" ref="Q11:Q32" si="3">J11</f>
        <v>0</v>
      </c>
      <c r="R11">
        <f>SUMIF('Formet 8'!E$12:E$106,'Format 1A'!E11,'Formet 8'!BY$12:BY$106)</f>
        <v>0</v>
      </c>
      <c r="S11">
        <f>SUMIF('Formet 8'!E$12:E$338,'Format 1A'!E11,'Formet 8'!BU$12:BU$338)</f>
        <v>0</v>
      </c>
      <c r="T11">
        <f t="shared" ref="T11:T32" si="4">Q11-(R11+S11)</f>
        <v>0</v>
      </c>
    </row>
    <row r="12" spans="1:20" ht="15" customHeight="1">
      <c r="A12" s="199">
        <f t="shared" ref="A12:A32" si="5">IF(G12&gt;=1,1,0)+A11</f>
        <v>1</v>
      </c>
      <c r="B12" s="488" t="str">
        <f t="shared" si="1"/>
        <v/>
      </c>
      <c r="C12" s="186" t="s">
        <v>338</v>
      </c>
      <c r="D12" s="482" t="str">
        <f>Master!$C$5</f>
        <v>PLAN - GIRLS</v>
      </c>
      <c r="E12" s="486" t="s">
        <v>199</v>
      </c>
      <c r="F12" s="493" t="s">
        <v>341</v>
      </c>
      <c r="G12" s="363">
        <f>COUNTIF(Master!C$60:C$109,'Format 1A'!E12)</f>
        <v>0</v>
      </c>
      <c r="H12" s="317" t="s">
        <v>340</v>
      </c>
      <c r="I12" s="317" t="s">
        <v>340</v>
      </c>
      <c r="J12" s="317">
        <f t="shared" si="2"/>
        <v>0</v>
      </c>
      <c r="K12" s="708">
        <f>SUMIF('Formet 8'!E$12:E$106,'Format 1A'!E12,'Formet 8'!BY$12:BY$106)</f>
        <v>0</v>
      </c>
      <c r="L12" s="708">
        <f>SUMIF('Formet 8'!E$12:E$106,'Format 1A'!E12,'Formet 8'!BU$12:BU$106)</f>
        <v>0</v>
      </c>
      <c r="M12" s="483">
        <f t="shared" si="0"/>
        <v>0</v>
      </c>
      <c r="N12" s="484"/>
      <c r="Q12">
        <f t="shared" si="3"/>
        <v>0</v>
      </c>
      <c r="R12">
        <f>SUMIF('Formet 8'!E$12:E$106,'Format 1A'!E12,'Formet 8'!BY$12:BY$106)</f>
        <v>0</v>
      </c>
      <c r="S12">
        <f>SUMIF('Formet 8'!E$12:E$338,'Format 1A'!E12,'Formet 8'!BU$12:BU$338)</f>
        <v>0</v>
      </c>
      <c r="T12">
        <f t="shared" si="4"/>
        <v>0</v>
      </c>
    </row>
    <row r="13" spans="1:20" ht="15" customHeight="1">
      <c r="A13" s="199">
        <f t="shared" si="5"/>
        <v>2</v>
      </c>
      <c r="B13" s="488">
        <f t="shared" si="1"/>
        <v>2</v>
      </c>
      <c r="C13" s="186" t="s">
        <v>338</v>
      </c>
      <c r="D13" s="482" t="str">
        <f>Master!$C$5</f>
        <v>PLAN - GIRLS</v>
      </c>
      <c r="E13" s="486" t="s">
        <v>553</v>
      </c>
      <c r="F13" s="493" t="s">
        <v>341</v>
      </c>
      <c r="G13" s="363">
        <f>COUNTIF(Master!C$60:C$109,'Format 1A'!E13)</f>
        <v>3</v>
      </c>
      <c r="H13" s="317" t="s">
        <v>340</v>
      </c>
      <c r="I13" s="317" t="s">
        <v>340</v>
      </c>
      <c r="J13" s="317">
        <f t="shared" si="2"/>
        <v>3</v>
      </c>
      <c r="K13" s="708">
        <f>SUMIF('Formet 8'!E$12:E$106,'Format 1A'!E13,'Formet 8'!BY$12:BY$106)</f>
        <v>1</v>
      </c>
      <c r="L13" s="708">
        <f>SUMIF('Formet 8'!E$12:E$106,'Format 1A'!E13,'Formet 8'!BU$12:BU$106)</f>
        <v>0</v>
      </c>
      <c r="M13" s="483">
        <f t="shared" si="0"/>
        <v>2</v>
      </c>
      <c r="N13" s="484"/>
      <c r="Q13">
        <f t="shared" si="3"/>
        <v>3</v>
      </c>
      <c r="R13">
        <f>SUMIF('Formet 8'!E$12:E$106,'Format 1A'!E13,'Formet 8'!BY$12:BY$106)</f>
        <v>1</v>
      </c>
      <c r="S13">
        <f>SUMIF('Formet 8'!E$12:E$338,'Format 1A'!E13,'Formet 8'!BU$12:BU$338)</f>
        <v>0</v>
      </c>
      <c r="T13">
        <f t="shared" si="4"/>
        <v>2</v>
      </c>
    </row>
    <row r="14" spans="1:20" ht="15" customHeight="1">
      <c r="A14" s="199">
        <f t="shared" si="5"/>
        <v>2</v>
      </c>
      <c r="B14" s="488" t="str">
        <f t="shared" si="1"/>
        <v/>
      </c>
      <c r="C14" s="186" t="s">
        <v>338</v>
      </c>
      <c r="D14" s="482" t="str">
        <f>Master!$C$5</f>
        <v>PLAN - GIRLS</v>
      </c>
      <c r="E14" s="486" t="s">
        <v>208</v>
      </c>
      <c r="F14" s="493" t="s">
        <v>341</v>
      </c>
      <c r="G14" s="363">
        <f>COUNTIF(Master!C$60:C$109,'Format 1A'!E14)</f>
        <v>0</v>
      </c>
      <c r="H14" s="317" t="s">
        <v>340</v>
      </c>
      <c r="I14" s="317" t="s">
        <v>340</v>
      </c>
      <c r="J14" s="317">
        <f t="shared" si="2"/>
        <v>0</v>
      </c>
      <c r="K14" s="708">
        <f>SUMIF('Formet 8'!E$12:E$106,'Format 1A'!E14,'Formet 8'!BY$12:BY$106)</f>
        <v>0</v>
      </c>
      <c r="L14" s="708">
        <f>SUMIF('Formet 8'!E$12:E$106,'Format 1A'!E14,'Formet 8'!BU$12:BU$106)</f>
        <v>0</v>
      </c>
      <c r="M14" s="483">
        <f t="shared" si="0"/>
        <v>0</v>
      </c>
      <c r="N14" s="484"/>
      <c r="Q14">
        <f t="shared" si="3"/>
        <v>0</v>
      </c>
      <c r="R14">
        <f>SUMIF('Formet 8'!E$12:E$106,'Format 1A'!E14,'Formet 8'!BY$12:BY$106)</f>
        <v>0</v>
      </c>
      <c r="S14">
        <f>SUMIF('Formet 8'!E$12:E$338,'Format 1A'!E14,'Formet 8'!BU$12:BU$338)</f>
        <v>0</v>
      </c>
      <c r="T14">
        <f t="shared" si="4"/>
        <v>0</v>
      </c>
    </row>
    <row r="15" spans="1:20" ht="15" customHeight="1">
      <c r="A15" s="199">
        <f t="shared" si="5"/>
        <v>2</v>
      </c>
      <c r="B15" s="488" t="str">
        <f t="shared" si="1"/>
        <v/>
      </c>
      <c r="C15" s="186" t="s">
        <v>338</v>
      </c>
      <c r="D15" s="482" t="str">
        <f>Master!$C$5</f>
        <v>PLAN - GIRLS</v>
      </c>
      <c r="E15" s="486" t="s">
        <v>201</v>
      </c>
      <c r="F15" s="493" t="s">
        <v>341</v>
      </c>
      <c r="G15" s="363">
        <f>COUNTIF(Master!C$60:C$109,'Format 1A'!E15)</f>
        <v>0</v>
      </c>
      <c r="H15" s="317" t="s">
        <v>340</v>
      </c>
      <c r="I15" s="317" t="s">
        <v>340</v>
      </c>
      <c r="J15" s="317">
        <f t="shared" si="2"/>
        <v>0</v>
      </c>
      <c r="K15" s="708">
        <f>SUMIF('Formet 8'!E$12:E$106,'Format 1A'!E15,'Formet 8'!BY$12:BY$106)</f>
        <v>0</v>
      </c>
      <c r="L15" s="708">
        <f>SUMIF('Formet 8'!E$12:E$106,'Format 1A'!E15,'Formet 8'!BU$12:BU$106)</f>
        <v>0</v>
      </c>
      <c r="M15" s="483">
        <f t="shared" si="0"/>
        <v>0</v>
      </c>
      <c r="N15" s="484"/>
      <c r="Q15">
        <f t="shared" si="3"/>
        <v>0</v>
      </c>
      <c r="R15">
        <f>SUMIF('Formet 8'!E$12:E$106,'Format 1A'!E15,'Formet 8'!BY$12:BY$106)</f>
        <v>0</v>
      </c>
      <c r="S15">
        <f>SUMIF('Formet 8'!E$12:E$338,'Format 1A'!E15,'Formet 8'!BU$12:BU$338)</f>
        <v>0</v>
      </c>
      <c r="T15">
        <f t="shared" si="4"/>
        <v>0</v>
      </c>
    </row>
    <row r="16" spans="1:20" ht="15" customHeight="1">
      <c r="A16" s="199">
        <f t="shared" si="5"/>
        <v>2</v>
      </c>
      <c r="B16" s="488" t="str">
        <f t="shared" si="1"/>
        <v/>
      </c>
      <c r="C16" s="186" t="s">
        <v>338</v>
      </c>
      <c r="D16" s="482" t="str">
        <f>Master!$C$5</f>
        <v>PLAN - GIRLS</v>
      </c>
      <c r="E16" s="486" t="s">
        <v>203</v>
      </c>
      <c r="F16" s="493" t="s">
        <v>341</v>
      </c>
      <c r="G16" s="363">
        <f>COUNTIF(Master!C$60:C$109,'Format 1A'!E16)</f>
        <v>0</v>
      </c>
      <c r="H16" s="317" t="s">
        <v>340</v>
      </c>
      <c r="I16" s="317" t="s">
        <v>340</v>
      </c>
      <c r="J16" s="317">
        <f>SUM(G16:I16)</f>
        <v>0</v>
      </c>
      <c r="K16" s="708">
        <f>SUMIF('Formet 8'!E$12:E$106,'Format 1A'!E16,'Formet 8'!BY$12:BY$106)</f>
        <v>0</v>
      </c>
      <c r="L16" s="708">
        <f>SUMIF('Formet 8'!E$12:E$106,'Format 1A'!E16,'Formet 8'!BU$12:BU$106)</f>
        <v>0</v>
      </c>
      <c r="M16" s="483">
        <f t="shared" si="0"/>
        <v>0</v>
      </c>
      <c r="N16" s="484"/>
      <c r="Q16">
        <f t="shared" si="3"/>
        <v>0</v>
      </c>
      <c r="R16">
        <f>SUMIF('Formet 8'!E$12:E$106,'Format 1A'!E16,'Formet 8'!BY$12:BY$106)</f>
        <v>0</v>
      </c>
      <c r="S16">
        <f>SUMIF('Formet 8'!E$12:E$338,'Format 1A'!E16,'Formet 8'!BU$12:BU$338)</f>
        <v>0</v>
      </c>
      <c r="T16">
        <f t="shared" si="4"/>
        <v>0</v>
      </c>
    </row>
    <row r="17" spans="1:20" ht="15" customHeight="1">
      <c r="A17" s="199">
        <f t="shared" si="5"/>
        <v>2</v>
      </c>
      <c r="B17" s="488" t="str">
        <f t="shared" si="1"/>
        <v/>
      </c>
      <c r="C17" s="186" t="s">
        <v>338</v>
      </c>
      <c r="D17" s="482" t="str">
        <f>Master!$C$5</f>
        <v>PLAN - GIRLS</v>
      </c>
      <c r="E17" s="486" t="s">
        <v>206</v>
      </c>
      <c r="F17" s="493" t="s">
        <v>341</v>
      </c>
      <c r="G17" s="363">
        <f>COUNTIF(Master!C$60:C$109,'Format 1A'!E17)</f>
        <v>0</v>
      </c>
      <c r="H17" s="317" t="s">
        <v>340</v>
      </c>
      <c r="I17" s="317" t="s">
        <v>340</v>
      </c>
      <c r="J17" s="317">
        <f t="shared" si="2"/>
        <v>0</v>
      </c>
      <c r="K17" s="708">
        <f>SUMIF('Formet 8'!E$12:E$106,'Format 1A'!E17,'Formet 8'!BY$12:BY$106)</f>
        <v>0</v>
      </c>
      <c r="L17" s="708">
        <f>SUMIF('Formet 8'!E$12:E$106,'Format 1A'!E17,'Formet 8'!BU$12:BU$106)</f>
        <v>0</v>
      </c>
      <c r="M17" s="483">
        <f t="shared" si="0"/>
        <v>0</v>
      </c>
      <c r="N17" s="484"/>
      <c r="Q17">
        <f t="shared" si="3"/>
        <v>0</v>
      </c>
      <c r="R17">
        <f>SUMIF('Formet 8'!E$12:E$106,'Format 1A'!E17,'Formet 8'!BY$12:BY$106)</f>
        <v>0</v>
      </c>
      <c r="S17">
        <f>SUMIF('Formet 8'!E$12:E$338,'Format 1A'!E17,'Formet 8'!BU$12:BU$338)</f>
        <v>0</v>
      </c>
      <c r="T17">
        <f t="shared" si="4"/>
        <v>0</v>
      </c>
    </row>
    <row r="18" spans="1:20" ht="15" customHeight="1">
      <c r="A18" s="199">
        <f t="shared" si="5"/>
        <v>2</v>
      </c>
      <c r="B18" s="488" t="str">
        <f t="shared" si="1"/>
        <v/>
      </c>
      <c r="C18" s="186" t="s">
        <v>338</v>
      </c>
      <c r="D18" s="482" t="str">
        <f>Master!$C$5</f>
        <v>PLAN - GIRLS</v>
      </c>
      <c r="E18" s="486" t="s">
        <v>219</v>
      </c>
      <c r="F18" s="493" t="s">
        <v>342</v>
      </c>
      <c r="G18" s="363">
        <f>COUNTIF(Master!C$60:C$109,'Format 1A'!E18)</f>
        <v>0</v>
      </c>
      <c r="H18" s="317" t="s">
        <v>340</v>
      </c>
      <c r="I18" s="317" t="s">
        <v>340</v>
      </c>
      <c r="J18" s="317">
        <f t="shared" si="2"/>
        <v>0</v>
      </c>
      <c r="K18" s="708">
        <f>SUMIF('Formet 8'!E$12:E$106,'Format 1A'!E18,'Formet 8'!BY$12:BY$106)</f>
        <v>0</v>
      </c>
      <c r="L18" s="708">
        <f>SUMIF('Formet 8'!E$12:E$106,'Format 1A'!E18,'Formet 8'!BU$12:BU$106)</f>
        <v>0</v>
      </c>
      <c r="M18" s="483">
        <f t="shared" si="0"/>
        <v>0</v>
      </c>
      <c r="N18" s="484"/>
      <c r="Q18">
        <f t="shared" si="3"/>
        <v>0</v>
      </c>
      <c r="R18">
        <f>SUMIF('Formet 8'!E$12:E$106,'Format 1A'!E18,'Formet 8'!BY$12:BY$106)</f>
        <v>0</v>
      </c>
      <c r="S18">
        <f>SUMIF('Formet 8'!E$12:E$338,'Format 1A'!E18,'Formet 8'!BU$12:BU$338)</f>
        <v>0</v>
      </c>
      <c r="T18">
        <f t="shared" si="4"/>
        <v>0</v>
      </c>
    </row>
    <row r="19" spans="1:20" ht="15" customHeight="1">
      <c r="A19" s="199">
        <f t="shared" si="5"/>
        <v>3</v>
      </c>
      <c r="B19" s="488">
        <f t="shared" si="1"/>
        <v>3</v>
      </c>
      <c r="C19" s="186" t="s">
        <v>338</v>
      </c>
      <c r="D19" s="482" t="str">
        <f>Master!$C$5</f>
        <v>PLAN - GIRLS</v>
      </c>
      <c r="E19" s="486" t="s">
        <v>60</v>
      </c>
      <c r="F19" s="493" t="s">
        <v>343</v>
      </c>
      <c r="G19" s="363">
        <f>COUNTIF(Master!C$60:C$109,'Format 1A'!E19)</f>
        <v>5</v>
      </c>
      <c r="H19" s="317" t="s">
        <v>340</v>
      </c>
      <c r="I19" s="317" t="s">
        <v>340</v>
      </c>
      <c r="J19" s="317">
        <f t="shared" si="2"/>
        <v>5</v>
      </c>
      <c r="K19" s="708">
        <f>SUMIF('Formet 8'!E$12:E$106,'Format 1A'!E19,'Formet 8'!BY$12:BY$106)</f>
        <v>5</v>
      </c>
      <c r="L19" s="708">
        <f>SUMIF('Formet 8'!E$12:E$106,'Format 1A'!E19,'Formet 8'!BU$12:BU$106)</f>
        <v>0</v>
      </c>
      <c r="M19" s="483">
        <f t="shared" si="0"/>
        <v>0</v>
      </c>
      <c r="N19" s="484"/>
      <c r="Q19">
        <f t="shared" si="3"/>
        <v>5</v>
      </c>
      <c r="R19">
        <f>SUMIF('Formet 8'!E$12:E$106,'Format 1A'!E19,'Formet 8'!BY$12:BY$106)</f>
        <v>5</v>
      </c>
      <c r="S19">
        <f>SUMIF('Formet 8'!E$12:E$338,'Format 1A'!E19,'Formet 8'!BU$12:BU$338)</f>
        <v>0</v>
      </c>
      <c r="T19">
        <f t="shared" si="4"/>
        <v>0</v>
      </c>
    </row>
    <row r="20" spans="1:20" ht="15" customHeight="1">
      <c r="A20" s="199">
        <f t="shared" si="5"/>
        <v>3</v>
      </c>
      <c r="B20" s="488" t="str">
        <f t="shared" si="1"/>
        <v/>
      </c>
      <c r="C20" s="186" t="s">
        <v>338</v>
      </c>
      <c r="D20" s="482" t="str">
        <f>Master!$C$5</f>
        <v>PLAN - GIRLS</v>
      </c>
      <c r="E20" s="487" t="s">
        <v>211</v>
      </c>
      <c r="F20" s="493" t="s">
        <v>343</v>
      </c>
      <c r="G20" s="363">
        <f>COUNTIF(Master!C$60:C$109,'Format 1A'!E20)</f>
        <v>0</v>
      </c>
      <c r="H20" s="317" t="s">
        <v>340</v>
      </c>
      <c r="I20" s="317" t="s">
        <v>340</v>
      </c>
      <c r="J20" s="317">
        <f t="shared" si="2"/>
        <v>0</v>
      </c>
      <c r="K20" s="708">
        <f>SUMIF('Formet 8'!E$12:E$106,'Format 1A'!E20,'Formet 8'!BY$12:BY$106)</f>
        <v>0</v>
      </c>
      <c r="L20" s="708">
        <f>SUMIF('Formet 8'!E$12:E$106,'Format 1A'!E20,'Formet 8'!BU$12:BU$106)</f>
        <v>0</v>
      </c>
      <c r="M20" s="483">
        <f t="shared" si="0"/>
        <v>0</v>
      </c>
      <c r="N20" s="484"/>
      <c r="Q20">
        <f t="shared" si="3"/>
        <v>0</v>
      </c>
      <c r="R20">
        <f>SUMIF('Formet 8'!E$12:E$106,'Format 1A'!E20,'Formet 8'!BY$12:BY$106)</f>
        <v>0</v>
      </c>
      <c r="S20">
        <f>SUMIF('Formet 8'!E$12:E$338,'Format 1A'!E20,'Formet 8'!BU$12:BU$338)</f>
        <v>0</v>
      </c>
      <c r="T20">
        <f t="shared" si="4"/>
        <v>0</v>
      </c>
    </row>
    <row r="21" spans="1:20" ht="15" customHeight="1">
      <c r="A21" s="199">
        <f t="shared" si="5"/>
        <v>3</v>
      </c>
      <c r="B21" s="488" t="str">
        <f t="shared" si="1"/>
        <v/>
      </c>
      <c r="C21" s="186" t="s">
        <v>338</v>
      </c>
      <c r="D21" s="482" t="str">
        <f>Master!$C$5</f>
        <v>PLAN - GIRLS</v>
      </c>
      <c r="E21" s="486" t="s">
        <v>63</v>
      </c>
      <c r="F21" s="493" t="s">
        <v>343</v>
      </c>
      <c r="G21" s="363">
        <f>COUNTIF(Master!C$60:C$109,'Format 1A'!E21)</f>
        <v>0</v>
      </c>
      <c r="H21" s="317" t="s">
        <v>340</v>
      </c>
      <c r="I21" s="317" t="s">
        <v>340</v>
      </c>
      <c r="J21" s="317">
        <f t="shared" si="2"/>
        <v>0</v>
      </c>
      <c r="K21" s="708">
        <f>SUMIF('Formet 8'!E$12:E$106,'Format 1A'!E21,'Formet 8'!BY$12:BY$106)</f>
        <v>0</v>
      </c>
      <c r="L21" s="708">
        <f>SUMIF('Formet 8'!E$12:E$106,'Format 1A'!E21,'Formet 8'!BU$12:BU$106)</f>
        <v>0</v>
      </c>
      <c r="M21" s="483">
        <f t="shared" si="0"/>
        <v>0</v>
      </c>
      <c r="N21" s="484"/>
      <c r="Q21">
        <f t="shared" si="3"/>
        <v>0</v>
      </c>
      <c r="R21">
        <f>SUMIF('Formet 8'!E$12:E$106,'Format 1A'!E21,'Formet 8'!BY$12:BY$106)</f>
        <v>0</v>
      </c>
      <c r="S21">
        <f>SUMIF('Formet 8'!E$12:E$338,'Format 1A'!E21,'Formet 8'!BU$12:BU$338)</f>
        <v>0</v>
      </c>
      <c r="T21">
        <f t="shared" si="4"/>
        <v>0</v>
      </c>
    </row>
    <row r="22" spans="1:20" ht="15" customHeight="1">
      <c r="A22" s="199">
        <f t="shared" si="5"/>
        <v>4</v>
      </c>
      <c r="B22" s="488">
        <f t="shared" si="1"/>
        <v>4</v>
      </c>
      <c r="C22" s="186" t="s">
        <v>338</v>
      </c>
      <c r="D22" s="482" t="str">
        <f>Master!$C$5</f>
        <v>PLAN - GIRLS</v>
      </c>
      <c r="E22" s="486" t="s">
        <v>221</v>
      </c>
      <c r="F22" s="493" t="s">
        <v>344</v>
      </c>
      <c r="G22" s="363">
        <f>COUNTIF(Master!C$60:C$109,'Format 1A'!E22)</f>
        <v>1</v>
      </c>
      <c r="H22" s="317" t="s">
        <v>340</v>
      </c>
      <c r="I22" s="317" t="s">
        <v>340</v>
      </c>
      <c r="J22" s="317">
        <f t="shared" si="2"/>
        <v>1</v>
      </c>
      <c r="K22" s="708">
        <f>SUMIF('Formet 8'!E$12:E$106,'Format 1A'!E22,'Formet 8'!BY$12:BY$106)</f>
        <v>1</v>
      </c>
      <c r="L22" s="708">
        <f>SUMIF('Formet 8'!E$12:E$106,'Format 1A'!E22,'Formet 8'!BU$12:BU$106)</f>
        <v>0</v>
      </c>
      <c r="M22" s="483">
        <f t="shared" si="0"/>
        <v>0</v>
      </c>
      <c r="N22" s="484"/>
      <c r="Q22">
        <f t="shared" si="3"/>
        <v>1</v>
      </c>
      <c r="R22">
        <f>SUMIF('Formet 8'!E$12:E$106,'Format 1A'!E22,'Formet 8'!BY$12:BY$106)</f>
        <v>1</v>
      </c>
      <c r="S22">
        <f>SUMIF('Formet 8'!E$12:E$338,'Format 1A'!E22,'Formet 8'!BU$12:BU$338)</f>
        <v>0</v>
      </c>
      <c r="T22">
        <f t="shared" si="4"/>
        <v>0</v>
      </c>
    </row>
    <row r="23" spans="1:20" ht="15" customHeight="1">
      <c r="A23" s="199">
        <f t="shared" si="5"/>
        <v>4</v>
      </c>
      <c r="B23" s="488" t="str">
        <f t="shared" si="1"/>
        <v/>
      </c>
      <c r="C23" s="186" t="s">
        <v>338</v>
      </c>
      <c r="D23" s="482" t="str">
        <f>Master!$C$5</f>
        <v>PLAN - GIRLS</v>
      </c>
      <c r="E23" s="486" t="s">
        <v>223</v>
      </c>
      <c r="F23" s="493" t="s">
        <v>344</v>
      </c>
      <c r="G23" s="363">
        <f>COUNTIF(Master!C$60:C$109,'Format 1A'!E23)</f>
        <v>0</v>
      </c>
      <c r="H23" s="317" t="s">
        <v>340</v>
      </c>
      <c r="I23" s="317" t="s">
        <v>340</v>
      </c>
      <c r="J23" s="317">
        <f t="shared" si="2"/>
        <v>0</v>
      </c>
      <c r="K23" s="708">
        <f>SUMIF('Formet 8'!E$12:E$106,'Format 1A'!E23,'Formet 8'!BY$12:BY$106)</f>
        <v>0</v>
      </c>
      <c r="L23" s="708">
        <f>SUMIF('Formet 8'!E$12:E$106,'Format 1A'!E23,'Formet 8'!BU$12:BU$106)</f>
        <v>0</v>
      </c>
      <c r="M23" s="483">
        <f t="shared" si="0"/>
        <v>0</v>
      </c>
      <c r="N23" s="484"/>
      <c r="Q23">
        <f t="shared" si="3"/>
        <v>0</v>
      </c>
      <c r="R23">
        <f>SUMIF('Formet 8'!E$12:E$106,'Format 1A'!E23,'Formet 8'!BY$12:BY$106)</f>
        <v>0</v>
      </c>
      <c r="S23">
        <f>SUMIF('Formet 8'!E$12:E$338,'Format 1A'!E23,'Formet 8'!BU$12:BU$338)</f>
        <v>0</v>
      </c>
      <c r="T23">
        <f t="shared" si="4"/>
        <v>0</v>
      </c>
    </row>
    <row r="24" spans="1:20" ht="15" customHeight="1">
      <c r="A24" s="199">
        <f t="shared" si="5"/>
        <v>5</v>
      </c>
      <c r="B24" s="488">
        <f t="shared" si="1"/>
        <v>5</v>
      </c>
      <c r="C24" s="186" t="s">
        <v>338</v>
      </c>
      <c r="D24" s="482" t="str">
        <f>Master!$C$5</f>
        <v>PLAN - GIRLS</v>
      </c>
      <c r="E24" s="486" t="s">
        <v>217</v>
      </c>
      <c r="F24" s="493" t="s">
        <v>342</v>
      </c>
      <c r="G24" s="363">
        <f>COUNTIF(Master!C$60:C$109,'Format 1A'!E24)</f>
        <v>1</v>
      </c>
      <c r="H24" s="317" t="s">
        <v>340</v>
      </c>
      <c r="I24" s="317" t="s">
        <v>340</v>
      </c>
      <c r="J24" s="317">
        <f t="shared" si="2"/>
        <v>1</v>
      </c>
      <c r="K24" s="708">
        <f>SUMIF('Formet 8'!E$12:E$106,'Format 1A'!E24,'Formet 8'!BY$12:BY$106)</f>
        <v>1</v>
      </c>
      <c r="L24" s="708">
        <f>SUMIF('Formet 8'!E$12:E$106,'Format 1A'!E24,'Formet 8'!BU$12:BU$106)</f>
        <v>0</v>
      </c>
      <c r="M24" s="483">
        <f t="shared" si="0"/>
        <v>0</v>
      </c>
      <c r="N24" s="484"/>
      <c r="Q24">
        <f t="shared" si="3"/>
        <v>1</v>
      </c>
      <c r="R24">
        <f>SUMIF('Formet 8'!E$12:E$106,'Format 1A'!E24,'Formet 8'!BY$12:BY$106)</f>
        <v>1</v>
      </c>
      <c r="S24">
        <f>SUMIF('Formet 8'!E$12:E$338,'Format 1A'!E24,'Formet 8'!BU$12:BU$338)</f>
        <v>0</v>
      </c>
      <c r="T24">
        <f t="shared" si="4"/>
        <v>0</v>
      </c>
    </row>
    <row r="25" spans="1:20" ht="15" customHeight="1">
      <c r="A25" s="199">
        <f t="shared" si="5"/>
        <v>6</v>
      </c>
      <c r="B25" s="488">
        <f t="shared" si="1"/>
        <v>6</v>
      </c>
      <c r="C25" s="186" t="s">
        <v>338</v>
      </c>
      <c r="D25" s="482" t="str">
        <f>Master!$C$5</f>
        <v>PLAN - GIRLS</v>
      </c>
      <c r="E25" s="486" t="s">
        <v>62</v>
      </c>
      <c r="F25" s="493" t="s">
        <v>342</v>
      </c>
      <c r="G25" s="363">
        <f>COUNTIF(Master!C$60:C$109,'Format 1A'!E25)</f>
        <v>8</v>
      </c>
      <c r="H25" s="317" t="s">
        <v>340</v>
      </c>
      <c r="I25" s="317" t="s">
        <v>340</v>
      </c>
      <c r="J25" s="317">
        <f t="shared" si="2"/>
        <v>8</v>
      </c>
      <c r="K25" s="708">
        <f>SUMIF('Formet 8'!E$12:E$106,'Format 1A'!E25,'Formet 8'!BY$12:BY$106)</f>
        <v>7</v>
      </c>
      <c r="L25" s="708">
        <f>SUMIF('Formet 8'!E$12:E$106,'Format 1A'!E25,'Formet 8'!BU$12:BU$106)</f>
        <v>0</v>
      </c>
      <c r="M25" s="483">
        <f t="shared" si="0"/>
        <v>1</v>
      </c>
      <c r="N25" s="484"/>
      <c r="Q25">
        <f t="shared" si="3"/>
        <v>8</v>
      </c>
      <c r="R25">
        <f>SUMIF('Formet 8'!E$12:E$106,'Format 1A'!E25,'Formet 8'!BY$12:BY$106)</f>
        <v>7</v>
      </c>
      <c r="S25">
        <f>SUMIF('Formet 8'!E$12:E$338,'Format 1A'!E25,'Formet 8'!BU$12:BU$338)</f>
        <v>0</v>
      </c>
      <c r="T25">
        <f t="shared" si="4"/>
        <v>1</v>
      </c>
    </row>
    <row r="26" spans="1:20" ht="15" customHeight="1">
      <c r="A26" s="199">
        <f t="shared" si="5"/>
        <v>7</v>
      </c>
      <c r="B26" s="488">
        <f t="shared" si="1"/>
        <v>7</v>
      </c>
      <c r="C26" s="186" t="s">
        <v>338</v>
      </c>
      <c r="D26" s="482" t="str">
        <f>Master!$C$5</f>
        <v>PLAN - GIRLS</v>
      </c>
      <c r="E26" s="486" t="s">
        <v>214</v>
      </c>
      <c r="F26" s="493" t="s">
        <v>342</v>
      </c>
      <c r="G26" s="363">
        <f>COUNTIF(Master!C$60:C$109,'Format 1A'!E26)</f>
        <v>1</v>
      </c>
      <c r="H26" s="317" t="s">
        <v>340</v>
      </c>
      <c r="I26" s="317" t="s">
        <v>340</v>
      </c>
      <c r="J26" s="317">
        <f t="shared" si="2"/>
        <v>1</v>
      </c>
      <c r="K26" s="708">
        <f>SUMIF('Formet 8'!E$12:E$106,'Format 1A'!E26,'Formet 8'!BY$12:BY$106)</f>
        <v>0</v>
      </c>
      <c r="L26" s="708">
        <f>SUMIF('Formet 8'!E$12:E$106,'Format 1A'!E26,'Formet 8'!BU$12:BU$106)</f>
        <v>0</v>
      </c>
      <c r="M26" s="483">
        <f t="shared" si="0"/>
        <v>1</v>
      </c>
      <c r="N26" s="484"/>
      <c r="Q26">
        <f t="shared" si="3"/>
        <v>1</v>
      </c>
      <c r="R26">
        <f>SUMIF('Formet 8'!E$12:E$106,'Format 1A'!E26,'Formet 8'!BY$12:BY$106)</f>
        <v>0</v>
      </c>
      <c r="S26">
        <f>SUMIF('Formet 8'!E$12:E$338,'Format 1A'!E26,'Formet 8'!BU$12:BU$338)</f>
        <v>0</v>
      </c>
      <c r="T26">
        <f t="shared" si="4"/>
        <v>1</v>
      </c>
    </row>
    <row r="27" spans="1:20" ht="15" customHeight="1">
      <c r="A27" s="199">
        <f t="shared" si="5"/>
        <v>8</v>
      </c>
      <c r="B27" s="488">
        <f t="shared" si="1"/>
        <v>8</v>
      </c>
      <c r="C27" s="186" t="s">
        <v>338</v>
      </c>
      <c r="D27" s="482" t="str">
        <f>Master!$C$5</f>
        <v>PLAN - GIRLS</v>
      </c>
      <c r="E27" s="486" t="s">
        <v>221</v>
      </c>
      <c r="F27" s="493" t="s">
        <v>344</v>
      </c>
      <c r="G27" s="363">
        <f>COUNTIF(Master!C$60:C$109,'Format 1A'!E27)</f>
        <v>1</v>
      </c>
      <c r="H27" s="317" t="s">
        <v>340</v>
      </c>
      <c r="I27" s="317" t="s">
        <v>340</v>
      </c>
      <c r="J27" s="317">
        <f t="shared" si="2"/>
        <v>1</v>
      </c>
      <c r="K27" s="708">
        <f>SUMIF('Formet 8'!E$12:E$106,'Format 1A'!E27,'Formet 8'!BY$12:BY$106)</f>
        <v>1</v>
      </c>
      <c r="L27" s="708">
        <f>SUMIF('Formet 8'!E$12:E$106,'Format 1A'!E27,'Formet 8'!BU$12:BU$106)</f>
        <v>0</v>
      </c>
      <c r="M27" s="483">
        <f t="shared" si="0"/>
        <v>0</v>
      </c>
      <c r="N27" s="484"/>
      <c r="Q27">
        <f t="shared" si="3"/>
        <v>1</v>
      </c>
      <c r="R27">
        <f>SUMIF('Formet 8'!E$12:E$106,'Format 1A'!E27,'Formet 8'!BY$12:BY$106)</f>
        <v>1</v>
      </c>
      <c r="S27">
        <f>SUMIF('Formet 8'!E$12:E$338,'Format 1A'!E27,'Formet 8'!BU$12:BU$338)</f>
        <v>0</v>
      </c>
      <c r="T27">
        <f t="shared" si="4"/>
        <v>0</v>
      </c>
    </row>
    <row r="28" spans="1:20" ht="15" customHeight="1">
      <c r="A28" s="199">
        <f t="shared" si="5"/>
        <v>9</v>
      </c>
      <c r="B28" s="488">
        <f t="shared" si="1"/>
        <v>9</v>
      </c>
      <c r="C28" s="186" t="s">
        <v>338</v>
      </c>
      <c r="D28" s="482" t="str">
        <f>Master!$C$5</f>
        <v>PLAN - GIRLS</v>
      </c>
      <c r="E28" s="486" t="s">
        <v>64</v>
      </c>
      <c r="F28" s="493" t="s">
        <v>345</v>
      </c>
      <c r="G28" s="363">
        <f>COUNTIF(Master!C$60:C$109,'Format 1A'!E28)</f>
        <v>1</v>
      </c>
      <c r="H28" s="317" t="s">
        <v>340</v>
      </c>
      <c r="I28" s="317" t="s">
        <v>340</v>
      </c>
      <c r="J28" s="317">
        <f t="shared" si="2"/>
        <v>1</v>
      </c>
      <c r="K28" s="708">
        <f>SUMIF('Formet 8'!E$12:E$106,'Format 1A'!E28,'Formet 8'!BY$12:BY$106)</f>
        <v>1</v>
      </c>
      <c r="L28" s="708">
        <f>SUMIF('Formet 8'!E$12:E$106,'Format 1A'!E28,'Formet 8'!BU$12:BU$106)</f>
        <v>0</v>
      </c>
      <c r="M28" s="483">
        <f t="shared" si="0"/>
        <v>0</v>
      </c>
      <c r="N28" s="484"/>
      <c r="Q28">
        <f t="shared" si="3"/>
        <v>1</v>
      </c>
      <c r="R28">
        <f>SUMIF('Formet 8'!E$12:E$106,'Format 1A'!E28,'Formet 8'!BY$12:BY$106)</f>
        <v>1</v>
      </c>
      <c r="S28">
        <f>SUMIF('Formet 8'!E$12:E$338,'Format 1A'!E28,'Formet 8'!BU$12:BU$338)</f>
        <v>0</v>
      </c>
      <c r="T28">
        <f t="shared" si="4"/>
        <v>0</v>
      </c>
    </row>
    <row r="29" spans="1:20" ht="15" customHeight="1">
      <c r="A29" s="199">
        <f t="shared" si="5"/>
        <v>10</v>
      </c>
      <c r="B29" s="488">
        <f t="shared" si="1"/>
        <v>10</v>
      </c>
      <c r="C29" s="186" t="s">
        <v>338</v>
      </c>
      <c r="D29" s="482" t="str">
        <f>Master!$C$5</f>
        <v>PLAN - GIRLS</v>
      </c>
      <c r="E29" s="486" t="s">
        <v>554</v>
      </c>
      <c r="F29" s="493" t="s">
        <v>345</v>
      </c>
      <c r="G29" s="363">
        <f>COUNTIF(Master!C$60:C$109,'Format 1A'!E29)</f>
        <v>1</v>
      </c>
      <c r="H29" s="317" t="s">
        <v>340</v>
      </c>
      <c r="I29" s="317" t="s">
        <v>340</v>
      </c>
      <c r="J29" s="317">
        <f t="shared" si="2"/>
        <v>1</v>
      </c>
      <c r="K29" s="708">
        <f>SUMIF('Formet 8'!E$12:E$106,'Format 1A'!E29,'Formet 8'!BY$12:BY$106)</f>
        <v>1</v>
      </c>
      <c r="L29" s="708">
        <f>SUMIF('Formet 8'!E$12:E$106,'Format 1A'!E29,'Formet 8'!BU$12:BU$106)</f>
        <v>0</v>
      </c>
      <c r="M29" s="483">
        <f t="shared" si="0"/>
        <v>0</v>
      </c>
      <c r="N29" s="484"/>
      <c r="Q29">
        <f t="shared" si="3"/>
        <v>1</v>
      </c>
      <c r="R29">
        <f>SUMIF('Formet 8'!E$12:E$106,'Format 1A'!E29,'Formet 8'!BY$12:BY$106)</f>
        <v>1</v>
      </c>
      <c r="S29">
        <f>SUMIF('Formet 8'!E$12:E$338,'Format 1A'!E29,'Formet 8'!BU$12:BU$338)</f>
        <v>0</v>
      </c>
      <c r="T29">
        <f t="shared" si="4"/>
        <v>0</v>
      </c>
    </row>
    <row r="30" spans="1:20" ht="15" customHeight="1">
      <c r="A30" s="199">
        <f t="shared" si="5"/>
        <v>10</v>
      </c>
      <c r="B30" s="488" t="str">
        <f t="shared" si="1"/>
        <v/>
      </c>
      <c r="C30" s="186" t="s">
        <v>338</v>
      </c>
      <c r="D30" s="482" t="str">
        <f>Master!$C$5</f>
        <v>PLAN - GIRLS</v>
      </c>
      <c r="E30" s="486" t="s">
        <v>231</v>
      </c>
      <c r="F30" s="493" t="s">
        <v>346</v>
      </c>
      <c r="G30" s="363">
        <f>COUNTIF(Master!C$60:C$109,'Format 1A'!E30)</f>
        <v>0</v>
      </c>
      <c r="H30" s="317" t="s">
        <v>340</v>
      </c>
      <c r="I30" s="317" t="s">
        <v>340</v>
      </c>
      <c r="J30" s="317">
        <f t="shared" si="2"/>
        <v>0</v>
      </c>
      <c r="K30" s="708">
        <f>SUMIF('Formet 8'!E$12:E$106,'Format 1A'!E30,'Formet 8'!BY$12:BY$106)</f>
        <v>0</v>
      </c>
      <c r="L30" s="708">
        <f>SUMIF('Formet 8'!E$12:E$106,'Format 1A'!E30,'Formet 8'!BU$12:BU$106)</f>
        <v>0</v>
      </c>
      <c r="M30" s="483">
        <f t="shared" si="0"/>
        <v>0</v>
      </c>
      <c r="N30" s="484"/>
      <c r="Q30">
        <f t="shared" si="3"/>
        <v>0</v>
      </c>
      <c r="R30">
        <f>SUMIF('Formet 8'!E$12:E$106,'Format 1A'!E30,'Formet 8'!BY$12:BY$106)</f>
        <v>0</v>
      </c>
      <c r="S30">
        <f>SUMIF('Formet 8'!E$12:E$338,'Format 1A'!E30,'Formet 8'!BU$12:BU$338)</f>
        <v>0</v>
      </c>
      <c r="T30">
        <f t="shared" si="4"/>
        <v>0</v>
      </c>
    </row>
    <row r="31" spans="1:20" ht="15" customHeight="1">
      <c r="A31" s="199">
        <f t="shared" si="5"/>
        <v>10</v>
      </c>
      <c r="B31" s="488" t="str">
        <f t="shared" si="1"/>
        <v/>
      </c>
      <c r="C31" s="186" t="s">
        <v>338</v>
      </c>
      <c r="D31" s="482" t="str">
        <f>Master!$C$5</f>
        <v>PLAN - GIRLS</v>
      </c>
      <c r="E31" s="486" t="s">
        <v>229</v>
      </c>
      <c r="F31" s="493" t="s">
        <v>346</v>
      </c>
      <c r="G31" s="363">
        <f>COUNTIF(Master!C$60:C$109,'Format 1A'!E31)</f>
        <v>0</v>
      </c>
      <c r="H31" s="317" t="s">
        <v>340</v>
      </c>
      <c r="I31" s="317" t="s">
        <v>340</v>
      </c>
      <c r="J31" s="317">
        <f t="shared" si="2"/>
        <v>0</v>
      </c>
      <c r="K31" s="708">
        <f>SUMIF('Formet 8'!E$12:E$106,'Format 1A'!E31,'Formet 8'!BY$12:BY$106)</f>
        <v>0</v>
      </c>
      <c r="L31" s="708">
        <f>SUMIF('Formet 8'!E$12:E$106,'Format 1A'!E31,'Formet 8'!BU$12:BU$106)</f>
        <v>0</v>
      </c>
      <c r="M31" s="483">
        <f t="shared" si="0"/>
        <v>0</v>
      </c>
      <c r="N31" s="484"/>
      <c r="Q31">
        <f t="shared" si="3"/>
        <v>0</v>
      </c>
      <c r="R31">
        <f>SUMIF('Formet 8'!E$12:E$106,'Format 1A'!E31,'Formet 8'!BY$12:BY$106)</f>
        <v>0</v>
      </c>
      <c r="S31">
        <f>SUMIF('Formet 8'!E$12:E$338,'Format 1A'!E31,'Formet 8'!BU$12:BU$338)</f>
        <v>0</v>
      </c>
      <c r="T31">
        <f t="shared" si="4"/>
        <v>0</v>
      </c>
    </row>
    <row r="32" spans="1:20" ht="15" customHeight="1">
      <c r="A32" s="199">
        <f t="shared" si="5"/>
        <v>11</v>
      </c>
      <c r="B32" s="488">
        <f t="shared" si="1"/>
        <v>11</v>
      </c>
      <c r="C32" s="186" t="s">
        <v>338</v>
      </c>
      <c r="D32" s="482" t="str">
        <f>Master!$C$5</f>
        <v>PLAN - GIRLS</v>
      </c>
      <c r="E32" s="486" t="s">
        <v>65</v>
      </c>
      <c r="F32" s="493" t="s">
        <v>346</v>
      </c>
      <c r="G32" s="363">
        <f>COUNTIF(Master!C$60:C$109,'Format 1A'!E32)</f>
        <v>2</v>
      </c>
      <c r="H32" s="317" t="s">
        <v>340</v>
      </c>
      <c r="I32" s="317" t="s">
        <v>340</v>
      </c>
      <c r="J32" s="317">
        <f t="shared" si="2"/>
        <v>2</v>
      </c>
      <c r="K32" s="708">
        <f>SUMIF('Formet 8'!E$12:E$106,'Format 1A'!E32,'Formet 8'!BY$12:BY$106)</f>
        <v>0</v>
      </c>
      <c r="L32" s="708">
        <f>SUMIF('Formet 8'!E$12:E$106,'Format 1A'!E32,'Formet 8'!BU$12:BU$106)</f>
        <v>0</v>
      </c>
      <c r="M32" s="483">
        <f t="shared" si="0"/>
        <v>2</v>
      </c>
      <c r="N32" s="484"/>
      <c r="Q32">
        <f t="shared" si="3"/>
        <v>2</v>
      </c>
      <c r="R32">
        <f>SUMIF('Formet 8'!E$12:E$106,'Format 1A'!E32,'Formet 8'!BY$12:BY$106)</f>
        <v>0</v>
      </c>
      <c r="S32">
        <f>SUMIF('Formet 8'!E$12:E$338,'Format 1A'!E32,'Formet 8'!BU$12:BU$338)</f>
        <v>0</v>
      </c>
      <c r="T32">
        <f t="shared" si="4"/>
        <v>2</v>
      </c>
    </row>
    <row r="33" spans="1:14" ht="17.25" customHeight="1">
      <c r="A33" s="201"/>
      <c r="B33" s="201"/>
      <c r="C33" s="201"/>
      <c r="D33" s="202"/>
      <c r="E33" s="203" t="s">
        <v>347</v>
      </c>
      <c r="F33" s="485"/>
      <c r="G33" s="203">
        <f t="shared" ref="G33:M33" si="6">SUM(G9:G32)</f>
        <v>26</v>
      </c>
      <c r="H33" s="203">
        <f t="shared" si="6"/>
        <v>0</v>
      </c>
      <c r="I33" s="203">
        <f t="shared" si="6"/>
        <v>0</v>
      </c>
      <c r="J33" s="203">
        <f t="shared" si="6"/>
        <v>26</v>
      </c>
      <c r="K33" s="707">
        <f t="shared" si="6"/>
        <v>20</v>
      </c>
      <c r="L33" s="707">
        <f t="shared" si="6"/>
        <v>0</v>
      </c>
      <c r="M33" s="203">
        <f t="shared" si="6"/>
        <v>6</v>
      </c>
      <c r="N33" s="203"/>
    </row>
    <row r="34" spans="1:14">
      <c r="A34" s="198"/>
      <c r="B34" s="198"/>
      <c r="C34" s="198"/>
      <c r="D34" s="198"/>
      <c r="E34" s="198"/>
      <c r="F34" s="198"/>
      <c r="G34" s="198"/>
      <c r="H34" s="198"/>
      <c r="I34" s="198"/>
      <c r="J34" s="198"/>
      <c r="K34" s="198"/>
      <c r="L34" s="198"/>
      <c r="M34" s="198"/>
      <c r="N34" s="198"/>
    </row>
    <row r="35" spans="1:14" s="326" customFormat="1" ht="15.75">
      <c r="A35" s="198"/>
      <c r="B35" s="522" t="s">
        <v>550</v>
      </c>
      <c r="C35" s="198"/>
      <c r="D35" s="198"/>
      <c r="E35" s="198"/>
      <c r="F35" s="198"/>
      <c r="G35" s="198"/>
      <c r="H35" s="198"/>
      <c r="I35" s="198"/>
      <c r="J35" s="198"/>
      <c r="K35" s="198"/>
      <c r="L35" s="198"/>
      <c r="M35" s="198"/>
      <c r="N35" s="198"/>
    </row>
    <row r="36" spans="1:14" s="326" customFormat="1">
      <c r="A36" s="198"/>
      <c r="B36" s="198"/>
      <c r="C36" s="198"/>
      <c r="D36" s="198"/>
      <c r="E36" s="198"/>
      <c r="F36" s="198"/>
      <c r="G36" s="198"/>
      <c r="H36" s="198"/>
      <c r="I36" s="198"/>
      <c r="J36" s="198"/>
      <c r="K36" s="198"/>
      <c r="L36" s="954" t="str">
        <f>CONCATENATE("¼ ",Master!G3,"½")</f>
        <v>¼ m"kk ikfy;k½</v>
      </c>
      <c r="M36" s="954"/>
      <c r="N36" s="954"/>
    </row>
    <row r="37" spans="1:14" ht="16.5">
      <c r="A37" s="198"/>
      <c r="B37" s="522"/>
      <c r="C37" s="522"/>
      <c r="D37" s="522"/>
      <c r="E37" s="108"/>
      <c r="F37" s="108"/>
      <c r="G37" s="108"/>
      <c r="H37" s="108"/>
      <c r="I37" s="108"/>
      <c r="J37" s="198"/>
      <c r="K37" s="198"/>
      <c r="L37" s="928" t="str">
        <f>Master!C2</f>
        <v>iz/kkukpk;Z</v>
      </c>
      <c r="M37" s="928"/>
      <c r="N37" s="928"/>
    </row>
    <row r="38" spans="1:14" ht="15" customHeight="1">
      <c r="A38" s="198"/>
      <c r="B38" s="198"/>
      <c r="C38" s="108"/>
      <c r="D38" s="108"/>
      <c r="E38" s="108"/>
      <c r="F38" s="108"/>
      <c r="G38" s="108"/>
      <c r="H38" s="108"/>
      <c r="I38" s="108"/>
      <c r="J38" s="198"/>
      <c r="K38" s="198"/>
      <c r="L38" s="923" t="str">
        <f>Master!D2</f>
        <v>egkRek xka/kh jktdh; fo|ky; ¼vaxzsth ek/;e½ cj ] C;koj</v>
      </c>
      <c r="M38" s="923"/>
      <c r="N38" s="923"/>
    </row>
    <row r="39" spans="1:14" ht="15" customHeight="1">
      <c r="A39" s="198"/>
      <c r="B39" s="198"/>
      <c r="C39" s="108"/>
      <c r="D39" s="108"/>
      <c r="E39" s="108"/>
      <c r="F39" s="108"/>
      <c r="G39" s="108"/>
      <c r="H39" s="108"/>
      <c r="I39" s="108"/>
      <c r="J39" s="198"/>
      <c r="K39" s="198"/>
      <c r="L39" s="923"/>
      <c r="M39" s="923"/>
      <c r="N39" s="923"/>
    </row>
    <row r="40" spans="1:14">
      <c r="L40" s="923"/>
      <c r="M40" s="923"/>
      <c r="N40" s="923"/>
    </row>
  </sheetData>
  <mergeCells count="22">
    <mergeCell ref="J6:J7"/>
    <mergeCell ref="K6:L6"/>
    <mergeCell ref="M6:M7"/>
    <mergeCell ref="L36:N36"/>
    <mergeCell ref="B6:B7"/>
    <mergeCell ref="N6:N7"/>
    <mergeCell ref="L37:N37"/>
    <mergeCell ref="L38:N40"/>
    <mergeCell ref="A5:K5"/>
    <mergeCell ref="L5:N5"/>
    <mergeCell ref="M1:N1"/>
    <mergeCell ref="A2:N2"/>
    <mergeCell ref="A3:N3"/>
    <mergeCell ref="A4:N4"/>
    <mergeCell ref="A6:A7"/>
    <mergeCell ref="C6:C7"/>
    <mergeCell ref="D6:D7"/>
    <mergeCell ref="E6:E7"/>
    <mergeCell ref="F6:F7"/>
    <mergeCell ref="G6:G7"/>
    <mergeCell ref="H6:H7"/>
    <mergeCell ref="I6:I7"/>
  </mergeCells>
  <conditionalFormatting sqref="M9:M32">
    <cfRule type="cellIs" dxfId="33" priority="3" operator="greaterThan">
      <formula>0</formula>
    </cfRule>
  </conditionalFormatting>
  <conditionalFormatting sqref="G9:N32">
    <cfRule type="cellIs" dxfId="32"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2.xml><?xml version="1.0" encoding="utf-8"?>
<worksheet xmlns="http://schemas.openxmlformats.org/spreadsheetml/2006/main" xmlns:r="http://schemas.openxmlformats.org/officeDocument/2006/relationships">
  <sheetPr codeName="Sheet11">
    <tabColor rgb="FFFFFF00"/>
    <pageSetUpPr fitToPage="1"/>
  </sheetPr>
  <dimension ref="A1:S40"/>
  <sheetViews>
    <sheetView showGridLines="0" view="pageBreakPreview" topLeftCell="B1" zoomScaleSheetLayoutView="100" workbookViewId="0">
      <selection activeCell="A2" sqref="A2:S2"/>
    </sheetView>
  </sheetViews>
  <sheetFormatPr defaultColWidth="9.125" defaultRowHeight="15"/>
  <cols>
    <col min="1" max="1" width="6" style="206" hidden="1" customWidth="1"/>
    <col min="2" max="2" width="6" style="206" customWidth="1"/>
    <col min="3" max="3" width="18.125" style="206" customWidth="1"/>
    <col min="4" max="4" width="13.875" style="206" customWidth="1"/>
    <col min="5" max="5" width="18.375" style="206" customWidth="1"/>
    <col min="6" max="6" width="7" style="206" customWidth="1"/>
    <col min="7" max="7" width="9" style="206" customWidth="1"/>
    <col min="8" max="9" width="8.25" style="206" customWidth="1"/>
    <col min="10" max="10" width="8.75" style="206" customWidth="1"/>
    <col min="11" max="14" width="8.25" style="206" customWidth="1"/>
    <col min="15" max="16" width="10.75" style="206" customWidth="1"/>
    <col min="17" max="17" width="10.375" style="206" customWidth="1"/>
    <col min="18" max="18" width="7.375" style="206" customWidth="1"/>
    <col min="19" max="19" width="11.875" style="206" customWidth="1"/>
    <col min="20" max="16384" width="9.125" style="206"/>
  </cols>
  <sheetData>
    <row r="1" spans="1:19" ht="15.75">
      <c r="A1" s="108"/>
      <c r="B1" s="108"/>
      <c r="C1" s="108"/>
      <c r="D1" s="108"/>
      <c r="E1" s="108"/>
      <c r="F1" s="108"/>
      <c r="G1" s="108"/>
      <c r="H1" s="108"/>
      <c r="I1" s="108"/>
      <c r="J1" s="108"/>
      <c r="K1" s="108"/>
      <c r="L1" s="108"/>
      <c r="M1" s="108"/>
      <c r="N1" s="108"/>
      <c r="O1" s="108"/>
      <c r="P1" s="949">
        <f>Summary!$C$1</f>
        <v>30695</v>
      </c>
      <c r="Q1" s="949"/>
      <c r="R1" s="949"/>
      <c r="S1" s="949"/>
    </row>
    <row r="2" spans="1:19" ht="20.25">
      <c r="A2" s="957" t="str">
        <f>Summary!A2</f>
        <v>iz/kkukpk;Z egkRek xka/kh jktdh; fo|ky; ¼vaxzsth ek/;e½ cj ] C;koj</v>
      </c>
      <c r="B2" s="957"/>
      <c r="C2" s="957"/>
      <c r="D2" s="957"/>
      <c r="E2" s="957"/>
      <c r="F2" s="957"/>
      <c r="G2" s="957"/>
      <c r="H2" s="957"/>
      <c r="I2" s="957"/>
      <c r="J2" s="957"/>
      <c r="K2" s="957"/>
      <c r="L2" s="957"/>
      <c r="M2" s="957"/>
      <c r="N2" s="957"/>
      <c r="O2" s="957"/>
      <c r="P2" s="957"/>
      <c r="Q2" s="957"/>
      <c r="R2" s="957"/>
      <c r="S2" s="957"/>
    </row>
    <row r="3" spans="1:19" ht="18.75">
      <c r="A3" s="958" t="s">
        <v>327</v>
      </c>
      <c r="B3" s="958"/>
      <c r="C3" s="958"/>
      <c r="D3" s="958"/>
      <c r="E3" s="958"/>
      <c r="F3" s="958"/>
      <c r="G3" s="958"/>
      <c r="H3" s="958"/>
      <c r="I3" s="958"/>
      <c r="J3" s="958"/>
      <c r="K3" s="958"/>
      <c r="L3" s="958"/>
      <c r="M3" s="958"/>
      <c r="N3" s="958"/>
      <c r="O3" s="958"/>
      <c r="P3" s="958"/>
      <c r="Q3" s="958"/>
      <c r="R3" s="958"/>
      <c r="S3" s="958"/>
    </row>
    <row r="4" spans="1:19" ht="20.25">
      <c r="A4" s="957" t="s">
        <v>362</v>
      </c>
      <c r="B4" s="957"/>
      <c r="C4" s="957"/>
      <c r="D4" s="957"/>
      <c r="E4" s="957"/>
      <c r="F4" s="957"/>
      <c r="G4" s="957"/>
      <c r="H4" s="957"/>
      <c r="I4" s="957"/>
      <c r="J4" s="957"/>
      <c r="K4" s="957"/>
      <c r="L4" s="957"/>
      <c r="M4" s="957"/>
      <c r="N4" s="957"/>
      <c r="O4" s="957"/>
      <c r="P4" s="957"/>
      <c r="Q4" s="957"/>
      <c r="R4" s="957"/>
      <c r="S4" s="957"/>
    </row>
    <row r="5" spans="1:19">
      <c r="A5" s="955" t="str">
        <f>Summary!A5</f>
        <v>BUDGET HEAD : 2202-GENERAL EDUCATION, 02-SECONDARY EDUCATION, 109-GOVT. SEC. SCHOOL, (02)-GIRLS SCHOOL (STATE FUND)</v>
      </c>
      <c r="B5" s="955"/>
      <c r="C5" s="955"/>
      <c r="D5" s="955"/>
      <c r="E5" s="955"/>
      <c r="F5" s="955"/>
      <c r="G5" s="955"/>
      <c r="H5" s="955"/>
      <c r="I5" s="955"/>
      <c r="J5" s="955"/>
      <c r="K5" s="955"/>
      <c r="L5" s="955"/>
      <c r="M5" s="955"/>
      <c r="N5" s="955"/>
      <c r="O5" s="955"/>
      <c r="P5" s="955"/>
      <c r="Q5" s="956" t="s">
        <v>284</v>
      </c>
      <c r="R5" s="956"/>
      <c r="S5" s="956"/>
    </row>
    <row r="6" spans="1:19" ht="79.5" customHeight="1">
      <c r="A6" s="212" t="s">
        <v>6</v>
      </c>
      <c r="B6" s="399" t="s">
        <v>6</v>
      </c>
      <c r="C6" s="212" t="s">
        <v>329</v>
      </c>
      <c r="D6" s="212" t="s">
        <v>363</v>
      </c>
      <c r="E6" s="212" t="s">
        <v>331</v>
      </c>
      <c r="F6" s="212" t="s">
        <v>332</v>
      </c>
      <c r="G6" s="212" t="s">
        <v>364</v>
      </c>
      <c r="H6" s="212" t="s">
        <v>365</v>
      </c>
      <c r="I6" s="212" t="s">
        <v>366</v>
      </c>
      <c r="J6" s="212" t="s">
        <v>367</v>
      </c>
      <c r="K6" s="212" t="s">
        <v>366</v>
      </c>
      <c r="L6" s="212" t="s">
        <v>368</v>
      </c>
      <c r="M6" s="212" t="s">
        <v>366</v>
      </c>
      <c r="N6" s="212" t="s">
        <v>369</v>
      </c>
      <c r="O6" s="212" t="s">
        <v>366</v>
      </c>
      <c r="P6" s="212" t="s">
        <v>370</v>
      </c>
      <c r="Q6" s="212" t="s">
        <v>366</v>
      </c>
      <c r="R6" s="212" t="s">
        <v>371</v>
      </c>
      <c r="S6" s="212" t="s">
        <v>366</v>
      </c>
    </row>
    <row r="7" spans="1:19" s="498" customFormat="1" ht="12">
      <c r="A7" s="497">
        <v>1</v>
      </c>
      <c r="B7" s="497">
        <v>1</v>
      </c>
      <c r="C7" s="497">
        <v>2</v>
      </c>
      <c r="D7" s="497">
        <v>3</v>
      </c>
      <c r="E7" s="497">
        <v>4</v>
      </c>
      <c r="F7" s="497">
        <v>5</v>
      </c>
      <c r="G7" s="497">
        <v>6</v>
      </c>
      <c r="H7" s="497">
        <v>7</v>
      </c>
      <c r="I7" s="497">
        <v>8</v>
      </c>
      <c r="J7" s="497">
        <v>9</v>
      </c>
      <c r="K7" s="497">
        <v>10</v>
      </c>
      <c r="L7" s="497">
        <v>11</v>
      </c>
      <c r="M7" s="497">
        <v>12</v>
      </c>
      <c r="N7" s="497">
        <v>13</v>
      </c>
      <c r="O7" s="497">
        <v>14</v>
      </c>
      <c r="P7" s="497">
        <v>15</v>
      </c>
      <c r="Q7" s="497">
        <v>16</v>
      </c>
      <c r="R7" s="497">
        <v>17</v>
      </c>
      <c r="S7" s="497">
        <v>18</v>
      </c>
    </row>
    <row r="8" spans="1:19" s="207" customFormat="1" ht="15" customHeight="1">
      <c r="A8" s="212">
        <f>IF(G8&gt;=1,1,0)</f>
        <v>0</v>
      </c>
      <c r="B8" s="173" t="str">
        <f>IF(G8&gt;0,A8,"")</f>
        <v/>
      </c>
      <c r="C8" s="212" t="s">
        <v>338</v>
      </c>
      <c r="D8" s="558" t="str">
        <f>Master!$C$5</f>
        <v>PLAN - GIRLS</v>
      </c>
      <c r="E8" s="495" t="s">
        <v>53</v>
      </c>
      <c r="F8" s="494" t="s">
        <v>339</v>
      </c>
      <c r="G8" s="215">
        <f>'Format 1A'!M9</f>
        <v>0</v>
      </c>
      <c r="H8" s="216" t="s">
        <v>373</v>
      </c>
      <c r="I8" s="216" t="s">
        <v>373</v>
      </c>
      <c r="J8" s="216" t="s">
        <v>373</v>
      </c>
      <c r="K8" s="216" t="s">
        <v>373</v>
      </c>
      <c r="L8" s="216" t="s">
        <v>373</v>
      </c>
      <c r="M8" s="216" t="s">
        <v>373</v>
      </c>
      <c r="N8" s="216">
        <f>SUMIF('Formet 8'!E$12:E$119,'Format 1A'!E9,'Formet 8'!BW$12:BW$119)</f>
        <v>0</v>
      </c>
      <c r="O8" s="216">
        <f>SUMIF('Formet 8'!E$12:E$119,'Format 1A'!E9,'Formet 8'!BX$12:BX$119)</f>
        <v>0</v>
      </c>
      <c r="P8" s="216" t="s">
        <v>373</v>
      </c>
      <c r="Q8" s="216" t="s">
        <v>373</v>
      </c>
      <c r="R8" s="216" t="s">
        <v>373</v>
      </c>
      <c r="S8" s="216" t="s">
        <v>373</v>
      </c>
    </row>
    <row r="9" spans="1:19" s="207" customFormat="1" ht="15" customHeight="1">
      <c r="A9" s="709"/>
      <c r="B9" s="173"/>
      <c r="C9" s="709" t="s">
        <v>338</v>
      </c>
      <c r="D9" s="558" t="str">
        <f>Master!$C$5</f>
        <v>PLAN - GIRLS</v>
      </c>
      <c r="E9" s="495" t="s">
        <v>695</v>
      </c>
      <c r="F9" s="494" t="s">
        <v>739</v>
      </c>
      <c r="G9" s="215">
        <f>'Format 1A'!M10</f>
        <v>0</v>
      </c>
      <c r="H9" s="216" t="s">
        <v>373</v>
      </c>
      <c r="I9" s="216" t="s">
        <v>373</v>
      </c>
      <c r="J9" s="216" t="s">
        <v>373</v>
      </c>
      <c r="K9" s="216" t="s">
        <v>373</v>
      </c>
      <c r="L9" s="216" t="s">
        <v>373</v>
      </c>
      <c r="M9" s="216" t="s">
        <v>373</v>
      </c>
      <c r="N9" s="216">
        <f>SUMIF('Formet 8'!E$12:E$119,'Format 1A'!E10,'Formet 8'!BW$12:BW$119)</f>
        <v>0</v>
      </c>
      <c r="O9" s="216">
        <f>SUMIF('Formet 8'!E$12:E$119,'Format 1A'!E10,'Formet 8'!BX$12:BX$119)</f>
        <v>0</v>
      </c>
      <c r="P9" s="216" t="s">
        <v>373</v>
      </c>
      <c r="Q9" s="216" t="s">
        <v>373</v>
      </c>
      <c r="R9" s="216" t="s">
        <v>373</v>
      </c>
      <c r="S9" s="216" t="s">
        <v>373</v>
      </c>
    </row>
    <row r="10" spans="1:19" s="207" customFormat="1" ht="15.75">
      <c r="A10" s="212">
        <f>IF(G10&gt;=1,1,0)+A8</f>
        <v>0</v>
      </c>
      <c r="B10" s="173" t="str">
        <f t="shared" ref="B10:B31" si="0">IF(G10&gt;0,A10,"")</f>
        <v/>
      </c>
      <c r="C10" s="212" t="s">
        <v>338</v>
      </c>
      <c r="D10" s="558" t="str">
        <f>Master!$C$5</f>
        <v>PLAN - GIRLS</v>
      </c>
      <c r="E10" s="495" t="s">
        <v>197</v>
      </c>
      <c r="F10" s="494" t="s">
        <v>739</v>
      </c>
      <c r="G10" s="215">
        <f>'Format 1A'!M11</f>
        <v>0</v>
      </c>
      <c r="H10" s="216" t="s">
        <v>373</v>
      </c>
      <c r="I10" s="216" t="s">
        <v>373</v>
      </c>
      <c r="J10" s="216" t="s">
        <v>373</v>
      </c>
      <c r="K10" s="216" t="s">
        <v>373</v>
      </c>
      <c r="L10" s="216" t="s">
        <v>373</v>
      </c>
      <c r="M10" s="216" t="s">
        <v>373</v>
      </c>
      <c r="N10" s="216">
        <f>SUMIF('Formet 8'!E$12:E$119,'Format 1A'!E11,'Formet 8'!BW$12:BW$119)</f>
        <v>0</v>
      </c>
      <c r="O10" s="216">
        <f>SUMIF('Formet 8'!E$12:E$119,'Format 1A'!E11,'Formet 8'!BX$12:BX$119)</f>
        <v>0</v>
      </c>
      <c r="P10" s="216" t="s">
        <v>373</v>
      </c>
      <c r="Q10" s="216" t="s">
        <v>373</v>
      </c>
      <c r="R10" s="216" t="s">
        <v>373</v>
      </c>
      <c r="S10" s="216" t="s">
        <v>373</v>
      </c>
    </row>
    <row r="11" spans="1:19" s="207" customFormat="1" ht="15.75">
      <c r="A11" s="212">
        <f t="shared" ref="A11:A31" si="1">IF(G11&gt;=1,1,0)+A10</f>
        <v>0</v>
      </c>
      <c r="B11" s="173" t="str">
        <f t="shared" si="0"/>
        <v/>
      </c>
      <c r="C11" s="212" t="s">
        <v>338</v>
      </c>
      <c r="D11" s="558" t="str">
        <f>Master!$C$5</f>
        <v>PLAN - GIRLS</v>
      </c>
      <c r="E11" s="495" t="s">
        <v>199</v>
      </c>
      <c r="F11" s="494" t="s">
        <v>341</v>
      </c>
      <c r="G11" s="215">
        <f>'Format 1A'!M12</f>
        <v>0</v>
      </c>
      <c r="H11" s="216" t="s">
        <v>373</v>
      </c>
      <c r="I11" s="216" t="s">
        <v>373</v>
      </c>
      <c r="J11" s="216" t="s">
        <v>373</v>
      </c>
      <c r="K11" s="216" t="s">
        <v>373</v>
      </c>
      <c r="L11" s="216" t="s">
        <v>373</v>
      </c>
      <c r="M11" s="216" t="s">
        <v>373</v>
      </c>
      <c r="N11" s="216">
        <f>SUMIF('Formet 8'!E$12:E$119,'Format 1A'!E12,'Formet 8'!BW$12:BW$119)</f>
        <v>0</v>
      </c>
      <c r="O11" s="216">
        <f>SUMIF('Formet 8'!E$12:E$119,'Format 1A'!E12,'Formet 8'!BX$12:BX$119)</f>
        <v>0</v>
      </c>
      <c r="P11" s="216" t="s">
        <v>373</v>
      </c>
      <c r="Q11" s="216" t="s">
        <v>373</v>
      </c>
      <c r="R11" s="216" t="s">
        <v>373</v>
      </c>
      <c r="S11" s="216" t="s">
        <v>373</v>
      </c>
    </row>
    <row r="12" spans="1:19" s="207" customFormat="1" ht="15.75">
      <c r="A12" s="212">
        <f t="shared" si="1"/>
        <v>1</v>
      </c>
      <c r="B12" s="173">
        <f t="shared" si="0"/>
        <v>1</v>
      </c>
      <c r="C12" s="212" t="s">
        <v>338</v>
      </c>
      <c r="D12" s="558" t="str">
        <f>Master!$C$5</f>
        <v>PLAN - GIRLS</v>
      </c>
      <c r="E12" s="495" t="s">
        <v>553</v>
      </c>
      <c r="F12" s="494" t="s">
        <v>341</v>
      </c>
      <c r="G12" s="215">
        <f>'Format 1A'!M13</f>
        <v>2</v>
      </c>
      <c r="H12" s="216" t="s">
        <v>373</v>
      </c>
      <c r="I12" s="216" t="s">
        <v>373</v>
      </c>
      <c r="J12" s="216" t="s">
        <v>373</v>
      </c>
      <c r="K12" s="216" t="s">
        <v>373</v>
      </c>
      <c r="L12" s="216" t="s">
        <v>373</v>
      </c>
      <c r="M12" s="216" t="s">
        <v>373</v>
      </c>
      <c r="N12" s="216">
        <f>SUMIF('Formet 8'!E$12:E$119,'Format 1A'!E13,'Formet 8'!BW$12:BW$119)</f>
        <v>0</v>
      </c>
      <c r="O12" s="216">
        <f>SUMIF('Formet 8'!E$12:E$119,'Format 1A'!E13,'Formet 8'!BX$12:BX$119)</f>
        <v>0</v>
      </c>
      <c r="P12" s="216" t="s">
        <v>373</v>
      </c>
      <c r="Q12" s="216" t="s">
        <v>373</v>
      </c>
      <c r="R12" s="216" t="s">
        <v>373</v>
      </c>
      <c r="S12" s="216" t="s">
        <v>373</v>
      </c>
    </row>
    <row r="13" spans="1:19" s="207" customFormat="1" ht="15.75">
      <c r="A13" s="212">
        <f t="shared" si="1"/>
        <v>1</v>
      </c>
      <c r="B13" s="173" t="str">
        <f t="shared" si="0"/>
        <v/>
      </c>
      <c r="C13" s="212" t="s">
        <v>338</v>
      </c>
      <c r="D13" s="558" t="str">
        <f>Master!$C$5</f>
        <v>PLAN - GIRLS</v>
      </c>
      <c r="E13" s="496" t="s">
        <v>374</v>
      </c>
      <c r="F13" s="494" t="s">
        <v>341</v>
      </c>
      <c r="G13" s="215">
        <f>'Format 1A'!M14</f>
        <v>0</v>
      </c>
      <c r="H13" s="216" t="s">
        <v>373</v>
      </c>
      <c r="I13" s="216" t="s">
        <v>373</v>
      </c>
      <c r="J13" s="216" t="s">
        <v>373</v>
      </c>
      <c r="K13" s="216" t="s">
        <v>373</v>
      </c>
      <c r="L13" s="216" t="s">
        <v>373</v>
      </c>
      <c r="M13" s="216" t="s">
        <v>373</v>
      </c>
      <c r="N13" s="216">
        <f>SUMIF('Formet 8'!E$12:E$119,'Format 1A'!E14,'Formet 8'!BW$12:BW$119)</f>
        <v>0</v>
      </c>
      <c r="O13" s="216">
        <f>SUMIF('Formet 8'!E$12:E$119,'Format 1A'!E14,'Formet 8'!BX$12:BX$119)</f>
        <v>0</v>
      </c>
      <c r="P13" s="216" t="s">
        <v>373</v>
      </c>
      <c r="Q13" s="216" t="s">
        <v>373</v>
      </c>
      <c r="R13" s="216" t="s">
        <v>373</v>
      </c>
      <c r="S13" s="216" t="s">
        <v>373</v>
      </c>
    </row>
    <row r="14" spans="1:19" s="207" customFormat="1" ht="15.75">
      <c r="A14" s="212">
        <f t="shared" si="1"/>
        <v>1</v>
      </c>
      <c r="B14" s="173" t="str">
        <f t="shared" si="0"/>
        <v/>
      </c>
      <c r="C14" s="212" t="s">
        <v>338</v>
      </c>
      <c r="D14" s="558" t="str">
        <f>Master!$C$5</f>
        <v>PLAN - GIRLS</v>
      </c>
      <c r="E14" s="495" t="s">
        <v>201</v>
      </c>
      <c r="F14" s="494" t="s">
        <v>341</v>
      </c>
      <c r="G14" s="215">
        <f>'Format 1A'!M15</f>
        <v>0</v>
      </c>
      <c r="H14" s="216" t="s">
        <v>373</v>
      </c>
      <c r="I14" s="216" t="s">
        <v>373</v>
      </c>
      <c r="J14" s="216" t="s">
        <v>373</v>
      </c>
      <c r="K14" s="216" t="s">
        <v>373</v>
      </c>
      <c r="L14" s="216" t="s">
        <v>373</v>
      </c>
      <c r="M14" s="216" t="s">
        <v>373</v>
      </c>
      <c r="N14" s="216">
        <f>SUMIF('Formet 8'!E$12:E$119,'Format 1A'!E15,'Formet 8'!BW$12:BW$119)</f>
        <v>0</v>
      </c>
      <c r="O14" s="216">
        <f>SUMIF('Formet 8'!E$12:E$119,'Format 1A'!E15,'Formet 8'!BX$12:BX$119)</f>
        <v>0</v>
      </c>
      <c r="P14" s="216" t="s">
        <v>373</v>
      </c>
      <c r="Q14" s="216" t="s">
        <v>373</v>
      </c>
      <c r="R14" s="216" t="s">
        <v>373</v>
      </c>
      <c r="S14" s="216" t="s">
        <v>373</v>
      </c>
    </row>
    <row r="15" spans="1:19" s="207" customFormat="1" ht="15.75">
      <c r="A15" s="212">
        <f t="shared" si="1"/>
        <v>1</v>
      </c>
      <c r="B15" s="173" t="str">
        <f t="shared" si="0"/>
        <v/>
      </c>
      <c r="C15" s="212" t="s">
        <v>338</v>
      </c>
      <c r="D15" s="558" t="str">
        <f>Master!$C$5</f>
        <v>PLAN - GIRLS</v>
      </c>
      <c r="E15" s="495" t="s">
        <v>203</v>
      </c>
      <c r="F15" s="494" t="s">
        <v>341</v>
      </c>
      <c r="G15" s="215">
        <f>'Format 1A'!M16</f>
        <v>0</v>
      </c>
      <c r="H15" s="216" t="s">
        <v>373</v>
      </c>
      <c r="I15" s="216" t="s">
        <v>373</v>
      </c>
      <c r="J15" s="216" t="s">
        <v>373</v>
      </c>
      <c r="K15" s="216" t="s">
        <v>373</v>
      </c>
      <c r="L15" s="216" t="s">
        <v>373</v>
      </c>
      <c r="M15" s="216" t="s">
        <v>373</v>
      </c>
      <c r="N15" s="216">
        <f>SUMIF('Formet 8'!E$12:E$119,'Format 1A'!E16,'Formet 8'!BW$12:BW$119)</f>
        <v>0</v>
      </c>
      <c r="O15" s="216">
        <f>SUMIF('Formet 8'!E$12:E$119,'Format 1A'!E16,'Formet 8'!BX$12:BX$119)</f>
        <v>0</v>
      </c>
      <c r="P15" s="216" t="s">
        <v>373</v>
      </c>
      <c r="Q15" s="216" t="s">
        <v>373</v>
      </c>
      <c r="R15" s="216" t="s">
        <v>373</v>
      </c>
      <c r="S15" s="216" t="s">
        <v>373</v>
      </c>
    </row>
    <row r="16" spans="1:19" s="207" customFormat="1" ht="15.75">
      <c r="A16" s="212">
        <f t="shared" si="1"/>
        <v>1</v>
      </c>
      <c r="B16" s="173" t="str">
        <f t="shared" si="0"/>
        <v/>
      </c>
      <c r="C16" s="212" t="s">
        <v>338</v>
      </c>
      <c r="D16" s="558" t="str">
        <f>Master!$C$5</f>
        <v>PLAN - GIRLS</v>
      </c>
      <c r="E16" s="495" t="s">
        <v>206</v>
      </c>
      <c r="F16" s="494" t="s">
        <v>341</v>
      </c>
      <c r="G16" s="215">
        <f>'Format 1A'!M17</f>
        <v>0</v>
      </c>
      <c r="H16" s="216" t="s">
        <v>373</v>
      </c>
      <c r="I16" s="216" t="s">
        <v>373</v>
      </c>
      <c r="J16" s="216" t="s">
        <v>373</v>
      </c>
      <c r="K16" s="216" t="s">
        <v>373</v>
      </c>
      <c r="L16" s="216" t="s">
        <v>373</v>
      </c>
      <c r="M16" s="216" t="s">
        <v>373</v>
      </c>
      <c r="N16" s="216">
        <f>SUMIF('Formet 8'!E$12:E$119,'Format 1A'!E17,'Formet 8'!BW$12:BW$119)</f>
        <v>0</v>
      </c>
      <c r="O16" s="216">
        <f>SUMIF('Formet 8'!E$12:E$119,'Format 1A'!E17,'Formet 8'!BX$12:BX$119)</f>
        <v>0</v>
      </c>
      <c r="P16" s="216" t="s">
        <v>373</v>
      </c>
      <c r="Q16" s="216" t="s">
        <v>373</v>
      </c>
      <c r="R16" s="216" t="s">
        <v>373</v>
      </c>
      <c r="S16" s="216" t="s">
        <v>373</v>
      </c>
    </row>
    <row r="17" spans="1:19" s="207" customFormat="1" ht="15.75">
      <c r="A17" s="212">
        <f t="shared" si="1"/>
        <v>1</v>
      </c>
      <c r="B17" s="173" t="str">
        <f t="shared" si="0"/>
        <v/>
      </c>
      <c r="C17" s="212" t="s">
        <v>338</v>
      </c>
      <c r="D17" s="558" t="str">
        <f>Master!$C$5</f>
        <v>PLAN - GIRLS</v>
      </c>
      <c r="E17" s="495" t="s">
        <v>219</v>
      </c>
      <c r="F17" s="494" t="s">
        <v>342</v>
      </c>
      <c r="G17" s="215">
        <f>'Format 1A'!M18</f>
        <v>0</v>
      </c>
      <c r="H17" s="216" t="s">
        <v>373</v>
      </c>
      <c r="I17" s="216" t="s">
        <v>373</v>
      </c>
      <c r="J17" s="216" t="s">
        <v>373</v>
      </c>
      <c r="K17" s="216" t="s">
        <v>373</v>
      </c>
      <c r="L17" s="216" t="s">
        <v>373</v>
      </c>
      <c r="M17" s="216" t="s">
        <v>373</v>
      </c>
      <c r="N17" s="216">
        <f>SUMIF('Formet 8'!E$12:E$119,'Format 1A'!E18,'Formet 8'!BW$12:BW$119)</f>
        <v>0</v>
      </c>
      <c r="O17" s="216">
        <f>SUMIF('Formet 8'!E$12:E$119,'Format 1A'!E18,'Formet 8'!BX$12:BX$119)</f>
        <v>0</v>
      </c>
      <c r="P17" s="216" t="s">
        <v>373</v>
      </c>
      <c r="Q17" s="216" t="s">
        <v>373</v>
      </c>
      <c r="R17" s="216" t="s">
        <v>373</v>
      </c>
      <c r="S17" s="216" t="s">
        <v>373</v>
      </c>
    </row>
    <row r="18" spans="1:19" s="207" customFormat="1" ht="15.75">
      <c r="A18" s="212">
        <f t="shared" si="1"/>
        <v>1</v>
      </c>
      <c r="B18" s="173" t="str">
        <f t="shared" si="0"/>
        <v/>
      </c>
      <c r="C18" s="212" t="s">
        <v>338</v>
      </c>
      <c r="D18" s="558" t="str">
        <f>Master!$C$5</f>
        <v>PLAN - GIRLS</v>
      </c>
      <c r="E18" s="495" t="s">
        <v>60</v>
      </c>
      <c r="F18" s="494" t="s">
        <v>343</v>
      </c>
      <c r="G18" s="215">
        <f>'Format 1A'!M19</f>
        <v>0</v>
      </c>
      <c r="H18" s="216" t="s">
        <v>373</v>
      </c>
      <c r="I18" s="216" t="s">
        <v>373</v>
      </c>
      <c r="J18" s="216" t="s">
        <v>373</v>
      </c>
      <c r="K18" s="216" t="s">
        <v>373</v>
      </c>
      <c r="L18" s="216" t="s">
        <v>373</v>
      </c>
      <c r="M18" s="216" t="s">
        <v>373</v>
      </c>
      <c r="N18" s="216">
        <f>SUMIF('Formet 8'!E$12:E$119,'Format 1A'!E19,'Formet 8'!BW$12:BW$119)</f>
        <v>0</v>
      </c>
      <c r="O18" s="216">
        <f>SUMIF('Formet 8'!E$12:E$119,'Format 1A'!E19,'Formet 8'!BX$12:BX$119)</f>
        <v>0</v>
      </c>
      <c r="P18" s="216" t="s">
        <v>373</v>
      </c>
      <c r="Q18" s="216" t="s">
        <v>373</v>
      </c>
      <c r="R18" s="216" t="s">
        <v>373</v>
      </c>
      <c r="S18" s="216" t="s">
        <v>373</v>
      </c>
    </row>
    <row r="19" spans="1:19" s="207" customFormat="1" ht="15.75">
      <c r="A19" s="212">
        <f t="shared" si="1"/>
        <v>1</v>
      </c>
      <c r="B19" s="173" t="str">
        <f t="shared" si="0"/>
        <v/>
      </c>
      <c r="C19" s="212" t="s">
        <v>338</v>
      </c>
      <c r="D19" s="558" t="str">
        <f>Master!$C$5</f>
        <v>PLAN - GIRLS</v>
      </c>
      <c r="E19" s="496" t="s">
        <v>211</v>
      </c>
      <c r="F19" s="494" t="s">
        <v>343</v>
      </c>
      <c r="G19" s="215">
        <f>'Format 1A'!M20</f>
        <v>0</v>
      </c>
      <c r="H19" s="216" t="s">
        <v>373</v>
      </c>
      <c r="I19" s="216" t="s">
        <v>373</v>
      </c>
      <c r="J19" s="216" t="s">
        <v>373</v>
      </c>
      <c r="K19" s="216" t="s">
        <v>373</v>
      </c>
      <c r="L19" s="216" t="s">
        <v>373</v>
      </c>
      <c r="M19" s="216" t="s">
        <v>373</v>
      </c>
      <c r="N19" s="216">
        <f>SUMIF('Formet 8'!E$12:E$119,'Format 1A'!E20,'Formet 8'!BW$12:BW$119)</f>
        <v>0</v>
      </c>
      <c r="O19" s="216">
        <f>SUMIF('Formet 8'!E$12:E$119,'Format 1A'!E20,'Formet 8'!BX$12:BX$119)</f>
        <v>0</v>
      </c>
      <c r="P19" s="216" t="s">
        <v>373</v>
      </c>
      <c r="Q19" s="216" t="s">
        <v>373</v>
      </c>
      <c r="R19" s="216" t="s">
        <v>373</v>
      </c>
      <c r="S19" s="216" t="s">
        <v>373</v>
      </c>
    </row>
    <row r="20" spans="1:19" s="207" customFormat="1" ht="15.75">
      <c r="A20" s="212">
        <f t="shared" si="1"/>
        <v>1</v>
      </c>
      <c r="B20" s="173" t="str">
        <f t="shared" si="0"/>
        <v/>
      </c>
      <c r="C20" s="212" t="s">
        <v>338</v>
      </c>
      <c r="D20" s="558" t="str">
        <f>Master!$C$5</f>
        <v>PLAN - GIRLS</v>
      </c>
      <c r="E20" s="495" t="s">
        <v>63</v>
      </c>
      <c r="F20" s="494" t="s">
        <v>343</v>
      </c>
      <c r="G20" s="215">
        <f>'Format 1A'!M21</f>
        <v>0</v>
      </c>
      <c r="H20" s="216" t="s">
        <v>373</v>
      </c>
      <c r="I20" s="216" t="s">
        <v>373</v>
      </c>
      <c r="J20" s="216" t="s">
        <v>373</v>
      </c>
      <c r="K20" s="216" t="s">
        <v>373</v>
      </c>
      <c r="L20" s="216" t="s">
        <v>373</v>
      </c>
      <c r="M20" s="216" t="s">
        <v>373</v>
      </c>
      <c r="N20" s="216">
        <f>SUMIF('Formet 8'!E$12:E$119,'Format 1A'!E21,'Formet 8'!BW$12:BW$119)</f>
        <v>0</v>
      </c>
      <c r="O20" s="216">
        <f>SUMIF('Formet 8'!E$12:E$119,'Format 1A'!E21,'Formet 8'!BX$12:BX$119)</f>
        <v>0</v>
      </c>
      <c r="P20" s="216" t="s">
        <v>373</v>
      </c>
      <c r="Q20" s="216" t="s">
        <v>373</v>
      </c>
      <c r="R20" s="216" t="s">
        <v>373</v>
      </c>
      <c r="S20" s="216" t="s">
        <v>373</v>
      </c>
    </row>
    <row r="21" spans="1:19" s="207" customFormat="1" ht="15.75">
      <c r="A21" s="212">
        <f t="shared" si="1"/>
        <v>1</v>
      </c>
      <c r="B21" s="173" t="str">
        <f t="shared" si="0"/>
        <v/>
      </c>
      <c r="C21" s="212" t="s">
        <v>338</v>
      </c>
      <c r="D21" s="558" t="str">
        <f>Master!$C$5</f>
        <v>PLAN - GIRLS</v>
      </c>
      <c r="E21" s="495" t="s">
        <v>221</v>
      </c>
      <c r="F21" s="494" t="s">
        <v>344</v>
      </c>
      <c r="G21" s="215">
        <f>'Format 1A'!M22</f>
        <v>0</v>
      </c>
      <c r="H21" s="216" t="s">
        <v>373</v>
      </c>
      <c r="I21" s="216" t="s">
        <v>373</v>
      </c>
      <c r="J21" s="216" t="s">
        <v>373</v>
      </c>
      <c r="K21" s="216" t="s">
        <v>373</v>
      </c>
      <c r="L21" s="216" t="s">
        <v>373</v>
      </c>
      <c r="M21" s="216" t="s">
        <v>373</v>
      </c>
      <c r="N21" s="216">
        <f>SUMIF('Formet 8'!E$12:E$119,'Format 1A'!E22,'Formet 8'!BW$12:BW$119)</f>
        <v>0</v>
      </c>
      <c r="O21" s="216">
        <f>SUMIF('Formet 8'!E$12:E$119,'Format 1A'!E22,'Formet 8'!BX$12:BX$119)</f>
        <v>0</v>
      </c>
      <c r="P21" s="216" t="s">
        <v>373</v>
      </c>
      <c r="Q21" s="216" t="s">
        <v>373</v>
      </c>
      <c r="R21" s="216" t="s">
        <v>373</v>
      </c>
      <c r="S21" s="216" t="s">
        <v>373</v>
      </c>
    </row>
    <row r="22" spans="1:19" s="207" customFormat="1" ht="15.75">
      <c r="A22" s="212">
        <f t="shared" si="1"/>
        <v>1</v>
      </c>
      <c r="B22" s="173" t="str">
        <f t="shared" si="0"/>
        <v/>
      </c>
      <c r="C22" s="212" t="s">
        <v>338</v>
      </c>
      <c r="D22" s="558" t="str">
        <f>Master!$C$5</f>
        <v>PLAN - GIRLS</v>
      </c>
      <c r="E22" s="495" t="s">
        <v>223</v>
      </c>
      <c r="F22" s="494" t="s">
        <v>344</v>
      </c>
      <c r="G22" s="215">
        <f>'Format 1A'!M23</f>
        <v>0</v>
      </c>
      <c r="H22" s="216" t="s">
        <v>373</v>
      </c>
      <c r="I22" s="216" t="s">
        <v>373</v>
      </c>
      <c r="J22" s="216" t="s">
        <v>373</v>
      </c>
      <c r="K22" s="216" t="s">
        <v>373</v>
      </c>
      <c r="L22" s="216" t="s">
        <v>373</v>
      </c>
      <c r="M22" s="216" t="s">
        <v>373</v>
      </c>
      <c r="N22" s="216">
        <f>SUMIF('Formet 8'!E$12:E$119,'Format 1A'!E23,'Formet 8'!BW$12:BW$119)</f>
        <v>0</v>
      </c>
      <c r="O22" s="216">
        <f>SUMIF('Formet 8'!E$12:E$119,'Format 1A'!E23,'Formet 8'!BX$12:BX$119)</f>
        <v>0</v>
      </c>
      <c r="P22" s="216" t="s">
        <v>373</v>
      </c>
      <c r="Q22" s="216" t="s">
        <v>373</v>
      </c>
      <c r="R22" s="216" t="s">
        <v>373</v>
      </c>
      <c r="S22" s="216" t="s">
        <v>373</v>
      </c>
    </row>
    <row r="23" spans="1:19" s="207" customFormat="1" ht="15.75">
      <c r="A23" s="212">
        <f t="shared" si="1"/>
        <v>1</v>
      </c>
      <c r="B23" s="173" t="str">
        <f t="shared" si="0"/>
        <v/>
      </c>
      <c r="C23" s="212" t="s">
        <v>338</v>
      </c>
      <c r="D23" s="558" t="str">
        <f>Master!$C$5</f>
        <v>PLAN - GIRLS</v>
      </c>
      <c r="E23" s="496" t="s">
        <v>375</v>
      </c>
      <c r="F23" s="494" t="s">
        <v>342</v>
      </c>
      <c r="G23" s="215">
        <f>'Format 1A'!M24</f>
        <v>0</v>
      </c>
      <c r="H23" s="216" t="s">
        <v>373</v>
      </c>
      <c r="I23" s="216" t="s">
        <v>373</v>
      </c>
      <c r="J23" s="216" t="s">
        <v>373</v>
      </c>
      <c r="K23" s="216" t="s">
        <v>373</v>
      </c>
      <c r="L23" s="216" t="s">
        <v>373</v>
      </c>
      <c r="M23" s="216" t="s">
        <v>373</v>
      </c>
      <c r="N23" s="216">
        <f>SUMIF('Formet 8'!E$12:E$119,'Format 1A'!E24,'Formet 8'!BW$12:BW$119)</f>
        <v>0</v>
      </c>
      <c r="O23" s="216">
        <f>SUMIF('Formet 8'!E$12:E$119,'Format 1A'!E24,'Formet 8'!BX$12:BX$119)</f>
        <v>0</v>
      </c>
      <c r="P23" s="216" t="s">
        <v>373</v>
      </c>
      <c r="Q23" s="216" t="s">
        <v>373</v>
      </c>
      <c r="R23" s="216" t="s">
        <v>373</v>
      </c>
      <c r="S23" s="216" t="s">
        <v>373</v>
      </c>
    </row>
    <row r="24" spans="1:19" s="207" customFormat="1" ht="15.75">
      <c r="A24" s="212">
        <f t="shared" si="1"/>
        <v>2</v>
      </c>
      <c r="B24" s="173">
        <f>IF(G24&gt;0,A24,"")</f>
        <v>2</v>
      </c>
      <c r="C24" s="212" t="s">
        <v>338</v>
      </c>
      <c r="D24" s="558" t="str">
        <f>Master!$C$5</f>
        <v>PLAN - GIRLS</v>
      </c>
      <c r="E24" s="495" t="s">
        <v>62</v>
      </c>
      <c r="F24" s="494" t="s">
        <v>342</v>
      </c>
      <c r="G24" s="215">
        <f>'Format 1A'!M25</f>
        <v>1</v>
      </c>
      <c r="H24" s="216" t="s">
        <v>373</v>
      </c>
      <c r="I24" s="216" t="s">
        <v>373</v>
      </c>
      <c r="J24" s="216" t="s">
        <v>373</v>
      </c>
      <c r="K24" s="216" t="s">
        <v>373</v>
      </c>
      <c r="L24" s="216" t="s">
        <v>373</v>
      </c>
      <c r="M24" s="216" t="s">
        <v>373</v>
      </c>
      <c r="N24" s="216">
        <f>SUMIF('Formet 8'!E$12:E$119,'Format 1A'!E25,'Formet 8'!BW$12:BW$119)</f>
        <v>1</v>
      </c>
      <c r="O24" s="216">
        <f>SUMIF('Formet 8'!E$12:E$119,'Format 1A'!E25,'Formet 8'!BX$12:BX$119)</f>
        <v>34600</v>
      </c>
      <c r="P24" s="216" t="s">
        <v>373</v>
      </c>
      <c r="Q24" s="216" t="s">
        <v>373</v>
      </c>
      <c r="R24" s="216" t="s">
        <v>373</v>
      </c>
      <c r="S24" s="216" t="s">
        <v>373</v>
      </c>
    </row>
    <row r="25" spans="1:19" s="207" customFormat="1" ht="15.75">
      <c r="A25" s="212">
        <f t="shared" si="1"/>
        <v>3</v>
      </c>
      <c r="B25" s="173">
        <f t="shared" si="0"/>
        <v>3</v>
      </c>
      <c r="C25" s="212" t="s">
        <v>338</v>
      </c>
      <c r="D25" s="558" t="str">
        <f>Master!$C$5</f>
        <v>PLAN - GIRLS</v>
      </c>
      <c r="E25" s="495" t="s">
        <v>214</v>
      </c>
      <c r="F25" s="494" t="s">
        <v>342</v>
      </c>
      <c r="G25" s="215">
        <f>'Format 1A'!M26</f>
        <v>1</v>
      </c>
      <c r="H25" s="216" t="s">
        <v>373</v>
      </c>
      <c r="I25" s="216" t="s">
        <v>373</v>
      </c>
      <c r="J25" s="216" t="s">
        <v>373</v>
      </c>
      <c r="K25" s="216" t="s">
        <v>373</v>
      </c>
      <c r="L25" s="216" t="s">
        <v>373</v>
      </c>
      <c r="M25" s="216" t="s">
        <v>373</v>
      </c>
      <c r="N25" s="216">
        <f>SUMIF('Formet 8'!E$12:E$119,'Format 1A'!E26,'Formet 8'!BW$12:BW$119)</f>
        <v>1</v>
      </c>
      <c r="O25" s="216">
        <f>SUMIF('Formet 8'!E$12:E$119,'Format 1A'!E26,'Formet 8'!BX$12:BX$119)</f>
        <v>34600</v>
      </c>
      <c r="P25" s="216" t="s">
        <v>373</v>
      </c>
      <c r="Q25" s="216" t="s">
        <v>373</v>
      </c>
      <c r="R25" s="216" t="s">
        <v>373</v>
      </c>
      <c r="S25" s="216" t="s">
        <v>373</v>
      </c>
    </row>
    <row r="26" spans="1:19" s="207" customFormat="1" ht="15.75">
      <c r="A26" s="212">
        <f t="shared" si="1"/>
        <v>3</v>
      </c>
      <c r="B26" s="173" t="str">
        <f t="shared" si="0"/>
        <v/>
      </c>
      <c r="C26" s="212" t="s">
        <v>338</v>
      </c>
      <c r="D26" s="558" t="str">
        <f>Master!$C$5</f>
        <v>PLAN - GIRLS</v>
      </c>
      <c r="E26" s="495" t="s">
        <v>221</v>
      </c>
      <c r="F26" s="494" t="s">
        <v>344</v>
      </c>
      <c r="G26" s="215">
        <f>'Format 1A'!M27</f>
        <v>0</v>
      </c>
      <c r="H26" s="216" t="s">
        <v>373</v>
      </c>
      <c r="I26" s="216" t="s">
        <v>373</v>
      </c>
      <c r="J26" s="216" t="s">
        <v>373</v>
      </c>
      <c r="K26" s="216" t="s">
        <v>373</v>
      </c>
      <c r="L26" s="216" t="s">
        <v>373</v>
      </c>
      <c r="M26" s="216" t="s">
        <v>373</v>
      </c>
      <c r="N26" s="216">
        <f>SUMIF('Formet 8'!E$12:E$119,'Format 1A'!E27,'Formet 8'!BW$12:BW$119)</f>
        <v>0</v>
      </c>
      <c r="O26" s="216">
        <f>SUMIF('Formet 8'!E$12:E$119,'Format 1A'!E27,'Formet 8'!BX$12:BX$119)</f>
        <v>0</v>
      </c>
      <c r="P26" s="216" t="s">
        <v>373</v>
      </c>
      <c r="Q26" s="216" t="s">
        <v>373</v>
      </c>
      <c r="R26" s="216" t="s">
        <v>373</v>
      </c>
      <c r="S26" s="216" t="s">
        <v>373</v>
      </c>
    </row>
    <row r="27" spans="1:19" s="207" customFormat="1" ht="15.75">
      <c r="A27" s="212">
        <f t="shared" si="1"/>
        <v>3</v>
      </c>
      <c r="B27" s="173" t="str">
        <f t="shared" si="0"/>
        <v/>
      </c>
      <c r="C27" s="212" t="s">
        <v>338</v>
      </c>
      <c r="D27" s="558" t="str">
        <f>Master!$C$5</f>
        <v>PLAN - GIRLS</v>
      </c>
      <c r="E27" s="495" t="s">
        <v>64</v>
      </c>
      <c r="F27" s="494" t="s">
        <v>345</v>
      </c>
      <c r="G27" s="215">
        <f>'Format 1A'!M28</f>
        <v>0</v>
      </c>
      <c r="H27" s="216" t="s">
        <v>373</v>
      </c>
      <c r="I27" s="216" t="s">
        <v>373</v>
      </c>
      <c r="J27" s="216" t="s">
        <v>373</v>
      </c>
      <c r="K27" s="216" t="s">
        <v>373</v>
      </c>
      <c r="L27" s="216" t="s">
        <v>373</v>
      </c>
      <c r="M27" s="216" t="s">
        <v>373</v>
      </c>
      <c r="N27" s="216">
        <f>SUMIF('Formet 8'!E$12:E$119,'Format 1A'!E28,'Formet 8'!BW$12:BW$119)</f>
        <v>0</v>
      </c>
      <c r="O27" s="216">
        <f>SUMIF('Formet 8'!E$12:E$119,'Format 1A'!E28,'Formet 8'!BX$12:BX$119)</f>
        <v>0</v>
      </c>
      <c r="P27" s="216" t="s">
        <v>373</v>
      </c>
      <c r="Q27" s="216" t="s">
        <v>373</v>
      </c>
      <c r="R27" s="216" t="s">
        <v>373</v>
      </c>
      <c r="S27" s="216" t="s">
        <v>373</v>
      </c>
    </row>
    <row r="28" spans="1:19" s="207" customFormat="1" ht="15.75">
      <c r="A28" s="212">
        <f t="shared" si="1"/>
        <v>3</v>
      </c>
      <c r="B28" s="173" t="str">
        <f t="shared" si="0"/>
        <v/>
      </c>
      <c r="C28" s="212" t="s">
        <v>338</v>
      </c>
      <c r="D28" s="558" t="str">
        <f>Master!$C$5</f>
        <v>PLAN - GIRLS</v>
      </c>
      <c r="E28" s="495" t="s">
        <v>554</v>
      </c>
      <c r="F28" s="494" t="s">
        <v>345</v>
      </c>
      <c r="G28" s="215">
        <f>'Format 1A'!M29</f>
        <v>0</v>
      </c>
      <c r="H28" s="216" t="s">
        <v>373</v>
      </c>
      <c r="I28" s="216" t="s">
        <v>373</v>
      </c>
      <c r="J28" s="216" t="s">
        <v>373</v>
      </c>
      <c r="K28" s="216" t="s">
        <v>373</v>
      </c>
      <c r="L28" s="216" t="s">
        <v>373</v>
      </c>
      <c r="M28" s="216" t="s">
        <v>373</v>
      </c>
      <c r="N28" s="216">
        <f>SUMIF('Formet 8'!E$12:E$119,'Format 1A'!E29,'Formet 8'!BW$12:BW$119)</f>
        <v>0</v>
      </c>
      <c r="O28" s="216">
        <f>SUMIF('Formet 8'!E$12:E$119,'Format 1A'!E29,'Formet 8'!BX$12:BX$119)</f>
        <v>0</v>
      </c>
      <c r="P28" s="216" t="s">
        <v>373</v>
      </c>
      <c r="Q28" s="216" t="s">
        <v>373</v>
      </c>
      <c r="R28" s="216" t="s">
        <v>373</v>
      </c>
      <c r="S28" s="216" t="s">
        <v>373</v>
      </c>
    </row>
    <row r="29" spans="1:19" s="207" customFormat="1" ht="15.75">
      <c r="A29" s="212">
        <f t="shared" si="1"/>
        <v>3</v>
      </c>
      <c r="B29" s="173" t="str">
        <f t="shared" si="0"/>
        <v/>
      </c>
      <c r="C29" s="212" t="s">
        <v>338</v>
      </c>
      <c r="D29" s="558" t="str">
        <f>Master!$C$5</f>
        <v>PLAN - GIRLS</v>
      </c>
      <c r="E29" s="495" t="s">
        <v>231</v>
      </c>
      <c r="F29" s="494" t="s">
        <v>346</v>
      </c>
      <c r="G29" s="215">
        <f>'Format 1A'!M30</f>
        <v>0</v>
      </c>
      <c r="H29" s="216" t="s">
        <v>373</v>
      </c>
      <c r="I29" s="216" t="s">
        <v>373</v>
      </c>
      <c r="J29" s="216" t="s">
        <v>373</v>
      </c>
      <c r="K29" s="216" t="s">
        <v>373</v>
      </c>
      <c r="L29" s="216" t="s">
        <v>373</v>
      </c>
      <c r="M29" s="216" t="s">
        <v>373</v>
      </c>
      <c r="N29" s="216">
        <f>SUMIF('Formet 8'!E$12:E$119,'Format 1A'!E30,'Formet 8'!BW$12:BW$119)</f>
        <v>0</v>
      </c>
      <c r="O29" s="216">
        <f>SUMIF('Formet 8'!E$12:E$119,'Format 1A'!E30,'Formet 8'!BX$12:BX$119)</f>
        <v>0</v>
      </c>
      <c r="P29" s="216" t="s">
        <v>373</v>
      </c>
      <c r="Q29" s="216" t="s">
        <v>373</v>
      </c>
      <c r="R29" s="216" t="s">
        <v>373</v>
      </c>
      <c r="S29" s="216" t="s">
        <v>373</v>
      </c>
    </row>
    <row r="30" spans="1:19" s="207" customFormat="1" ht="15.75">
      <c r="A30" s="212">
        <f t="shared" si="1"/>
        <v>3</v>
      </c>
      <c r="B30" s="173" t="str">
        <f t="shared" si="0"/>
        <v/>
      </c>
      <c r="C30" s="212" t="s">
        <v>338</v>
      </c>
      <c r="D30" s="558" t="str">
        <f>Master!$C$5</f>
        <v>PLAN - GIRLS</v>
      </c>
      <c r="E30" s="495" t="s">
        <v>229</v>
      </c>
      <c r="F30" s="494" t="s">
        <v>346</v>
      </c>
      <c r="G30" s="215">
        <f>'Format 1A'!M31</f>
        <v>0</v>
      </c>
      <c r="H30" s="216" t="s">
        <v>373</v>
      </c>
      <c r="I30" s="216" t="s">
        <v>373</v>
      </c>
      <c r="J30" s="216" t="s">
        <v>373</v>
      </c>
      <c r="K30" s="216" t="s">
        <v>373</v>
      </c>
      <c r="L30" s="216" t="s">
        <v>373</v>
      </c>
      <c r="M30" s="216" t="s">
        <v>373</v>
      </c>
      <c r="N30" s="216">
        <f>SUMIF('Formet 8'!E$12:E$119,'Format 1A'!E31,'Formet 8'!BW$12:BW$119)</f>
        <v>0</v>
      </c>
      <c r="O30" s="216">
        <f>SUMIF('Formet 8'!E$12:E$119,'Format 1A'!E31,'Formet 8'!BX$12:BX$119)</f>
        <v>0</v>
      </c>
      <c r="P30" s="216" t="s">
        <v>373</v>
      </c>
      <c r="Q30" s="216" t="s">
        <v>373</v>
      </c>
      <c r="R30" s="216" t="s">
        <v>373</v>
      </c>
      <c r="S30" s="216" t="s">
        <v>373</v>
      </c>
    </row>
    <row r="31" spans="1:19" s="207" customFormat="1" ht="15.75">
      <c r="A31" s="212">
        <f t="shared" si="1"/>
        <v>4</v>
      </c>
      <c r="B31" s="173">
        <f t="shared" si="0"/>
        <v>4</v>
      </c>
      <c r="C31" s="212" t="s">
        <v>338</v>
      </c>
      <c r="D31" s="558" t="str">
        <f>Master!$C$5</f>
        <v>PLAN - GIRLS</v>
      </c>
      <c r="E31" s="495" t="s">
        <v>65</v>
      </c>
      <c r="F31" s="494" t="s">
        <v>346</v>
      </c>
      <c r="G31" s="215">
        <f>'Format 1A'!M32</f>
        <v>2</v>
      </c>
      <c r="H31" s="216" t="s">
        <v>373</v>
      </c>
      <c r="I31" s="216" t="s">
        <v>373</v>
      </c>
      <c r="J31" s="216" t="s">
        <v>373</v>
      </c>
      <c r="K31" s="216" t="s">
        <v>373</v>
      </c>
      <c r="L31" s="216" t="s">
        <v>373</v>
      </c>
      <c r="M31" s="216" t="s">
        <v>373</v>
      </c>
      <c r="N31" s="216">
        <f>SUMIF('Formet 8'!E$12:E$119,'Format 1A'!E32,'Formet 8'!BW$12:BW$119)</f>
        <v>0</v>
      </c>
      <c r="O31" s="216">
        <f>SUMIF('Formet 8'!E$12:E$119,'Format 1A'!E32,'Formet 8'!BX$12:BX$119)</f>
        <v>0</v>
      </c>
      <c r="P31" s="216" t="s">
        <v>373</v>
      </c>
      <c r="Q31" s="216" t="s">
        <v>373</v>
      </c>
      <c r="R31" s="216" t="s">
        <v>373</v>
      </c>
      <c r="S31" s="216" t="s">
        <v>373</v>
      </c>
    </row>
    <row r="32" spans="1:19" s="208" customFormat="1" ht="15.75">
      <c r="A32" s="959" t="s">
        <v>347</v>
      </c>
      <c r="B32" s="960"/>
      <c r="C32" s="960"/>
      <c r="D32" s="960"/>
      <c r="E32" s="961"/>
      <c r="F32" s="217"/>
      <c r="G32" s="218">
        <f>SUM(G8:G31)</f>
        <v>6</v>
      </c>
      <c r="H32" s="219" t="s">
        <v>373</v>
      </c>
      <c r="I32" s="219" t="s">
        <v>373</v>
      </c>
      <c r="J32" s="219" t="s">
        <v>373</v>
      </c>
      <c r="K32" s="219" t="s">
        <v>373</v>
      </c>
      <c r="L32" s="219" t="s">
        <v>373</v>
      </c>
      <c r="M32" s="219" t="s">
        <v>373</v>
      </c>
      <c r="N32" s="218">
        <f t="shared" ref="N32:O32" si="2">SUM(N8:N31)</f>
        <v>2</v>
      </c>
      <c r="O32" s="218">
        <f t="shared" si="2"/>
        <v>69200</v>
      </c>
      <c r="P32" s="219" t="s">
        <v>373</v>
      </c>
      <c r="Q32" s="219" t="s">
        <v>373</v>
      </c>
      <c r="R32" s="219" t="s">
        <v>373</v>
      </c>
      <c r="S32" s="219" t="s">
        <v>373</v>
      </c>
    </row>
    <row r="33" spans="1:19">
      <c r="A33" s="108"/>
      <c r="B33" s="108"/>
      <c r="C33" s="108"/>
      <c r="D33" s="108"/>
      <c r="E33" s="108"/>
      <c r="F33" s="108"/>
      <c r="G33" s="108"/>
      <c r="H33" s="108"/>
      <c r="I33" s="108"/>
      <c r="J33" s="108"/>
      <c r="K33" s="108"/>
      <c r="L33" s="108"/>
      <c r="M33" s="108"/>
      <c r="N33" s="108"/>
      <c r="O33" s="108"/>
      <c r="P33" s="108"/>
      <c r="Q33" s="108"/>
      <c r="R33" s="108"/>
      <c r="S33" s="108"/>
    </row>
    <row r="34" spans="1:19" ht="16.5">
      <c r="A34" s="108"/>
      <c r="B34" s="523" t="s">
        <v>550</v>
      </c>
      <c r="C34" s="108"/>
      <c r="D34" s="108"/>
      <c r="E34" s="108"/>
      <c r="F34" s="108"/>
      <c r="G34" s="108"/>
      <c r="H34" s="108"/>
      <c r="I34" s="108"/>
      <c r="J34" s="108"/>
      <c r="K34" s="108"/>
      <c r="L34" s="108"/>
      <c r="M34" s="108"/>
      <c r="N34" s="108"/>
      <c r="O34" s="108"/>
      <c r="P34" s="108"/>
      <c r="Q34" s="108"/>
      <c r="R34" s="108"/>
      <c r="S34" s="108"/>
    </row>
    <row r="35" spans="1:19" ht="16.5">
      <c r="A35" s="108"/>
      <c r="B35" s="523"/>
      <c r="C35" s="108"/>
      <c r="D35" s="108"/>
      <c r="E35" s="108"/>
      <c r="F35" s="108"/>
      <c r="G35" s="108"/>
      <c r="H35" s="108"/>
      <c r="I35" s="108"/>
      <c r="J35" s="108"/>
      <c r="K35" s="108"/>
      <c r="L35" s="108"/>
      <c r="M35" s="108"/>
      <c r="N35" s="108"/>
      <c r="O35" s="108"/>
      <c r="P35" s="108"/>
      <c r="Q35" s="954" t="str">
        <f>CONCATENATE("¼ ",Master!G3,"½")</f>
        <v>¼ m"kk ikfy;k½</v>
      </c>
      <c r="R35" s="954"/>
      <c r="S35" s="954"/>
    </row>
    <row r="36" spans="1:19" ht="16.5">
      <c r="A36" s="108"/>
      <c r="B36" s="108"/>
      <c r="C36" s="108"/>
      <c r="D36" s="108"/>
      <c r="E36" s="108"/>
      <c r="F36" s="108"/>
      <c r="G36" s="108"/>
      <c r="H36" s="108"/>
      <c r="I36" s="108"/>
      <c r="J36" s="108"/>
      <c r="K36" s="108"/>
      <c r="L36" s="108"/>
      <c r="M36" s="108"/>
      <c r="N36" s="108"/>
      <c r="O36" s="108"/>
      <c r="P36" s="108"/>
      <c r="Q36" s="928" t="str">
        <f>Master!C2</f>
        <v>iz/kkukpk;Z</v>
      </c>
      <c r="R36" s="928"/>
      <c r="S36" s="928"/>
    </row>
    <row r="37" spans="1:19">
      <c r="A37" s="108"/>
      <c r="B37" s="108"/>
      <c r="C37" s="108"/>
      <c r="D37" s="108"/>
      <c r="E37" s="108"/>
      <c r="F37" s="108"/>
      <c r="G37" s="108"/>
      <c r="H37" s="108"/>
      <c r="I37" s="108"/>
      <c r="J37" s="108"/>
      <c r="K37" s="108"/>
      <c r="L37" s="108"/>
      <c r="M37" s="108"/>
      <c r="N37" s="108"/>
      <c r="O37" s="108"/>
      <c r="P37" s="108"/>
      <c r="Q37" s="923" t="str">
        <f>Master!D2</f>
        <v>egkRek xka/kh jktdh; fo|ky; ¼vaxzsth ek/;e½ cj ] C;koj</v>
      </c>
      <c r="R37" s="923"/>
      <c r="S37" s="923"/>
    </row>
    <row r="38" spans="1:19">
      <c r="A38" s="108"/>
      <c r="B38" s="108"/>
      <c r="C38" s="108"/>
      <c r="D38" s="108"/>
      <c r="E38" s="108"/>
      <c r="F38" s="108"/>
      <c r="G38" s="108"/>
      <c r="H38" s="108"/>
      <c r="I38" s="108"/>
      <c r="J38" s="108"/>
      <c r="K38" s="108"/>
      <c r="L38" s="108"/>
      <c r="M38" s="108"/>
      <c r="N38" s="108"/>
      <c r="O38" s="108"/>
      <c r="P38" s="108"/>
      <c r="Q38" s="923"/>
      <c r="R38" s="923"/>
      <c r="S38" s="923"/>
    </row>
    <row r="39" spans="1:19">
      <c r="A39" s="108"/>
      <c r="B39" s="108"/>
      <c r="C39" s="108"/>
      <c r="D39" s="108"/>
      <c r="E39" s="108"/>
      <c r="F39" s="108"/>
      <c r="G39" s="108"/>
      <c r="H39" s="108"/>
      <c r="I39" s="108"/>
      <c r="J39" s="108"/>
      <c r="K39" s="108"/>
      <c r="L39" s="108"/>
      <c r="M39" s="108"/>
      <c r="N39" s="108"/>
      <c r="O39" s="108"/>
      <c r="P39" s="108"/>
      <c r="Q39" s="923"/>
      <c r="R39" s="923"/>
      <c r="S39" s="923"/>
    </row>
    <row r="40" spans="1:19">
      <c r="A40" s="214"/>
      <c r="B40" s="214"/>
      <c r="C40" s="214"/>
      <c r="D40" s="214"/>
      <c r="E40" s="214"/>
      <c r="F40" s="214"/>
      <c r="G40" s="214"/>
      <c r="H40" s="214"/>
      <c r="I40" s="214"/>
      <c r="J40" s="214"/>
      <c r="K40" s="214"/>
      <c r="L40" s="214"/>
      <c r="M40" s="214"/>
      <c r="N40" s="214"/>
      <c r="O40" s="214"/>
      <c r="P40" s="214"/>
      <c r="Q40" s="214"/>
      <c r="R40" s="214"/>
      <c r="S40" s="214"/>
    </row>
  </sheetData>
  <mergeCells count="10">
    <mergeCell ref="Q37:S39"/>
    <mergeCell ref="A5:P5"/>
    <mergeCell ref="Q5:S5"/>
    <mergeCell ref="P1:S1"/>
    <mergeCell ref="A2:S2"/>
    <mergeCell ref="A3:S3"/>
    <mergeCell ref="A4:S4"/>
    <mergeCell ref="Q36:S36"/>
    <mergeCell ref="A32:E32"/>
    <mergeCell ref="Q35:S35"/>
  </mergeCells>
  <conditionalFormatting sqref="B34:B35">
    <cfRule type="containsText" dxfId="31" priority="1" operator="containsText" text="in fjDr">
      <formula>NOT(ISERROR(SEARCH("in fjDr",B34)))</formula>
    </cfRule>
  </conditionalFormatting>
  <pageMargins left="0.5" right="0.3" top="0.28000000000000003" bottom="0.34" header="0.2" footer="0.22"/>
  <pageSetup paperSize="9" scale="76" orientation="landscape" blackAndWhite="1" r:id="rId1"/>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L38"/>
  <sheetViews>
    <sheetView showGridLines="0" view="pageBreakPreview" topLeftCell="A4" zoomScale="110" zoomScaleSheetLayoutView="110" workbookViewId="0">
      <selection activeCell="A17" sqref="A17"/>
    </sheetView>
  </sheetViews>
  <sheetFormatPr defaultColWidth="9.125" defaultRowHeight="15"/>
  <cols>
    <col min="1" max="1" width="7.25" style="49" customWidth="1"/>
    <col min="2" max="2" width="27.625" style="49" customWidth="1"/>
    <col min="3" max="3" width="25" style="49" customWidth="1"/>
    <col min="4" max="4" width="24.625" style="49" customWidth="1"/>
    <col min="5" max="5" width="15.375" style="49" customWidth="1"/>
    <col min="6" max="6" width="17.625" style="49" customWidth="1"/>
    <col min="7" max="7" width="18" style="49" customWidth="1"/>
    <col min="8" max="10" width="9.125" style="49"/>
    <col min="11" max="11" width="9.125" style="49" customWidth="1"/>
    <col min="12" max="16384" width="9.125" style="49"/>
  </cols>
  <sheetData>
    <row r="1" spans="1:12" ht="15.75">
      <c r="A1" s="108"/>
      <c r="B1" s="108"/>
      <c r="C1" s="108"/>
      <c r="D1" s="108"/>
      <c r="E1" s="214"/>
      <c r="F1" s="949">
        <f>Summary!$C$1</f>
        <v>30695</v>
      </c>
      <c r="G1" s="949"/>
    </row>
    <row r="2" spans="1:12" ht="20.25" customHeight="1">
      <c r="A2" s="964" t="str">
        <f>Summary!A2</f>
        <v>iz/kkukpk;Z egkRek xka/kh jktdh; fo|ky; ¼vaxzsth ek/;e½ cj ] C;koj</v>
      </c>
      <c r="B2" s="964"/>
      <c r="C2" s="964"/>
      <c r="D2" s="964"/>
      <c r="E2" s="964"/>
      <c r="F2" s="964"/>
      <c r="G2" s="964"/>
      <c r="H2" s="180"/>
      <c r="I2" s="180"/>
      <c r="J2" s="180"/>
      <c r="K2" s="180"/>
      <c r="L2" s="180"/>
    </row>
    <row r="3" spans="1:12" ht="15.75" customHeight="1">
      <c r="A3" s="911" t="s">
        <v>376</v>
      </c>
      <c r="B3" s="911"/>
      <c r="C3" s="911"/>
      <c r="D3" s="911"/>
      <c r="E3" s="911"/>
      <c r="F3" s="911"/>
      <c r="G3" s="911"/>
      <c r="H3" s="180"/>
      <c r="I3" s="180"/>
      <c r="J3" s="180"/>
      <c r="K3" s="180"/>
      <c r="L3" s="180"/>
    </row>
    <row r="4" spans="1:12" ht="15.75" customHeight="1">
      <c r="A4" s="962" t="str">
        <f>Summary!A5</f>
        <v>BUDGET HEAD : 2202-GENERAL EDUCATION, 02-SECONDARY EDUCATION, 109-GOVT. SEC. SCHOOL, (02)-GIRLS SCHOOL (STATE FUND)</v>
      </c>
      <c r="B4" s="962"/>
      <c r="C4" s="962"/>
      <c r="D4" s="962"/>
      <c r="E4" s="962"/>
      <c r="F4" s="963" t="s">
        <v>271</v>
      </c>
      <c r="G4" s="963"/>
      <c r="I4" s="180"/>
      <c r="J4" s="180"/>
      <c r="K4" s="180"/>
      <c r="L4" s="180"/>
    </row>
    <row r="5" spans="1:12" s="220" customFormat="1" ht="34.5" customHeight="1">
      <c r="A5" s="212" t="s">
        <v>6</v>
      </c>
      <c r="B5" s="212" t="s">
        <v>77</v>
      </c>
      <c r="C5" s="221" t="s">
        <v>377</v>
      </c>
      <c r="D5" s="965" t="s">
        <v>377</v>
      </c>
      <c r="E5" s="966"/>
      <c r="F5" s="212" t="s">
        <v>378</v>
      </c>
      <c r="G5" s="212" t="s">
        <v>379</v>
      </c>
      <c r="H5" s="179"/>
      <c r="I5" s="179"/>
      <c r="J5" s="179"/>
      <c r="K5" s="179"/>
      <c r="L5" s="179"/>
    </row>
    <row r="6" spans="1:12" ht="12" customHeight="1">
      <c r="A6" s="497">
        <v>1</v>
      </c>
      <c r="B6" s="222">
        <v>2</v>
      </c>
      <c r="C6" s="223"/>
      <c r="D6" s="967">
        <v>3</v>
      </c>
      <c r="E6" s="968"/>
      <c r="F6" s="222">
        <v>5</v>
      </c>
      <c r="G6" s="222">
        <v>6</v>
      </c>
      <c r="H6" s="180"/>
      <c r="I6" s="180"/>
      <c r="J6" s="180"/>
      <c r="K6" s="180"/>
      <c r="L6" s="180"/>
    </row>
    <row r="7" spans="1:12" ht="14.1" customHeight="1">
      <c r="A7" s="561">
        <f>'Format 1A'!B9</f>
        <v>1</v>
      </c>
      <c r="B7" s="969" t="str">
        <f>A4</f>
        <v>BUDGET HEAD : 2202-GENERAL EDUCATION, 02-SECONDARY EDUCATION, 109-GOVT. SEC. SCHOOL, (02)-GIRLS SCHOOL (STATE FUND)</v>
      </c>
      <c r="C7" s="482" t="str">
        <f>Master!C$5</f>
        <v>PLAN - GIRLS</v>
      </c>
      <c r="D7" s="558" t="s">
        <v>53</v>
      </c>
      <c r="E7" s="559" t="str">
        <f>'Format 1A'!F9</f>
        <v>L-16</v>
      </c>
      <c r="F7" s="316">
        <v>0</v>
      </c>
      <c r="G7" s="316">
        <v>0</v>
      </c>
      <c r="H7" s="180"/>
      <c r="I7" s="180"/>
      <c r="J7" s="180"/>
      <c r="K7" s="180"/>
      <c r="L7" s="180"/>
    </row>
    <row r="8" spans="1:12" ht="14.1" customHeight="1">
      <c r="A8" s="561"/>
      <c r="B8" s="970"/>
      <c r="C8" s="482" t="str">
        <f>Master!C$5</f>
        <v>PLAN - GIRLS</v>
      </c>
      <c r="D8" s="558" t="s">
        <v>695</v>
      </c>
      <c r="E8" s="559" t="str">
        <f>'Format 1A'!F10</f>
        <v>L-14</v>
      </c>
      <c r="F8" s="316">
        <v>0</v>
      </c>
      <c r="G8" s="316">
        <v>0</v>
      </c>
      <c r="H8" s="180"/>
      <c r="I8" s="180"/>
      <c r="J8" s="180"/>
      <c r="K8" s="180"/>
      <c r="L8" s="180"/>
    </row>
    <row r="9" spans="1:12" ht="14.1" customHeight="1">
      <c r="A9" s="561" t="str">
        <f>'Format 1A'!B11</f>
        <v/>
      </c>
      <c r="B9" s="970"/>
      <c r="C9" s="482" t="str">
        <f>Master!C$5</f>
        <v>PLAN - GIRLS</v>
      </c>
      <c r="D9" s="558" t="s">
        <v>197</v>
      </c>
      <c r="E9" s="559" t="str">
        <f>'Format 1A'!F11</f>
        <v>L-14</v>
      </c>
      <c r="F9" s="316">
        <v>0</v>
      </c>
      <c r="G9" s="316">
        <v>0</v>
      </c>
      <c r="H9" s="180"/>
      <c r="I9" s="180"/>
      <c r="J9" s="180"/>
      <c r="K9" s="180"/>
      <c r="L9" s="180"/>
    </row>
    <row r="10" spans="1:12" ht="14.1" customHeight="1">
      <c r="A10" s="561" t="str">
        <f>'Format 1A'!B12</f>
        <v/>
      </c>
      <c r="B10" s="970"/>
      <c r="C10" s="482" t="str">
        <f>Master!C$5</f>
        <v>PLAN - GIRLS</v>
      </c>
      <c r="D10" s="558" t="s">
        <v>199</v>
      </c>
      <c r="E10" s="559" t="str">
        <f>'Format 1A'!F12</f>
        <v>L-12</v>
      </c>
      <c r="F10" s="316">
        <v>0</v>
      </c>
      <c r="G10" s="316">
        <v>0</v>
      </c>
      <c r="H10" s="180"/>
      <c r="I10" s="180"/>
      <c r="J10" s="180"/>
      <c r="K10" s="180"/>
      <c r="L10" s="180"/>
    </row>
    <row r="11" spans="1:12" ht="14.1" customHeight="1">
      <c r="A11" s="561">
        <f>'Format 1A'!B13</f>
        <v>2</v>
      </c>
      <c r="B11" s="970"/>
      <c r="C11" s="482" t="str">
        <f>Master!C$5</f>
        <v>PLAN - GIRLS</v>
      </c>
      <c r="D11" s="558" t="s">
        <v>553</v>
      </c>
      <c r="E11" s="559" t="str">
        <f>'Format 1A'!F13</f>
        <v>L-12</v>
      </c>
      <c r="F11" s="316">
        <v>0</v>
      </c>
      <c r="G11" s="316">
        <v>0</v>
      </c>
      <c r="H11" s="180"/>
      <c r="I11" s="180"/>
      <c r="J11" s="180"/>
      <c r="K11" s="180"/>
      <c r="L11" s="180"/>
    </row>
    <row r="12" spans="1:12" ht="14.1" customHeight="1">
      <c r="A12" s="561" t="str">
        <f>'Format 1A'!B14</f>
        <v/>
      </c>
      <c r="B12" s="970"/>
      <c r="C12" s="482" t="str">
        <f>Master!C$5</f>
        <v>PLAN - GIRLS</v>
      </c>
      <c r="D12" s="558" t="s">
        <v>208</v>
      </c>
      <c r="E12" s="559" t="str">
        <f>'Format 1A'!F14</f>
        <v>L-12</v>
      </c>
      <c r="F12" s="316">
        <v>0</v>
      </c>
      <c r="G12" s="316">
        <v>0</v>
      </c>
      <c r="H12" s="180"/>
      <c r="I12" s="180"/>
      <c r="J12" s="180"/>
      <c r="K12" s="180"/>
      <c r="L12" s="180"/>
    </row>
    <row r="13" spans="1:12" ht="14.1" customHeight="1">
      <c r="A13" s="561" t="str">
        <f>'Format 1A'!B15</f>
        <v/>
      </c>
      <c r="B13" s="970"/>
      <c r="C13" s="482" t="str">
        <f>Master!C$5</f>
        <v>PLAN - GIRLS</v>
      </c>
      <c r="D13" s="558" t="s">
        <v>201</v>
      </c>
      <c r="E13" s="559" t="str">
        <f>'Format 1A'!F15</f>
        <v>L-12</v>
      </c>
      <c r="F13" s="316">
        <v>0</v>
      </c>
      <c r="G13" s="316">
        <v>0</v>
      </c>
      <c r="H13" s="180"/>
      <c r="I13" s="180"/>
      <c r="J13" s="180"/>
      <c r="K13" s="180"/>
      <c r="L13" s="180"/>
    </row>
    <row r="14" spans="1:12" ht="14.1" customHeight="1">
      <c r="A14" s="561" t="str">
        <f>'Format 1A'!B16</f>
        <v/>
      </c>
      <c r="B14" s="970"/>
      <c r="C14" s="482" t="str">
        <f>Master!C$5</f>
        <v>PLAN - GIRLS</v>
      </c>
      <c r="D14" s="558" t="s">
        <v>203</v>
      </c>
      <c r="E14" s="559" t="str">
        <f>'Format 1A'!F16</f>
        <v>L-12</v>
      </c>
      <c r="F14" s="316">
        <v>0</v>
      </c>
      <c r="G14" s="316">
        <v>0</v>
      </c>
      <c r="H14" s="180"/>
      <c r="I14" s="180"/>
      <c r="J14" s="180"/>
      <c r="K14" s="180"/>
      <c r="L14" s="180"/>
    </row>
    <row r="15" spans="1:12" ht="14.1" customHeight="1">
      <c r="A15" s="561" t="str">
        <f>'Format 1A'!B17</f>
        <v/>
      </c>
      <c r="B15" s="970"/>
      <c r="C15" s="482" t="str">
        <f>Master!C$5</f>
        <v>PLAN - GIRLS</v>
      </c>
      <c r="D15" s="558" t="s">
        <v>206</v>
      </c>
      <c r="E15" s="559" t="str">
        <f>'Format 1A'!F17</f>
        <v>L-12</v>
      </c>
      <c r="F15" s="316">
        <v>0</v>
      </c>
      <c r="G15" s="316">
        <v>0</v>
      </c>
    </row>
    <row r="16" spans="1:12" ht="14.1" customHeight="1">
      <c r="A16" s="561" t="str">
        <f>'Format 1A'!B18</f>
        <v/>
      </c>
      <c r="B16" s="970"/>
      <c r="C16" s="482" t="str">
        <f>Master!C$5</f>
        <v>PLAN - GIRLS</v>
      </c>
      <c r="D16" s="558" t="s">
        <v>219</v>
      </c>
      <c r="E16" s="559" t="str">
        <f>'Format 1A'!F18</f>
        <v>L-10</v>
      </c>
      <c r="F16" s="316">
        <v>0</v>
      </c>
      <c r="G16" s="316">
        <v>0</v>
      </c>
    </row>
    <row r="17" spans="1:7" ht="14.1" customHeight="1">
      <c r="A17" s="561">
        <f>'Format 1A'!B19</f>
        <v>3</v>
      </c>
      <c r="B17" s="970"/>
      <c r="C17" s="482" t="str">
        <f>Master!C$5</f>
        <v>PLAN - GIRLS</v>
      </c>
      <c r="D17" s="558" t="s">
        <v>60</v>
      </c>
      <c r="E17" s="559" t="str">
        <f>'Format 1A'!F19</f>
        <v>L-11</v>
      </c>
      <c r="F17" s="316">
        <v>0</v>
      </c>
      <c r="G17" s="316">
        <v>0</v>
      </c>
    </row>
    <row r="18" spans="1:7" ht="14.1" customHeight="1">
      <c r="A18" s="561" t="str">
        <f>'Format 1A'!B20</f>
        <v/>
      </c>
      <c r="B18" s="970"/>
      <c r="C18" s="482" t="str">
        <f>Master!C$5</f>
        <v>PLAN - GIRLS</v>
      </c>
      <c r="D18" s="560" t="s">
        <v>211</v>
      </c>
      <c r="E18" s="559" t="str">
        <f>'Format 1A'!F20</f>
        <v>L-11</v>
      </c>
      <c r="F18" s="316">
        <v>0</v>
      </c>
      <c r="G18" s="316">
        <v>0</v>
      </c>
    </row>
    <row r="19" spans="1:7" ht="14.1" customHeight="1">
      <c r="A19" s="561" t="str">
        <f>'Format 1A'!B21</f>
        <v/>
      </c>
      <c r="B19" s="970"/>
      <c r="C19" s="482" t="str">
        <f>Master!C$5</f>
        <v>PLAN - GIRLS</v>
      </c>
      <c r="D19" s="558" t="s">
        <v>63</v>
      </c>
      <c r="E19" s="559" t="str">
        <f>'Format 1A'!F21</f>
        <v>L-11</v>
      </c>
      <c r="F19" s="316">
        <v>0</v>
      </c>
      <c r="G19" s="316">
        <v>0</v>
      </c>
    </row>
    <row r="20" spans="1:7" ht="14.1" customHeight="1">
      <c r="A20" s="561">
        <f>'Format 1A'!B22</f>
        <v>4</v>
      </c>
      <c r="B20" s="970"/>
      <c r="C20" s="482" t="str">
        <f>Master!C$5</f>
        <v>PLAN - GIRLS</v>
      </c>
      <c r="D20" s="558" t="s">
        <v>221</v>
      </c>
      <c r="E20" s="559" t="str">
        <f>'Format 1A'!F22</f>
        <v>L-9</v>
      </c>
      <c r="F20" s="316">
        <v>0</v>
      </c>
      <c r="G20" s="316">
        <v>0</v>
      </c>
    </row>
    <row r="21" spans="1:7" ht="14.1" customHeight="1">
      <c r="A21" s="561" t="str">
        <f>'Format 1A'!B23</f>
        <v/>
      </c>
      <c r="B21" s="970"/>
      <c r="C21" s="482" t="str">
        <f>Master!C$5</f>
        <v>PLAN - GIRLS</v>
      </c>
      <c r="D21" s="558" t="s">
        <v>223</v>
      </c>
      <c r="E21" s="559" t="str">
        <f>'Format 1A'!F23</f>
        <v>L-9</v>
      </c>
      <c r="F21" s="316">
        <v>0</v>
      </c>
      <c r="G21" s="316">
        <v>0</v>
      </c>
    </row>
    <row r="22" spans="1:7" ht="14.1" customHeight="1">
      <c r="A22" s="561">
        <f>'Format 1A'!B24</f>
        <v>5</v>
      </c>
      <c r="B22" s="970"/>
      <c r="C22" s="482" t="str">
        <f>Master!C$5</f>
        <v>PLAN - GIRLS</v>
      </c>
      <c r="D22" s="558" t="s">
        <v>217</v>
      </c>
      <c r="E22" s="559" t="str">
        <f>'Format 1A'!F24</f>
        <v>L-10</v>
      </c>
      <c r="F22" s="316">
        <v>0</v>
      </c>
      <c r="G22" s="316">
        <v>0</v>
      </c>
    </row>
    <row r="23" spans="1:7" ht="14.1" customHeight="1">
      <c r="A23" s="561">
        <f>'Format 1A'!B25</f>
        <v>6</v>
      </c>
      <c r="B23" s="970"/>
      <c r="C23" s="482" t="str">
        <f>Master!C$5</f>
        <v>PLAN - GIRLS</v>
      </c>
      <c r="D23" s="558" t="s">
        <v>62</v>
      </c>
      <c r="E23" s="559" t="str">
        <f>'Format 1A'!F25</f>
        <v>L-10</v>
      </c>
      <c r="F23" s="316">
        <v>0</v>
      </c>
      <c r="G23" s="316">
        <v>0</v>
      </c>
    </row>
    <row r="24" spans="1:7" ht="14.1" customHeight="1">
      <c r="A24" s="561">
        <f>'Format 1A'!B26</f>
        <v>7</v>
      </c>
      <c r="B24" s="970"/>
      <c r="C24" s="482" t="str">
        <f>Master!C$5</f>
        <v>PLAN - GIRLS</v>
      </c>
      <c r="D24" s="558" t="s">
        <v>214</v>
      </c>
      <c r="E24" s="559" t="str">
        <f>'Format 1A'!F26</f>
        <v>L-10</v>
      </c>
      <c r="F24" s="316">
        <v>0</v>
      </c>
      <c r="G24" s="316">
        <v>0</v>
      </c>
    </row>
    <row r="25" spans="1:7" ht="14.1" customHeight="1">
      <c r="A25" s="561">
        <f>'Format 1A'!B27</f>
        <v>8</v>
      </c>
      <c r="B25" s="970"/>
      <c r="C25" s="482" t="str">
        <f>Master!C$5</f>
        <v>PLAN - GIRLS</v>
      </c>
      <c r="D25" s="558" t="s">
        <v>221</v>
      </c>
      <c r="E25" s="559" t="str">
        <f>'Format 1A'!F27</f>
        <v>L-9</v>
      </c>
      <c r="F25" s="316">
        <v>0</v>
      </c>
      <c r="G25" s="316">
        <v>0</v>
      </c>
    </row>
    <row r="26" spans="1:7" ht="14.1" customHeight="1">
      <c r="A26" s="561">
        <f>'Format 1A'!B28</f>
        <v>9</v>
      </c>
      <c r="B26" s="970"/>
      <c r="C26" s="482" t="str">
        <f>Master!C$5</f>
        <v>PLAN - GIRLS</v>
      </c>
      <c r="D26" s="558" t="s">
        <v>64</v>
      </c>
      <c r="E26" s="559" t="str">
        <f>'Format 1A'!F28</f>
        <v>L-5</v>
      </c>
      <c r="F26" s="316">
        <v>0</v>
      </c>
      <c r="G26" s="316">
        <v>0</v>
      </c>
    </row>
    <row r="27" spans="1:7" ht="14.1" customHeight="1">
      <c r="A27" s="561">
        <f>'Format 1A'!B29</f>
        <v>10</v>
      </c>
      <c r="B27" s="970"/>
      <c r="C27" s="482" t="str">
        <f>Master!C$5</f>
        <v>PLAN - GIRLS</v>
      </c>
      <c r="D27" s="558" t="s">
        <v>554</v>
      </c>
      <c r="E27" s="559" t="str">
        <f>'Format 1A'!F29</f>
        <v>L-5</v>
      </c>
      <c r="F27" s="316">
        <v>0</v>
      </c>
      <c r="G27" s="316">
        <v>0</v>
      </c>
    </row>
    <row r="28" spans="1:7" ht="14.1" customHeight="1">
      <c r="A28" s="561" t="str">
        <f>'Format 1A'!B30</f>
        <v/>
      </c>
      <c r="B28" s="970"/>
      <c r="C28" s="482" t="str">
        <f>Master!C$5</f>
        <v>PLAN - GIRLS</v>
      </c>
      <c r="D28" s="558" t="s">
        <v>231</v>
      </c>
      <c r="E28" s="559" t="str">
        <f>'Format 1A'!F30</f>
        <v>L-1</v>
      </c>
      <c r="F28" s="316">
        <v>0</v>
      </c>
      <c r="G28" s="316">
        <v>0</v>
      </c>
    </row>
    <row r="29" spans="1:7" ht="14.1" customHeight="1">
      <c r="A29" s="561" t="str">
        <f>'Format 1A'!B31</f>
        <v/>
      </c>
      <c r="B29" s="970"/>
      <c r="C29" s="482" t="str">
        <f>Master!C$5</f>
        <v>PLAN - GIRLS</v>
      </c>
      <c r="D29" s="558" t="s">
        <v>229</v>
      </c>
      <c r="E29" s="559" t="str">
        <f>'Format 1A'!F31</f>
        <v>L-1</v>
      </c>
      <c r="F29" s="316">
        <v>0</v>
      </c>
      <c r="G29" s="316">
        <v>0</v>
      </c>
    </row>
    <row r="30" spans="1:7" ht="14.1" customHeight="1">
      <c r="A30" s="561">
        <f>'Format 1A'!B32</f>
        <v>11</v>
      </c>
      <c r="B30" s="971"/>
      <c r="C30" s="482" t="str">
        <f>Master!C$5</f>
        <v>PLAN - GIRLS</v>
      </c>
      <c r="D30" s="558" t="s">
        <v>65</v>
      </c>
      <c r="E30" s="559" t="str">
        <f>'Format 1A'!F32</f>
        <v>L-1</v>
      </c>
      <c r="F30" s="316">
        <v>0</v>
      </c>
      <c r="G30" s="316">
        <v>0</v>
      </c>
    </row>
    <row r="31" spans="1:7" ht="15.75">
      <c r="A31" s="972" t="s">
        <v>347</v>
      </c>
      <c r="B31" s="973"/>
      <c r="C31" s="973"/>
      <c r="D31" s="974"/>
      <c r="E31" s="224"/>
      <c r="F31" s="317">
        <f>SUM(F7:F30)</f>
        <v>0</v>
      </c>
      <c r="G31" s="317">
        <f>SUM(G7:G30)</f>
        <v>0</v>
      </c>
    </row>
    <row r="32" spans="1:7" ht="15.75">
      <c r="A32" s="522" t="s">
        <v>550</v>
      </c>
      <c r="B32" s="108"/>
      <c r="C32" s="108"/>
      <c r="D32" s="108"/>
      <c r="E32" s="108"/>
      <c r="F32" s="108"/>
      <c r="G32" s="108"/>
    </row>
    <row r="33" spans="1:7" ht="15.75">
      <c r="A33" s="522"/>
      <c r="B33" s="108"/>
      <c r="C33" s="108"/>
      <c r="D33" s="108"/>
      <c r="E33" s="108"/>
      <c r="F33" s="108"/>
      <c r="G33" s="108"/>
    </row>
    <row r="34" spans="1:7" ht="14.1" customHeight="1">
      <c r="A34" s="522"/>
      <c r="B34" s="108"/>
      <c r="C34" s="108"/>
      <c r="D34" s="108"/>
      <c r="E34" s="108"/>
      <c r="F34" s="954" t="str">
        <f>CONCATENATE("¼ ",Master!G3,"½")</f>
        <v>¼ m"kk ikfy;k½</v>
      </c>
      <c r="G34" s="954"/>
    </row>
    <row r="35" spans="1:7" ht="14.1" customHeight="1">
      <c r="A35" s="108"/>
      <c r="B35" s="108"/>
      <c r="C35" s="108"/>
      <c r="D35" s="108"/>
      <c r="E35" s="209"/>
      <c r="F35" s="877" t="str">
        <f>Master!C2</f>
        <v>iz/kkukpk;Z</v>
      </c>
      <c r="G35" s="877"/>
    </row>
    <row r="36" spans="1:7" ht="14.1" customHeight="1">
      <c r="A36" s="108"/>
      <c r="B36" s="108"/>
      <c r="C36" s="108"/>
      <c r="D36" s="108"/>
      <c r="E36" s="210"/>
      <c r="F36" s="878" t="str">
        <f>Master!D2</f>
        <v>egkRek xka/kh jktdh; fo|ky; ¼vaxzsth ek/;e½ cj ] C;koj</v>
      </c>
      <c r="G36" s="878"/>
    </row>
    <row r="37" spans="1:7" ht="22.5" customHeight="1">
      <c r="A37" s="108"/>
      <c r="B37" s="108"/>
      <c r="C37" s="108"/>
      <c r="D37" s="108"/>
      <c r="E37" s="210"/>
      <c r="F37" s="878"/>
      <c r="G37" s="878"/>
    </row>
    <row r="38" spans="1:7" ht="18.75">
      <c r="A38" s="108"/>
      <c r="B38" s="108"/>
      <c r="C38" s="108"/>
      <c r="D38" s="108"/>
      <c r="E38" s="210"/>
      <c r="F38" s="109"/>
      <c r="G38" s="109"/>
    </row>
  </sheetData>
  <mergeCells count="12">
    <mergeCell ref="F35:G35"/>
    <mergeCell ref="A4:E4"/>
    <mergeCell ref="F4:G4"/>
    <mergeCell ref="F36:G37"/>
    <mergeCell ref="F1:G1"/>
    <mergeCell ref="A2:G2"/>
    <mergeCell ref="A3:G3"/>
    <mergeCell ref="D5:E5"/>
    <mergeCell ref="D6:E6"/>
    <mergeCell ref="B7:B30"/>
    <mergeCell ref="A31:D31"/>
    <mergeCell ref="F34:G34"/>
  </mergeCells>
  <conditionalFormatting sqref="A32:A34">
    <cfRule type="containsText" dxfId="30" priority="1" operator="containsText" text="in fjDr">
      <formula>NOT(ISERROR(SEARCH("in fjDr",A32)))</formula>
    </cfRule>
  </conditionalFormatting>
  <pageMargins left="0.7" right="0.45" top="0.4" bottom="0.4" header="0.3" footer="0.3"/>
  <pageSetup paperSize="9" scale="98"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sheetPr>
    <tabColor rgb="FFFFFF00"/>
  </sheetPr>
  <dimension ref="A1:CD14"/>
  <sheetViews>
    <sheetView workbookViewId="0">
      <selection activeCell="F17" sqref="F17"/>
    </sheetView>
  </sheetViews>
  <sheetFormatPr defaultColWidth="9.125" defaultRowHeight="12.75"/>
  <cols>
    <col min="1" max="1" width="4.875" style="717" customWidth="1"/>
    <col min="2" max="2" width="15.25" style="718" customWidth="1"/>
    <col min="3" max="3" width="20.125" style="718" customWidth="1"/>
    <col min="4" max="4" width="10" style="717" customWidth="1"/>
    <col min="5" max="82" width="5.625" style="717" customWidth="1"/>
    <col min="83" max="16384" width="9.125" style="717"/>
  </cols>
  <sheetData>
    <row r="1" spans="1:82" s="712" customFormat="1" ht="20.25">
      <c r="A1" s="986" t="s">
        <v>729</v>
      </c>
      <c r="B1" s="986"/>
      <c r="C1" s="987" t="str">
        <f>Summary!$A$2</f>
        <v>iz/kkukpk;Z egkRek xka/kh jktdh; fo|ky; ¼vaxzsth ek/;e½ cj ] C;koj</v>
      </c>
      <c r="D1" s="987"/>
      <c r="E1" s="987"/>
      <c r="F1" s="987"/>
      <c r="G1" s="987"/>
      <c r="H1" s="987"/>
      <c r="I1" s="987"/>
      <c r="J1" s="987"/>
      <c r="K1" s="987"/>
      <c r="L1" s="987"/>
      <c r="M1" s="987"/>
      <c r="N1" s="987"/>
      <c r="O1" s="987"/>
      <c r="P1" s="987"/>
      <c r="Q1" s="987"/>
      <c r="R1" s="987"/>
      <c r="S1" s="987"/>
      <c r="W1" s="713"/>
      <c r="X1" s="713"/>
      <c r="Y1" s="713"/>
    </row>
    <row r="2" spans="1:82" s="712" customFormat="1" ht="18.75">
      <c r="A2" s="988" t="s">
        <v>728</v>
      </c>
      <c r="B2" s="988"/>
      <c r="C2" s="984" t="str">
        <f>VLOOKUP(Master!C5,Master!Q4:AO25,3,FALSE)</f>
        <v>2202-GENERAL EDUCATION, 02-SECONDARY EDUCATION, 109-GOVT. SEC. SCHOOL, (02)-GIRLS SCHOOL (STATE FUND)</v>
      </c>
      <c r="D2" s="984"/>
      <c r="E2" s="984"/>
      <c r="F2" s="984"/>
      <c r="G2" s="984"/>
      <c r="H2" s="984"/>
      <c r="I2" s="984"/>
      <c r="J2" s="984"/>
      <c r="K2" s="984"/>
      <c r="L2" s="984"/>
      <c r="M2" s="984"/>
      <c r="N2" s="984"/>
      <c r="O2" s="984"/>
      <c r="P2" s="984"/>
      <c r="Q2" s="984"/>
      <c r="R2" s="984"/>
      <c r="S2" s="745"/>
      <c r="T2" s="745"/>
      <c r="U2" s="982" t="s">
        <v>697</v>
      </c>
      <c r="V2" s="982"/>
      <c r="W2" s="746"/>
      <c r="X2" s="983" t="s">
        <v>698</v>
      </c>
      <c r="Y2" s="983"/>
      <c r="Z2" s="983"/>
      <c r="AA2" s="983"/>
      <c r="AB2" s="983"/>
      <c r="AC2" s="983"/>
      <c r="AD2" s="983"/>
      <c r="AE2" s="983"/>
      <c r="AF2" s="746"/>
      <c r="AG2" s="746"/>
      <c r="AH2" s="746"/>
      <c r="AI2" s="746"/>
      <c r="AJ2" s="746"/>
      <c r="AK2" s="746"/>
    </row>
    <row r="3" spans="1:82" s="712" customFormat="1" ht="10.5" customHeight="1">
      <c r="A3" s="742"/>
      <c r="B3" s="742"/>
      <c r="C3" s="743"/>
      <c r="D3" s="743"/>
      <c r="E3" s="744"/>
      <c r="F3" s="744"/>
      <c r="G3" s="744"/>
      <c r="H3" s="744"/>
      <c r="I3" s="744"/>
      <c r="J3" s="744"/>
      <c r="K3" s="744"/>
      <c r="L3" s="744"/>
      <c r="M3" s="744"/>
      <c r="N3" s="744"/>
      <c r="O3" s="744"/>
      <c r="P3" s="744"/>
      <c r="Q3" s="744"/>
      <c r="R3" s="744"/>
      <c r="S3" s="741"/>
      <c r="T3" s="741"/>
      <c r="U3" s="720"/>
      <c r="V3" s="720"/>
      <c r="X3" s="719"/>
      <c r="Y3" s="719"/>
      <c r="Z3" s="719"/>
      <c r="AA3" s="719"/>
      <c r="AB3" s="719"/>
      <c r="AC3" s="719"/>
      <c r="AD3" s="719"/>
      <c r="AE3" s="719"/>
    </row>
    <row r="4" spans="1:82" s="722" customFormat="1" ht="36.75" customHeight="1">
      <c r="A4" s="975" t="s">
        <v>699</v>
      </c>
      <c r="B4" s="977" t="s">
        <v>700</v>
      </c>
      <c r="C4" s="975" t="s">
        <v>326</v>
      </c>
      <c r="D4" s="975" t="s">
        <v>701</v>
      </c>
      <c r="E4" s="979" t="s">
        <v>702</v>
      </c>
      <c r="F4" s="980"/>
      <c r="G4" s="981"/>
      <c r="H4" s="979" t="s">
        <v>703</v>
      </c>
      <c r="I4" s="980"/>
      <c r="J4" s="981"/>
      <c r="K4" s="979" t="s">
        <v>704</v>
      </c>
      <c r="L4" s="980"/>
      <c r="M4" s="981"/>
      <c r="N4" s="979" t="s">
        <v>705</v>
      </c>
      <c r="O4" s="980"/>
      <c r="P4" s="981"/>
      <c r="Q4" s="979" t="s">
        <v>730</v>
      </c>
      <c r="R4" s="980"/>
      <c r="S4" s="981"/>
      <c r="T4" s="979" t="s">
        <v>706</v>
      </c>
      <c r="U4" s="980"/>
      <c r="V4" s="981"/>
      <c r="W4" s="979" t="s">
        <v>707</v>
      </c>
      <c r="X4" s="980"/>
      <c r="Y4" s="981"/>
      <c r="Z4" s="985" t="s">
        <v>731</v>
      </c>
      <c r="AA4" s="985"/>
      <c r="AB4" s="985"/>
      <c r="AC4" s="979" t="s">
        <v>708</v>
      </c>
      <c r="AD4" s="980"/>
      <c r="AE4" s="981"/>
      <c r="AF4" s="979" t="s">
        <v>709</v>
      </c>
      <c r="AG4" s="980"/>
      <c r="AH4" s="981"/>
      <c r="AI4" s="979" t="s">
        <v>710</v>
      </c>
      <c r="AJ4" s="980"/>
      <c r="AK4" s="981"/>
      <c r="AL4" s="979" t="s">
        <v>711</v>
      </c>
      <c r="AM4" s="980"/>
      <c r="AN4" s="981"/>
      <c r="AO4" s="979" t="s">
        <v>712</v>
      </c>
      <c r="AP4" s="980"/>
      <c r="AQ4" s="981"/>
      <c r="AR4" s="979" t="s">
        <v>713</v>
      </c>
      <c r="AS4" s="980"/>
      <c r="AT4" s="981"/>
      <c r="AU4" s="979" t="s">
        <v>714</v>
      </c>
      <c r="AV4" s="980"/>
      <c r="AW4" s="981"/>
      <c r="AX4" s="979" t="s">
        <v>715</v>
      </c>
      <c r="AY4" s="980"/>
      <c r="AZ4" s="981"/>
      <c r="BA4" s="979" t="s">
        <v>716</v>
      </c>
      <c r="BB4" s="980"/>
      <c r="BC4" s="981"/>
      <c r="BD4" s="979" t="s">
        <v>717</v>
      </c>
      <c r="BE4" s="980"/>
      <c r="BF4" s="981"/>
      <c r="BG4" s="979" t="s">
        <v>718</v>
      </c>
      <c r="BH4" s="980"/>
      <c r="BI4" s="980"/>
      <c r="BJ4" s="979" t="s">
        <v>719</v>
      </c>
      <c r="BK4" s="980"/>
      <c r="BL4" s="980"/>
      <c r="BM4" s="979" t="s">
        <v>720</v>
      </c>
      <c r="BN4" s="980"/>
      <c r="BO4" s="981"/>
      <c r="BP4" s="979" t="s">
        <v>721</v>
      </c>
      <c r="BQ4" s="980"/>
      <c r="BR4" s="981"/>
      <c r="BS4" s="979" t="s">
        <v>722</v>
      </c>
      <c r="BT4" s="980"/>
      <c r="BU4" s="981"/>
      <c r="BV4" s="979" t="s">
        <v>421</v>
      </c>
      <c r="BW4" s="980"/>
      <c r="BX4" s="981"/>
      <c r="BY4" s="979" t="s">
        <v>723</v>
      </c>
      <c r="BZ4" s="980"/>
      <c r="CA4" s="981"/>
      <c r="CB4" s="979" t="s">
        <v>724</v>
      </c>
      <c r="CC4" s="980"/>
      <c r="CD4" s="981"/>
    </row>
    <row r="5" spans="1:82" s="715" customFormat="1" ht="16.5" customHeight="1">
      <c r="A5" s="976"/>
      <c r="B5" s="978"/>
      <c r="C5" s="976"/>
      <c r="D5" s="976"/>
      <c r="E5" s="714" t="s">
        <v>593</v>
      </c>
      <c r="F5" s="714" t="s">
        <v>594</v>
      </c>
      <c r="G5" s="714" t="s">
        <v>595</v>
      </c>
      <c r="H5" s="714" t="s">
        <v>593</v>
      </c>
      <c r="I5" s="714" t="s">
        <v>594</v>
      </c>
      <c r="J5" s="714" t="s">
        <v>595</v>
      </c>
      <c r="K5" s="714" t="s">
        <v>593</v>
      </c>
      <c r="L5" s="714" t="s">
        <v>594</v>
      </c>
      <c r="M5" s="714" t="s">
        <v>595</v>
      </c>
      <c r="N5" s="714" t="s">
        <v>593</v>
      </c>
      <c r="O5" s="714" t="s">
        <v>594</v>
      </c>
      <c r="P5" s="714" t="s">
        <v>595</v>
      </c>
      <c r="Q5" s="714" t="s">
        <v>593</v>
      </c>
      <c r="R5" s="714" t="s">
        <v>594</v>
      </c>
      <c r="S5" s="714" t="s">
        <v>595</v>
      </c>
      <c r="T5" s="714" t="s">
        <v>593</v>
      </c>
      <c r="U5" s="714" t="s">
        <v>594</v>
      </c>
      <c r="V5" s="714" t="s">
        <v>595</v>
      </c>
      <c r="W5" s="714" t="s">
        <v>593</v>
      </c>
      <c r="X5" s="714" t="s">
        <v>594</v>
      </c>
      <c r="Y5" s="714" t="s">
        <v>595</v>
      </c>
      <c r="Z5" s="714" t="s">
        <v>593</v>
      </c>
      <c r="AA5" s="714" t="s">
        <v>594</v>
      </c>
      <c r="AB5" s="714" t="s">
        <v>595</v>
      </c>
      <c r="AC5" s="714" t="s">
        <v>593</v>
      </c>
      <c r="AD5" s="714" t="s">
        <v>594</v>
      </c>
      <c r="AE5" s="714" t="s">
        <v>595</v>
      </c>
      <c r="AF5" s="714" t="s">
        <v>593</v>
      </c>
      <c r="AG5" s="714" t="s">
        <v>594</v>
      </c>
      <c r="AH5" s="714" t="s">
        <v>595</v>
      </c>
      <c r="AI5" s="714" t="s">
        <v>593</v>
      </c>
      <c r="AJ5" s="714" t="s">
        <v>594</v>
      </c>
      <c r="AK5" s="714" t="s">
        <v>595</v>
      </c>
      <c r="AL5" s="714" t="s">
        <v>593</v>
      </c>
      <c r="AM5" s="714" t="s">
        <v>594</v>
      </c>
      <c r="AN5" s="714" t="s">
        <v>595</v>
      </c>
      <c r="AO5" s="714" t="s">
        <v>593</v>
      </c>
      <c r="AP5" s="714" t="s">
        <v>594</v>
      </c>
      <c r="AQ5" s="714" t="s">
        <v>595</v>
      </c>
      <c r="AR5" s="714" t="s">
        <v>593</v>
      </c>
      <c r="AS5" s="714" t="s">
        <v>594</v>
      </c>
      <c r="AT5" s="714" t="s">
        <v>595</v>
      </c>
      <c r="AU5" s="714" t="s">
        <v>593</v>
      </c>
      <c r="AV5" s="714" t="s">
        <v>594</v>
      </c>
      <c r="AW5" s="714" t="s">
        <v>595</v>
      </c>
      <c r="AX5" s="714" t="s">
        <v>593</v>
      </c>
      <c r="AY5" s="714" t="s">
        <v>594</v>
      </c>
      <c r="AZ5" s="714" t="s">
        <v>595</v>
      </c>
      <c r="BA5" s="714" t="s">
        <v>593</v>
      </c>
      <c r="BB5" s="714" t="s">
        <v>594</v>
      </c>
      <c r="BC5" s="714" t="s">
        <v>595</v>
      </c>
      <c r="BD5" s="714" t="s">
        <v>593</v>
      </c>
      <c r="BE5" s="714" t="s">
        <v>594</v>
      </c>
      <c r="BF5" s="714" t="s">
        <v>595</v>
      </c>
      <c r="BG5" s="714" t="s">
        <v>593</v>
      </c>
      <c r="BH5" s="714" t="s">
        <v>594</v>
      </c>
      <c r="BI5" s="714" t="s">
        <v>595</v>
      </c>
      <c r="BJ5" s="714" t="s">
        <v>593</v>
      </c>
      <c r="BK5" s="714" t="s">
        <v>594</v>
      </c>
      <c r="BL5" s="714" t="s">
        <v>595</v>
      </c>
      <c r="BM5" s="714" t="s">
        <v>593</v>
      </c>
      <c r="BN5" s="714" t="s">
        <v>594</v>
      </c>
      <c r="BO5" s="714" t="s">
        <v>595</v>
      </c>
      <c r="BP5" s="714" t="s">
        <v>593</v>
      </c>
      <c r="BQ5" s="714" t="s">
        <v>594</v>
      </c>
      <c r="BR5" s="714" t="s">
        <v>595</v>
      </c>
      <c r="BS5" s="714" t="s">
        <v>593</v>
      </c>
      <c r="BT5" s="714" t="s">
        <v>594</v>
      </c>
      <c r="BU5" s="714" t="s">
        <v>595</v>
      </c>
      <c r="BV5" s="714" t="s">
        <v>593</v>
      </c>
      <c r="BW5" s="714" t="s">
        <v>594</v>
      </c>
      <c r="BX5" s="714" t="s">
        <v>595</v>
      </c>
      <c r="BY5" s="714" t="s">
        <v>593</v>
      </c>
      <c r="BZ5" s="714" t="s">
        <v>594</v>
      </c>
      <c r="CA5" s="714" t="s">
        <v>595</v>
      </c>
      <c r="CB5" s="714" t="s">
        <v>593</v>
      </c>
      <c r="CC5" s="714" t="s">
        <v>594</v>
      </c>
      <c r="CD5" s="714" t="s">
        <v>595</v>
      </c>
    </row>
    <row r="6" spans="1:82" s="715" customFormat="1" ht="35.1" customHeight="1">
      <c r="A6" s="750">
        <v>1</v>
      </c>
      <c r="B6" s="751">
        <f>Summary!$C$1</f>
        <v>30695</v>
      </c>
      <c r="C6" s="753" t="str">
        <f>Master!D2</f>
        <v>egkRek xka/kh jktdh; fo|ky; ¼vaxzsth ek/;e½ cj ] C;koj</v>
      </c>
      <c r="D6" s="716"/>
      <c r="E6" s="754">
        <f>'Format 1A'!J9</f>
        <v>1</v>
      </c>
      <c r="F6" s="754">
        <f>'Format 1A'!K9+'Format 1A'!L9</f>
        <v>1</v>
      </c>
      <c r="G6" s="754">
        <f>'Format 1A'!M9</f>
        <v>0</v>
      </c>
      <c r="H6" s="754">
        <f>'Format 1A'!J10</f>
        <v>1</v>
      </c>
      <c r="I6" s="754">
        <f>'Format 1A'!K10+'Format 1A'!L10</f>
        <v>1</v>
      </c>
      <c r="J6" s="754">
        <f>'Format 1A'!M10</f>
        <v>0</v>
      </c>
      <c r="K6" s="754">
        <f>'Format 1A'!J11</f>
        <v>0</v>
      </c>
      <c r="L6" s="754">
        <f>'Format 1A'!K11+'Format 1A'!L11</f>
        <v>0</v>
      </c>
      <c r="M6" s="754">
        <f>'Format 1A'!M11</f>
        <v>0</v>
      </c>
      <c r="N6" s="754">
        <f>'Format 1A'!J13</f>
        <v>3</v>
      </c>
      <c r="O6" s="754">
        <f>'Format 1A'!K13+'Format 1A'!L13</f>
        <v>1</v>
      </c>
      <c r="P6" s="754">
        <f>'Format 1A'!M13</f>
        <v>2</v>
      </c>
      <c r="Q6" s="754">
        <f>'Format 1A'!J15</f>
        <v>0</v>
      </c>
      <c r="R6" s="754">
        <f>'Format 1A'!K15+'Format 1A'!L15</f>
        <v>0</v>
      </c>
      <c r="S6" s="754">
        <f>'Format 1A'!M15</f>
        <v>0</v>
      </c>
      <c r="T6" s="754">
        <f>'Format 1A'!J14</f>
        <v>0</v>
      </c>
      <c r="U6" s="754">
        <f>'Format 1A'!K14+'Format 1A'!L14</f>
        <v>0</v>
      </c>
      <c r="V6" s="754">
        <f>'Format 1A'!M14</f>
        <v>0</v>
      </c>
      <c r="W6" s="754">
        <f>'Format 1A'!J17</f>
        <v>0</v>
      </c>
      <c r="X6" s="754">
        <f>'Format 1A'!K17+'Format 1A'!L17</f>
        <v>0</v>
      </c>
      <c r="Y6" s="754">
        <f>'Format 1A'!M17</f>
        <v>0</v>
      </c>
      <c r="Z6" s="754">
        <f>'Format 1A'!J19</f>
        <v>5</v>
      </c>
      <c r="AA6" s="754">
        <f>'Format 1A'!K19+'Format 1A'!L19</f>
        <v>5</v>
      </c>
      <c r="AB6" s="754">
        <f>'Format 1A'!M19</f>
        <v>0</v>
      </c>
      <c r="AC6" s="754">
        <f>'Format 1A'!J21</f>
        <v>0</v>
      </c>
      <c r="AD6" s="754">
        <f>'Format 1A'!K21+'Format 1A'!L21</f>
        <v>0</v>
      </c>
      <c r="AE6" s="754">
        <f>'Format 1A'!M21</f>
        <v>0</v>
      </c>
      <c r="AF6" s="754">
        <f>'Format 1A'!J20</f>
        <v>0</v>
      </c>
      <c r="AG6" s="754">
        <f>'Format 1A'!K20+'Format 1A'!L20</f>
        <v>0</v>
      </c>
      <c r="AH6" s="754">
        <f>'Format 1A'!M20</f>
        <v>0</v>
      </c>
      <c r="AI6" s="754">
        <f>'Format 1A'!J22</f>
        <v>1</v>
      </c>
      <c r="AJ6" s="754">
        <f>'Format 1A'!K22+'Format 1A'!L22</f>
        <v>1</v>
      </c>
      <c r="AK6" s="754">
        <f>'Format 1A'!M22</f>
        <v>0</v>
      </c>
      <c r="AL6" s="754">
        <f>'Format 1A'!J25</f>
        <v>8</v>
      </c>
      <c r="AM6" s="754">
        <f>'Format 1A'!K25+'Format 1A'!L25</f>
        <v>7</v>
      </c>
      <c r="AN6" s="754">
        <f>'Format 1A'!M25</f>
        <v>1</v>
      </c>
      <c r="AO6" s="754">
        <f>'Format 1A'!J26</f>
        <v>1</v>
      </c>
      <c r="AP6" s="754">
        <f>'Format 1A'!K26+'Format 1A'!L26</f>
        <v>0</v>
      </c>
      <c r="AQ6" s="754">
        <f>'Format 1A'!M26</f>
        <v>1</v>
      </c>
      <c r="AR6" s="754">
        <f>'Format 1A'!J24</f>
        <v>1</v>
      </c>
      <c r="AS6" s="754">
        <f>'Format 1A'!K24+'Format 1A'!L24</f>
        <v>1</v>
      </c>
      <c r="AT6" s="754">
        <f>'Format 1A'!M24</f>
        <v>0</v>
      </c>
      <c r="AU6" s="754">
        <f>'Format 1A'!J18</f>
        <v>0</v>
      </c>
      <c r="AV6" s="754">
        <f>'Format 1A'!K18+'Format 1A'!L18</f>
        <v>0</v>
      </c>
      <c r="AW6" s="754">
        <f>'Format 1A'!M18</f>
        <v>0</v>
      </c>
      <c r="AX6" s="754">
        <f>'Format 1A'!J27</f>
        <v>1</v>
      </c>
      <c r="AY6" s="754">
        <f>'Format 1A'!K27+'Format 1A'!L27</f>
        <v>1</v>
      </c>
      <c r="AZ6" s="754">
        <f>'Format 1A'!M27</f>
        <v>0</v>
      </c>
      <c r="BA6" s="754"/>
      <c r="BB6" s="754"/>
      <c r="BC6" s="754"/>
      <c r="BD6" s="754"/>
      <c r="BE6" s="754"/>
      <c r="BF6" s="754"/>
      <c r="BG6" s="754"/>
      <c r="BH6" s="754"/>
      <c r="BI6" s="754"/>
      <c r="BJ6" s="754"/>
      <c r="BK6" s="754"/>
      <c r="BL6" s="754"/>
      <c r="BM6" s="754">
        <f>'Format 1A'!J28</f>
        <v>1</v>
      </c>
      <c r="BN6" s="754">
        <f>'Format 1A'!K28+'Format 1A'!L28</f>
        <v>1</v>
      </c>
      <c r="BO6" s="754">
        <f>'Format 1A'!M28</f>
        <v>0</v>
      </c>
      <c r="BP6" s="754">
        <f>'Format 1A'!J29</f>
        <v>1</v>
      </c>
      <c r="BQ6" s="754">
        <f>'Format 1A'!K29+'Format 1A'!L29</f>
        <v>1</v>
      </c>
      <c r="BR6" s="754">
        <f>'Format 1A'!M29</f>
        <v>0</v>
      </c>
      <c r="BS6" s="754">
        <f>'Format 1A'!J30</f>
        <v>0</v>
      </c>
      <c r="BT6" s="754">
        <f>'Format 1A'!K30+'Format 1A'!L30</f>
        <v>0</v>
      </c>
      <c r="BU6" s="754">
        <f>'Format 1A'!M30</f>
        <v>0</v>
      </c>
      <c r="BV6" s="754">
        <f>'Format 1A'!J31</f>
        <v>0</v>
      </c>
      <c r="BW6" s="754">
        <f>'Format 1A'!K31+'Format 1A'!L31</f>
        <v>0</v>
      </c>
      <c r="BX6" s="754">
        <f>'Format 1A'!M31</f>
        <v>0</v>
      </c>
      <c r="BY6" s="754">
        <f>'Format 1A'!J32</f>
        <v>2</v>
      </c>
      <c r="BZ6" s="754">
        <f>'Format 1A'!K32+'Format 1A'!L32</f>
        <v>0</v>
      </c>
      <c r="CA6" s="754">
        <f>'Format 1A'!M32</f>
        <v>2</v>
      </c>
      <c r="CB6" s="755">
        <f>E6+H6+K6+N6+Q6+T6+W6+Z6+AC6+AF6+AI6+AL6+AO6+AR6+AU6+AX6+BA6+BD6+BG6+BJ6+BM6+BP6+BS6+BV6+BY6</f>
        <v>26</v>
      </c>
      <c r="CC6" s="755">
        <f t="shared" ref="CC6:CD6" si="0">F6+I6+L6+O6+R6+U6+X6+AA6+AD6+AG6+AJ6+AM6+AP6+AS6+AV6+AY6+BB6+BE6+BH6+BK6+BN6+BQ6+BT6+BW6+BZ6</f>
        <v>20</v>
      </c>
      <c r="CD6" s="755">
        <f t="shared" si="0"/>
        <v>6</v>
      </c>
    </row>
    <row r="7" spans="1:82" s="715" customFormat="1" ht="35.1" customHeight="1">
      <c r="A7" s="750">
        <v>2</v>
      </c>
      <c r="B7" s="752"/>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6"/>
      <c r="AL7" s="716"/>
      <c r="AM7" s="716"/>
      <c r="AN7" s="716"/>
      <c r="AO7" s="716"/>
      <c r="AP7" s="716"/>
      <c r="AQ7" s="716"/>
      <c r="AR7" s="716"/>
      <c r="AS7" s="716"/>
      <c r="AT7" s="716"/>
      <c r="AU7" s="716"/>
      <c r="AV7" s="716"/>
      <c r="AW7" s="716"/>
      <c r="AX7" s="716"/>
      <c r="AY7" s="716"/>
      <c r="AZ7" s="716"/>
      <c r="BA7" s="716"/>
      <c r="BB7" s="716"/>
      <c r="BC7" s="716"/>
      <c r="BD7" s="716"/>
      <c r="BE7" s="716"/>
      <c r="BF7" s="716"/>
      <c r="BG7" s="716"/>
      <c r="BH7" s="716"/>
      <c r="BI7" s="716"/>
      <c r="BJ7" s="716"/>
      <c r="BK7" s="716"/>
      <c r="BL7" s="716"/>
      <c r="BM7" s="716"/>
      <c r="BN7" s="716"/>
      <c r="BO7" s="716"/>
      <c r="BP7" s="716"/>
      <c r="BQ7" s="716"/>
      <c r="BR7" s="716"/>
      <c r="BS7" s="716"/>
      <c r="BT7" s="716"/>
      <c r="BU7" s="716"/>
      <c r="BV7" s="716"/>
      <c r="BW7" s="716"/>
      <c r="BX7" s="716"/>
      <c r="BY7" s="716"/>
      <c r="BZ7" s="716"/>
      <c r="CA7" s="716"/>
      <c r="CB7" s="716"/>
      <c r="CC7" s="716"/>
      <c r="CD7" s="716"/>
    </row>
    <row r="8" spans="1:82" s="715" customFormat="1" ht="35.1" customHeight="1">
      <c r="A8" s="750">
        <v>3</v>
      </c>
      <c r="B8" s="752"/>
      <c r="C8" s="716"/>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6"/>
      <c r="AN8" s="716"/>
      <c r="AO8" s="716"/>
      <c r="AP8" s="716"/>
      <c r="AQ8" s="716"/>
      <c r="AR8" s="716"/>
      <c r="AS8" s="716"/>
      <c r="AT8" s="716"/>
      <c r="AU8" s="716"/>
      <c r="AV8" s="716"/>
      <c r="AW8" s="716"/>
      <c r="AX8" s="716"/>
      <c r="AY8" s="716"/>
      <c r="AZ8" s="716"/>
      <c r="BA8" s="716"/>
      <c r="BB8" s="716"/>
      <c r="BC8" s="716"/>
      <c r="BD8" s="716"/>
      <c r="BE8" s="716"/>
      <c r="BF8" s="716"/>
      <c r="BG8" s="716"/>
      <c r="BH8" s="716"/>
      <c r="BI8" s="716"/>
      <c r="BJ8" s="716"/>
      <c r="BK8" s="716"/>
      <c r="BL8" s="716"/>
      <c r="BM8" s="716"/>
      <c r="BN8" s="716"/>
      <c r="BO8" s="716"/>
      <c r="BP8" s="716"/>
      <c r="BQ8" s="716"/>
      <c r="BR8" s="716"/>
      <c r="BS8" s="716"/>
      <c r="BT8" s="716"/>
      <c r="BU8" s="716"/>
      <c r="BV8" s="716"/>
      <c r="BW8" s="716"/>
      <c r="BX8" s="716"/>
      <c r="BY8" s="716"/>
      <c r="BZ8" s="716"/>
      <c r="CA8" s="716"/>
      <c r="CB8" s="716"/>
      <c r="CC8" s="716"/>
      <c r="CD8" s="716"/>
    </row>
    <row r="9" spans="1:82" s="715" customFormat="1" ht="35.1" customHeight="1">
      <c r="A9" s="750">
        <v>4</v>
      </c>
      <c r="B9" s="752"/>
      <c r="C9" s="716"/>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6"/>
      <c r="AZ9" s="716"/>
      <c r="BA9" s="716"/>
      <c r="BB9" s="716"/>
      <c r="BC9" s="716"/>
      <c r="BD9" s="716"/>
      <c r="BE9" s="716"/>
      <c r="BF9" s="716"/>
      <c r="BG9" s="716"/>
      <c r="BH9" s="716"/>
      <c r="BI9" s="716"/>
      <c r="BJ9" s="716"/>
      <c r="BK9" s="716"/>
      <c r="BL9" s="716"/>
      <c r="BM9" s="716"/>
      <c r="BN9" s="716"/>
      <c r="BO9" s="716"/>
      <c r="BP9" s="716"/>
      <c r="BQ9" s="716"/>
      <c r="BR9" s="716"/>
      <c r="BS9" s="716"/>
      <c r="BT9" s="716"/>
      <c r="BU9" s="716"/>
      <c r="BV9" s="716"/>
      <c r="BW9" s="716"/>
      <c r="BX9" s="716"/>
      <c r="BY9" s="716"/>
      <c r="BZ9" s="716"/>
      <c r="CA9" s="716"/>
      <c r="CB9" s="716"/>
      <c r="CC9" s="716"/>
      <c r="CD9" s="716"/>
    </row>
    <row r="10" spans="1:82" s="715" customFormat="1" ht="35.1" customHeight="1">
      <c r="A10" s="750">
        <v>5</v>
      </c>
      <c r="B10" s="752"/>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16"/>
      <c r="AW10" s="716"/>
      <c r="AX10" s="716"/>
      <c r="AY10" s="716"/>
      <c r="AZ10" s="716"/>
      <c r="BA10" s="716"/>
      <c r="BB10" s="716"/>
      <c r="BC10" s="716"/>
      <c r="BD10" s="716"/>
      <c r="BE10" s="716"/>
      <c r="BF10" s="716"/>
      <c r="BG10" s="716"/>
      <c r="BH10" s="716"/>
      <c r="BI10" s="716"/>
      <c r="BJ10" s="716"/>
      <c r="BK10" s="716"/>
      <c r="BL10" s="716"/>
      <c r="BM10" s="716"/>
      <c r="BN10" s="716"/>
      <c r="BO10" s="716"/>
      <c r="BP10" s="716"/>
      <c r="BQ10" s="716"/>
      <c r="BR10" s="716"/>
      <c r="BS10" s="716"/>
      <c r="BT10" s="716"/>
      <c r="BU10" s="716"/>
      <c r="BV10" s="716"/>
      <c r="BW10" s="716"/>
      <c r="BX10" s="716"/>
      <c r="BY10" s="716"/>
      <c r="BZ10" s="716"/>
      <c r="CA10" s="716"/>
      <c r="CB10" s="716"/>
      <c r="CC10" s="716"/>
      <c r="CD10" s="716"/>
    </row>
    <row r="11" spans="1:82" s="715" customFormat="1" ht="35.1" customHeight="1">
      <c r="A11" s="750">
        <v>6</v>
      </c>
      <c r="B11" s="752"/>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E11" s="716"/>
      <c r="BF11" s="716"/>
      <c r="BG11" s="716"/>
      <c r="BH11" s="716"/>
      <c r="BI11" s="716"/>
      <c r="BJ11" s="716"/>
      <c r="BK11" s="716"/>
      <c r="BL11" s="716"/>
      <c r="BM11" s="716"/>
      <c r="BN11" s="716"/>
      <c r="BO11" s="716"/>
      <c r="BP11" s="716"/>
      <c r="BQ11" s="716"/>
      <c r="BR11" s="716"/>
      <c r="BS11" s="716"/>
      <c r="BT11" s="716"/>
      <c r="BU11" s="716"/>
      <c r="BV11" s="716"/>
      <c r="BW11" s="716"/>
      <c r="BX11" s="716"/>
      <c r="BY11" s="716"/>
      <c r="BZ11" s="716"/>
      <c r="CA11" s="716"/>
      <c r="CB11" s="716"/>
      <c r="CC11" s="716"/>
      <c r="CD11" s="716"/>
    </row>
    <row r="12" spans="1:82" s="715" customFormat="1" ht="21.95" customHeight="1">
      <c r="A12" s="716"/>
      <c r="B12" s="716"/>
      <c r="C12" s="749" t="s">
        <v>725</v>
      </c>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6"/>
      <c r="BC12" s="716"/>
      <c r="BD12" s="716"/>
      <c r="BE12" s="716"/>
      <c r="BF12" s="716"/>
      <c r="BG12" s="716"/>
      <c r="BH12" s="716"/>
      <c r="BI12" s="716"/>
      <c r="BJ12" s="716"/>
      <c r="BK12" s="716"/>
      <c r="BL12" s="716"/>
      <c r="BM12" s="716"/>
      <c r="BN12" s="716"/>
      <c r="BO12" s="716"/>
      <c r="BP12" s="716"/>
      <c r="BQ12" s="716"/>
      <c r="BR12" s="716"/>
      <c r="BS12" s="716"/>
      <c r="BT12" s="716"/>
      <c r="BU12" s="716"/>
      <c r="BV12" s="716"/>
      <c r="BW12" s="716"/>
      <c r="BX12" s="716"/>
      <c r="BY12" s="716"/>
      <c r="BZ12" s="716"/>
      <c r="CA12" s="716"/>
      <c r="CB12" s="716"/>
      <c r="CC12" s="716"/>
      <c r="CD12" s="716"/>
    </row>
    <row r="13" spans="1:82" s="721" customFormat="1" ht="18.75">
      <c r="A13" s="721">
        <v>1</v>
      </c>
      <c r="B13" s="747" t="s">
        <v>726</v>
      </c>
      <c r="C13" s="748"/>
      <c r="D13" s="748"/>
      <c r="E13" s="748"/>
    </row>
    <row r="14" spans="1:82" s="721" customFormat="1" ht="18.75">
      <c r="A14" s="721">
        <v>2</v>
      </c>
      <c r="B14" s="747" t="s">
        <v>727</v>
      </c>
      <c r="C14" s="748"/>
      <c r="D14" s="748"/>
      <c r="E14" s="748"/>
    </row>
  </sheetData>
  <mergeCells count="36">
    <mergeCell ref="A1:B1"/>
    <mergeCell ref="C1:S1"/>
    <mergeCell ref="A2:B2"/>
    <mergeCell ref="CB4:CD4"/>
    <mergeCell ref="AU4:AW4"/>
    <mergeCell ref="AX4:AZ4"/>
    <mergeCell ref="BA4:BC4"/>
    <mergeCell ref="BD4:BF4"/>
    <mergeCell ref="BG4:BI4"/>
    <mergeCell ref="BJ4:BL4"/>
    <mergeCell ref="BM4:BO4"/>
    <mergeCell ref="BP4:BR4"/>
    <mergeCell ref="BS4:BU4"/>
    <mergeCell ref="BV4:BX4"/>
    <mergeCell ref="BY4:CA4"/>
    <mergeCell ref="AR4:AT4"/>
    <mergeCell ref="AO4:AQ4"/>
    <mergeCell ref="H4:J4"/>
    <mergeCell ref="U2:V2"/>
    <mergeCell ref="X2:AE2"/>
    <mergeCell ref="C2:R2"/>
    <mergeCell ref="Z4:AB4"/>
    <mergeCell ref="AC4:AE4"/>
    <mergeCell ref="AF4:AH4"/>
    <mergeCell ref="AI4:AK4"/>
    <mergeCell ref="AL4:AN4"/>
    <mergeCell ref="K4:M4"/>
    <mergeCell ref="N4:P4"/>
    <mergeCell ref="Q4:S4"/>
    <mergeCell ref="T4:V4"/>
    <mergeCell ref="W4:Y4"/>
    <mergeCell ref="A4:A5"/>
    <mergeCell ref="B4:B5"/>
    <mergeCell ref="C4:C5"/>
    <mergeCell ref="D4:D5"/>
    <mergeCell ref="E4:G4"/>
  </mergeCells>
  <pageMargins left="0.7" right="0.2"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sheetPr codeName="Sheet13">
    <tabColor rgb="FFFFFF00"/>
  </sheetPr>
  <dimension ref="A1:R39"/>
  <sheetViews>
    <sheetView showGridLines="0" view="pageBreakPreview" topLeftCell="A10" zoomScale="110" zoomScaleSheetLayoutView="110" workbookViewId="0">
      <selection activeCell="D7" sqref="D7"/>
    </sheetView>
  </sheetViews>
  <sheetFormatPr defaultColWidth="9.125" defaultRowHeight="15"/>
  <cols>
    <col min="1" max="1" width="5.875" style="188" bestFit="1" customWidth="1"/>
    <col min="2" max="2" width="20" style="188" customWidth="1"/>
    <col min="3" max="9" width="8.75" style="188" customWidth="1"/>
    <col min="10" max="10" width="5.875" style="188" bestFit="1" customWidth="1"/>
    <col min="11" max="11" width="19" style="188" customWidth="1"/>
    <col min="12" max="18" width="8.75" style="188" customWidth="1"/>
    <col min="19" max="16384" width="9.125" style="188"/>
  </cols>
  <sheetData>
    <row r="1" spans="1:18" ht="15.75">
      <c r="A1" s="137"/>
      <c r="B1" s="137"/>
      <c r="C1" s="137"/>
      <c r="D1" s="137"/>
      <c r="E1" s="137"/>
      <c r="F1" s="137"/>
      <c r="G1" s="949">
        <f>Summary!$C$1</f>
        <v>30695</v>
      </c>
      <c r="H1" s="949"/>
      <c r="I1" s="949"/>
      <c r="J1" s="137"/>
      <c r="K1" s="137"/>
      <c r="L1" s="137"/>
      <c r="M1" s="137"/>
      <c r="N1" s="137"/>
      <c r="O1" s="137"/>
      <c r="P1" s="949">
        <f>Summary!$C$1</f>
        <v>30695</v>
      </c>
      <c r="Q1" s="949"/>
      <c r="R1" s="949"/>
    </row>
    <row r="2" spans="1:18">
      <c r="A2" s="998" t="s">
        <v>353</v>
      </c>
      <c r="B2" s="998"/>
      <c r="C2" s="998"/>
      <c r="D2" s="998"/>
      <c r="E2" s="998"/>
      <c r="F2" s="998"/>
      <c r="G2" s="998"/>
      <c r="H2" s="998"/>
      <c r="I2" s="998"/>
      <c r="J2" s="998" t="s">
        <v>353</v>
      </c>
      <c r="K2" s="998"/>
      <c r="L2" s="998"/>
      <c r="M2" s="998"/>
      <c r="N2" s="998"/>
      <c r="O2" s="998"/>
      <c r="P2" s="998"/>
      <c r="Q2" s="998"/>
      <c r="R2" s="998"/>
    </row>
    <row r="3" spans="1:18">
      <c r="A3" s="989" t="str">
        <f>Summary!$A$3</f>
        <v>Principal Mahatma Gandhi Government School (English Medium) Bar, (BEAWAR)</v>
      </c>
      <c r="B3" s="989"/>
      <c r="C3" s="989"/>
      <c r="D3" s="989"/>
      <c r="E3" s="989"/>
      <c r="F3" s="989"/>
      <c r="G3" s="989"/>
      <c r="H3" s="989"/>
      <c r="I3" s="989"/>
      <c r="J3" s="989" t="str">
        <f>Summary!$A$3</f>
        <v>Principal Mahatma Gandhi Government School (English Medium) Bar, (BEAWAR)</v>
      </c>
      <c r="K3" s="989"/>
      <c r="L3" s="989"/>
      <c r="M3" s="989"/>
      <c r="N3" s="989"/>
      <c r="O3" s="989"/>
      <c r="P3" s="989"/>
      <c r="Q3" s="989"/>
      <c r="R3" s="989"/>
    </row>
    <row r="4" spans="1:18">
      <c r="A4" s="989" t="s">
        <v>786</v>
      </c>
      <c r="B4" s="989"/>
      <c r="C4" s="989"/>
      <c r="D4" s="989"/>
      <c r="E4" s="989"/>
      <c r="F4" s="989"/>
      <c r="G4" s="989"/>
      <c r="H4" s="989"/>
      <c r="I4" s="989"/>
      <c r="J4" s="990" t="s">
        <v>787</v>
      </c>
      <c r="K4" s="990"/>
      <c r="L4" s="990"/>
      <c r="M4" s="990"/>
      <c r="N4" s="990"/>
      <c r="O4" s="990"/>
      <c r="P4" s="990"/>
      <c r="Q4" s="990"/>
      <c r="R4" s="990"/>
    </row>
    <row r="5" spans="1:18" ht="15" customHeight="1" thickBot="1">
      <c r="A5" s="991" t="str">
        <f>Summary!A5</f>
        <v>BUDGET HEAD : 2202-GENERAL EDUCATION, 02-SECONDARY EDUCATION, 109-GOVT. SEC. SCHOOL, (02)-GIRLS SCHOOL (STATE FUND)</v>
      </c>
      <c r="B5" s="991"/>
      <c r="C5" s="991"/>
      <c r="D5" s="991"/>
      <c r="E5" s="991"/>
      <c r="F5" s="991"/>
      <c r="G5" s="991"/>
      <c r="H5" s="991"/>
      <c r="I5" s="991"/>
      <c r="J5" s="991" t="str">
        <f>Summary!A5</f>
        <v>BUDGET HEAD : 2202-GENERAL EDUCATION, 02-SECONDARY EDUCATION, 109-GOVT. SEC. SCHOOL, (02)-GIRLS SCHOOL (STATE FUND)</v>
      </c>
      <c r="K5" s="991"/>
      <c r="L5" s="991"/>
      <c r="M5" s="991"/>
      <c r="N5" s="991"/>
      <c r="O5" s="991"/>
      <c r="P5" s="991"/>
      <c r="Q5" s="991"/>
      <c r="R5" s="991"/>
    </row>
    <row r="6" spans="1:18" s="191" customFormat="1" ht="21" customHeight="1">
      <c r="A6" s="992" t="s">
        <v>354</v>
      </c>
      <c r="B6" s="994" t="s">
        <v>355</v>
      </c>
      <c r="C6" s="499" t="s">
        <v>68</v>
      </c>
      <c r="D6" s="499" t="s">
        <v>69</v>
      </c>
      <c r="E6" s="499" t="s">
        <v>69</v>
      </c>
      <c r="F6" s="499" t="s">
        <v>69</v>
      </c>
      <c r="G6" s="499" t="s">
        <v>69</v>
      </c>
      <c r="H6" s="499" t="s">
        <v>69</v>
      </c>
      <c r="I6" s="996" t="s">
        <v>70</v>
      </c>
      <c r="J6" s="992" t="s">
        <v>354</v>
      </c>
      <c r="K6" s="994" t="s">
        <v>355</v>
      </c>
      <c r="L6" s="499" t="s">
        <v>68</v>
      </c>
      <c r="M6" s="499" t="s">
        <v>69</v>
      </c>
      <c r="N6" s="499" t="s">
        <v>69</v>
      </c>
      <c r="O6" s="499" t="s">
        <v>69</v>
      </c>
      <c r="P6" s="499" t="s">
        <v>69</v>
      </c>
      <c r="Q6" s="499" t="s">
        <v>69</v>
      </c>
      <c r="R6" s="996" t="s">
        <v>70</v>
      </c>
    </row>
    <row r="7" spans="1:18" s="192" customFormat="1" ht="21" customHeight="1">
      <c r="A7" s="993"/>
      <c r="B7" s="995"/>
      <c r="C7" s="500">
        <f>Master!E112</f>
        <v>44286</v>
      </c>
      <c r="D7" s="500" t="str">
        <f>Master!F112</f>
        <v>2021-22</v>
      </c>
      <c r="E7" s="500" t="str">
        <f>Master!G112</f>
        <v>2022-23</v>
      </c>
      <c r="F7" s="500" t="str">
        <f>Master!H112</f>
        <v>2023-24</v>
      </c>
      <c r="G7" s="500" t="str">
        <f>Master!I112</f>
        <v>2024-25</v>
      </c>
      <c r="H7" s="500" t="str">
        <f>Master!J112</f>
        <v>2025-26</v>
      </c>
      <c r="I7" s="997"/>
      <c r="J7" s="993"/>
      <c r="K7" s="995"/>
      <c r="L7" s="500">
        <f>Master!E156</f>
        <v>44286</v>
      </c>
      <c r="M7" s="500" t="str">
        <f>Master!F156</f>
        <v>2021-22</v>
      </c>
      <c r="N7" s="500" t="str">
        <f>Master!G156</f>
        <v>2022-23</v>
      </c>
      <c r="O7" s="500" t="str">
        <f>Master!H156</f>
        <v>2023-24</v>
      </c>
      <c r="P7" s="500" t="str">
        <f>Master!I156</f>
        <v>2024-25</v>
      </c>
      <c r="Q7" s="500" t="str">
        <f>Master!J156</f>
        <v>2025-26</v>
      </c>
      <c r="R7" s="997"/>
    </row>
    <row r="8" spans="1:18" s="192" customFormat="1" ht="15.95" customHeight="1">
      <c r="A8" s="194">
        <v>1</v>
      </c>
      <c r="B8" s="195" t="str">
        <f>IF(AND(Master!B113=""),"",Master!B113)</f>
        <v>Jherh m"kk ikfy;k</v>
      </c>
      <c r="C8" s="501">
        <f>IF(AND(Master!E113=""),"",Master!E113)</f>
        <v>0</v>
      </c>
      <c r="D8" s="501">
        <f>IF(AND(Master!F113=""),"",Master!F113)</f>
        <v>0</v>
      </c>
      <c r="E8" s="501">
        <f>IF(AND(Master!G113=""),"",Master!G113)</f>
        <v>0</v>
      </c>
      <c r="F8" s="501">
        <f>IF(AND(Master!H113=""),"",Master!H113)</f>
        <v>0</v>
      </c>
      <c r="G8" s="501">
        <f>IF(AND(Master!I113=""),"",Master!I113)</f>
        <v>4000</v>
      </c>
      <c r="H8" s="501">
        <f>IF(AND(Master!J113=""),"",Master!J113)</f>
        <v>0</v>
      </c>
      <c r="I8" s="502">
        <f>IF(AND(B8=""),"",SUM(C8:H8))</f>
        <v>4000</v>
      </c>
      <c r="J8" s="194">
        <v>1</v>
      </c>
      <c r="K8" s="195" t="str">
        <f>IF(AND(Master!B157=""),"",Master!B157)</f>
        <v>Jherh m"kk ikfy;k</v>
      </c>
      <c r="L8" s="501">
        <f>IF(AND(Master!E157=""),"",Master!E157)</f>
        <v>0</v>
      </c>
      <c r="M8" s="501">
        <f>IF(AND(Master!F157=""),"",Master!F157)</f>
        <v>0</v>
      </c>
      <c r="N8" s="501">
        <f>IF(AND(Master!G157=""),"",Master!G157)</f>
        <v>0</v>
      </c>
      <c r="O8" s="501">
        <f>IF(AND(Master!H157=""),"",Master!H157)</f>
        <v>0</v>
      </c>
      <c r="P8" s="501">
        <f>IF(AND(Master!I157=""),"",Master!I157)</f>
        <v>0</v>
      </c>
      <c r="Q8" s="501">
        <f>IF(AND(Master!J157=""),"",Master!J157)</f>
        <v>0</v>
      </c>
      <c r="R8" s="502">
        <f>IF(AND(K8=""),"",SUM(L8:Q8))</f>
        <v>0</v>
      </c>
    </row>
    <row r="9" spans="1:18" s="192" customFormat="1" ht="15.95" customHeight="1">
      <c r="A9" s="194">
        <v>2</v>
      </c>
      <c r="B9" s="195" t="str">
        <f>IF(AND(Master!B114=""),"",Master!B114)</f>
        <v>Jh nsokuUn</v>
      </c>
      <c r="C9" s="501">
        <f>IF(AND(Master!E114=""),"",Master!E114)</f>
        <v>0</v>
      </c>
      <c r="D9" s="501">
        <f>IF(AND(Master!F114=""),"",Master!F114)</f>
        <v>0</v>
      </c>
      <c r="E9" s="501">
        <f>IF(AND(Master!G114=""),"",Master!G114)</f>
        <v>0</v>
      </c>
      <c r="F9" s="501">
        <f>IF(AND(Master!H114=""),"",Master!H114)</f>
        <v>0</v>
      </c>
      <c r="G9" s="501">
        <f>IF(AND(Master!I114=""),"",Master!I114)</f>
        <v>500</v>
      </c>
      <c r="H9" s="501">
        <f>IF(AND(Master!J114=""),"",Master!J114)</f>
        <v>0</v>
      </c>
      <c r="I9" s="502">
        <f t="shared" ref="I9:I28" si="0">IF(AND(B9=""),"",SUM(C9:H9))</f>
        <v>500</v>
      </c>
      <c r="J9" s="194">
        <v>2</v>
      </c>
      <c r="K9" s="195" t="str">
        <f>IF(AND(Master!B158=""),"",Master!B158)</f>
        <v>Jh nsokuUn</v>
      </c>
      <c r="L9" s="501">
        <f>IF(AND(Master!E158=""),"",Master!E158)</f>
        <v>0</v>
      </c>
      <c r="M9" s="501">
        <f>IF(AND(Master!F158=""),"",Master!F158)</f>
        <v>0</v>
      </c>
      <c r="N9" s="501">
        <f>IF(AND(Master!G158=""),"",Master!G158)</f>
        <v>0</v>
      </c>
      <c r="O9" s="501">
        <f>IF(AND(Master!H158=""),"",Master!H158)</f>
        <v>0</v>
      </c>
      <c r="P9" s="501">
        <f>IF(AND(Master!I158=""),"",Master!I158)</f>
        <v>1000</v>
      </c>
      <c r="Q9" s="501">
        <f>IF(AND(Master!J158=""),"",Master!J158)</f>
        <v>0</v>
      </c>
      <c r="R9" s="502">
        <f t="shared" ref="R9:R28" si="1">IF(AND(K9=""),"",SUM(L9:Q9))</f>
        <v>1000</v>
      </c>
    </row>
    <row r="10" spans="1:18" s="192" customFormat="1" ht="15.95" customHeight="1">
      <c r="A10" s="194">
        <v>3</v>
      </c>
      <c r="B10" s="195" t="str">
        <f>IF(AND(Master!B115=""),"",Master!B115)</f>
        <v/>
      </c>
      <c r="C10" s="501" t="str">
        <f>IF(AND(Master!E115=""),"",Master!E115)</f>
        <v/>
      </c>
      <c r="D10" s="501" t="str">
        <f>IF(AND(Master!F115=""),"",Master!F115)</f>
        <v/>
      </c>
      <c r="E10" s="501" t="str">
        <f>IF(AND(Master!G115=""),"",Master!G115)</f>
        <v/>
      </c>
      <c r="F10" s="501" t="str">
        <f>IF(AND(Master!H115=""),"",Master!H115)</f>
        <v/>
      </c>
      <c r="G10" s="501" t="str">
        <f>IF(AND(Master!I115=""),"",Master!I115)</f>
        <v/>
      </c>
      <c r="H10" s="501" t="str">
        <f>IF(AND(Master!J115=""),"",Master!J115)</f>
        <v/>
      </c>
      <c r="I10" s="502" t="str">
        <f t="shared" si="0"/>
        <v/>
      </c>
      <c r="J10" s="194">
        <v>3</v>
      </c>
      <c r="K10" s="195" t="str">
        <f>IF(AND(Master!B159=""),"",Master!B159)</f>
        <v/>
      </c>
      <c r="L10" s="501" t="str">
        <f>IF(AND(Master!E159=""),"",Master!E159)</f>
        <v/>
      </c>
      <c r="M10" s="501" t="str">
        <f>IF(AND(Master!F159=""),"",Master!F159)</f>
        <v/>
      </c>
      <c r="N10" s="501" t="str">
        <f>IF(AND(Master!G159=""),"",Master!G159)</f>
        <v/>
      </c>
      <c r="O10" s="501" t="str">
        <f>IF(AND(Master!H159=""),"",Master!H159)</f>
        <v/>
      </c>
      <c r="P10" s="501" t="str">
        <f>IF(AND(Master!I159=""),"",Master!I159)</f>
        <v/>
      </c>
      <c r="Q10" s="501" t="str">
        <f>IF(AND(Master!J159=""),"",Master!J159)</f>
        <v/>
      </c>
      <c r="R10" s="502" t="str">
        <f t="shared" si="1"/>
        <v/>
      </c>
    </row>
    <row r="11" spans="1:18" s="192" customFormat="1" ht="15.95" customHeight="1">
      <c r="A11" s="194">
        <v>4</v>
      </c>
      <c r="B11" s="195" t="str">
        <f>IF(AND(Master!B116=""),"",Master!B116)</f>
        <v/>
      </c>
      <c r="C11" s="501" t="str">
        <f>IF(AND(Master!E116=""),"",Master!E116)</f>
        <v/>
      </c>
      <c r="D11" s="501" t="str">
        <f>IF(AND(Master!F116=""),"",Master!F116)</f>
        <v/>
      </c>
      <c r="E11" s="501" t="str">
        <f>IF(AND(Master!G116=""),"",Master!G116)</f>
        <v/>
      </c>
      <c r="F11" s="501" t="str">
        <f>IF(AND(Master!H116=""),"",Master!H116)</f>
        <v/>
      </c>
      <c r="G11" s="501" t="str">
        <f>IF(AND(Master!I116=""),"",Master!I116)</f>
        <v/>
      </c>
      <c r="H11" s="501" t="str">
        <f>IF(AND(Master!J116=""),"",Master!J116)</f>
        <v/>
      </c>
      <c r="I11" s="502" t="str">
        <f t="shared" si="0"/>
        <v/>
      </c>
      <c r="J11" s="194">
        <v>4</v>
      </c>
      <c r="K11" s="195" t="str">
        <f>IF(AND(Master!B160=""),"",Master!B160)</f>
        <v/>
      </c>
      <c r="L11" s="501" t="str">
        <f>IF(AND(Master!E160=""),"",Master!E160)</f>
        <v/>
      </c>
      <c r="M11" s="501" t="str">
        <f>IF(AND(Master!F160=""),"",Master!F160)</f>
        <v/>
      </c>
      <c r="N11" s="501" t="str">
        <f>IF(AND(Master!G160=""),"",Master!G160)</f>
        <v/>
      </c>
      <c r="O11" s="501" t="str">
        <f>IF(AND(Master!H160=""),"",Master!H160)</f>
        <v/>
      </c>
      <c r="P11" s="501" t="str">
        <f>IF(AND(Master!I160=""),"",Master!I160)</f>
        <v/>
      </c>
      <c r="Q11" s="501" t="str">
        <f>IF(AND(Master!J160=""),"",Master!J160)</f>
        <v/>
      </c>
      <c r="R11" s="502" t="str">
        <f t="shared" si="1"/>
        <v/>
      </c>
    </row>
    <row r="12" spans="1:18" s="192" customFormat="1" ht="15.95" customHeight="1">
      <c r="A12" s="194">
        <v>5</v>
      </c>
      <c r="B12" s="195" t="str">
        <f>IF(AND(Master!B117=""),"",Master!B117)</f>
        <v/>
      </c>
      <c r="C12" s="501" t="str">
        <f>IF(AND(Master!E117=""),"",Master!E117)</f>
        <v/>
      </c>
      <c r="D12" s="501" t="str">
        <f>IF(AND(Master!F117=""),"",Master!F117)</f>
        <v/>
      </c>
      <c r="E12" s="501" t="str">
        <f>IF(AND(Master!G117=""),"",Master!G117)</f>
        <v/>
      </c>
      <c r="F12" s="501" t="str">
        <f>IF(AND(Master!H117=""),"",Master!H117)</f>
        <v/>
      </c>
      <c r="G12" s="501" t="str">
        <f>IF(AND(Master!I117=""),"",Master!I117)</f>
        <v/>
      </c>
      <c r="H12" s="501" t="str">
        <f>IF(AND(Master!J117=""),"",Master!J117)</f>
        <v/>
      </c>
      <c r="I12" s="502" t="str">
        <f t="shared" si="0"/>
        <v/>
      </c>
      <c r="J12" s="194">
        <v>5</v>
      </c>
      <c r="K12" s="195" t="str">
        <f>IF(AND(Master!B161=""),"",Master!B161)</f>
        <v/>
      </c>
      <c r="L12" s="501" t="str">
        <f>IF(AND(Master!E161=""),"",Master!E161)</f>
        <v/>
      </c>
      <c r="M12" s="501" t="str">
        <f>IF(AND(Master!F161=""),"",Master!F161)</f>
        <v/>
      </c>
      <c r="N12" s="501" t="str">
        <f>IF(AND(Master!G161=""),"",Master!G161)</f>
        <v/>
      </c>
      <c r="O12" s="501" t="str">
        <f>IF(AND(Master!H161=""),"",Master!H161)</f>
        <v/>
      </c>
      <c r="P12" s="501" t="str">
        <f>IF(AND(Master!I161=""),"",Master!I161)</f>
        <v/>
      </c>
      <c r="Q12" s="501" t="str">
        <f>IF(AND(Master!J161=""),"",Master!J161)</f>
        <v/>
      </c>
      <c r="R12" s="502" t="str">
        <f t="shared" si="1"/>
        <v/>
      </c>
    </row>
    <row r="13" spans="1:18" s="192" customFormat="1" ht="15.95" customHeight="1">
      <c r="A13" s="194">
        <v>6</v>
      </c>
      <c r="B13" s="195" t="str">
        <f>IF(AND(Master!B118=""),"",Master!B118)</f>
        <v/>
      </c>
      <c r="C13" s="501" t="str">
        <f>IF(AND(Master!E118=""),"",Master!E118)</f>
        <v/>
      </c>
      <c r="D13" s="501" t="str">
        <f>IF(AND(Master!F118=""),"",Master!F118)</f>
        <v/>
      </c>
      <c r="E13" s="501" t="str">
        <f>IF(AND(Master!G118=""),"",Master!G118)</f>
        <v/>
      </c>
      <c r="F13" s="501" t="str">
        <f>IF(AND(Master!H118=""),"",Master!H118)</f>
        <v/>
      </c>
      <c r="G13" s="501" t="str">
        <f>IF(AND(Master!I118=""),"",Master!I118)</f>
        <v/>
      </c>
      <c r="H13" s="501" t="str">
        <f>IF(AND(Master!J118=""),"",Master!J118)</f>
        <v/>
      </c>
      <c r="I13" s="502" t="str">
        <f t="shared" si="0"/>
        <v/>
      </c>
      <c r="J13" s="194">
        <v>6</v>
      </c>
      <c r="K13" s="195" t="str">
        <f>IF(AND(Master!B162=""),"",Master!B162)</f>
        <v/>
      </c>
      <c r="L13" s="501" t="str">
        <f>IF(AND(Master!E162=""),"",Master!E162)</f>
        <v/>
      </c>
      <c r="M13" s="501" t="str">
        <f>IF(AND(Master!F162=""),"",Master!F162)</f>
        <v/>
      </c>
      <c r="N13" s="501" t="str">
        <f>IF(AND(Master!G162=""),"",Master!G162)</f>
        <v/>
      </c>
      <c r="O13" s="501" t="str">
        <f>IF(AND(Master!H162=""),"",Master!H162)</f>
        <v/>
      </c>
      <c r="P13" s="501" t="str">
        <f>IF(AND(Master!I162=""),"",Master!I162)</f>
        <v/>
      </c>
      <c r="Q13" s="501" t="str">
        <f>IF(AND(Master!J162=""),"",Master!J162)</f>
        <v/>
      </c>
      <c r="R13" s="502" t="str">
        <f t="shared" si="1"/>
        <v/>
      </c>
    </row>
    <row r="14" spans="1:18" s="192" customFormat="1" ht="15.95" customHeight="1">
      <c r="A14" s="194">
        <v>7</v>
      </c>
      <c r="B14" s="195" t="str">
        <f>IF(AND(Master!B119=""),"",Master!B119)</f>
        <v/>
      </c>
      <c r="C14" s="501" t="str">
        <f>IF(AND(Master!E119=""),"",Master!E119)</f>
        <v/>
      </c>
      <c r="D14" s="501" t="str">
        <f>IF(AND(Master!F119=""),"",Master!F119)</f>
        <v/>
      </c>
      <c r="E14" s="501" t="str">
        <f>IF(AND(Master!G119=""),"",Master!G119)</f>
        <v/>
      </c>
      <c r="F14" s="501" t="str">
        <f>IF(AND(Master!H119=""),"",Master!H119)</f>
        <v/>
      </c>
      <c r="G14" s="501" t="str">
        <f>IF(AND(Master!I119=""),"",Master!I119)</f>
        <v/>
      </c>
      <c r="H14" s="501" t="str">
        <f>IF(AND(Master!J119=""),"",Master!J119)</f>
        <v/>
      </c>
      <c r="I14" s="502" t="str">
        <f t="shared" si="0"/>
        <v/>
      </c>
      <c r="J14" s="194">
        <v>7</v>
      </c>
      <c r="K14" s="195" t="str">
        <f>IF(AND(Master!B163=""),"",Master!B163)</f>
        <v/>
      </c>
      <c r="L14" s="501" t="str">
        <f>IF(AND(Master!E163=""),"",Master!E163)</f>
        <v/>
      </c>
      <c r="M14" s="501" t="str">
        <f>IF(AND(Master!F163=""),"",Master!F163)</f>
        <v/>
      </c>
      <c r="N14" s="501" t="str">
        <f>IF(AND(Master!G163=""),"",Master!G163)</f>
        <v/>
      </c>
      <c r="O14" s="501" t="str">
        <f>IF(AND(Master!H163=""),"",Master!H163)</f>
        <v/>
      </c>
      <c r="P14" s="501" t="str">
        <f>IF(AND(Master!I163=""),"",Master!I163)</f>
        <v/>
      </c>
      <c r="Q14" s="501" t="str">
        <f>IF(AND(Master!J163=""),"",Master!J163)</f>
        <v/>
      </c>
      <c r="R14" s="502" t="str">
        <f t="shared" si="1"/>
        <v/>
      </c>
    </row>
    <row r="15" spans="1:18" s="192" customFormat="1" ht="15.95" customHeight="1">
      <c r="A15" s="194">
        <v>8</v>
      </c>
      <c r="B15" s="195" t="str">
        <f>IF(AND(Master!B120=""),"",Master!B120)</f>
        <v/>
      </c>
      <c r="C15" s="501" t="str">
        <f>IF(AND(Master!E120=""),"",Master!E120)</f>
        <v/>
      </c>
      <c r="D15" s="501" t="str">
        <f>IF(AND(Master!F120=""),"",Master!F120)</f>
        <v/>
      </c>
      <c r="E15" s="501" t="str">
        <f>IF(AND(Master!G120=""),"",Master!G120)</f>
        <v/>
      </c>
      <c r="F15" s="501" t="str">
        <f>IF(AND(Master!H120=""),"",Master!H120)</f>
        <v/>
      </c>
      <c r="G15" s="501" t="str">
        <f>IF(AND(Master!I120=""),"",Master!I120)</f>
        <v/>
      </c>
      <c r="H15" s="501" t="str">
        <f>IF(AND(Master!J120=""),"",Master!J120)</f>
        <v/>
      </c>
      <c r="I15" s="502" t="str">
        <f t="shared" si="0"/>
        <v/>
      </c>
      <c r="J15" s="194">
        <v>8</v>
      </c>
      <c r="K15" s="195" t="str">
        <f>IF(AND(Master!B164=""),"",Master!B164)</f>
        <v/>
      </c>
      <c r="L15" s="501" t="str">
        <f>IF(AND(Master!E164=""),"",Master!E164)</f>
        <v/>
      </c>
      <c r="M15" s="501" t="str">
        <f>IF(AND(Master!F164=""),"",Master!F164)</f>
        <v/>
      </c>
      <c r="N15" s="501" t="str">
        <f>IF(AND(Master!G164=""),"",Master!G164)</f>
        <v/>
      </c>
      <c r="O15" s="501" t="str">
        <f>IF(AND(Master!H164=""),"",Master!H164)</f>
        <v/>
      </c>
      <c r="P15" s="501" t="str">
        <f>IF(AND(Master!I164=""),"",Master!I164)</f>
        <v/>
      </c>
      <c r="Q15" s="501" t="str">
        <f>IF(AND(Master!J164=""),"",Master!J164)</f>
        <v/>
      </c>
      <c r="R15" s="502" t="str">
        <f t="shared" si="1"/>
        <v/>
      </c>
    </row>
    <row r="16" spans="1:18" s="192" customFormat="1" ht="15.95" customHeight="1">
      <c r="A16" s="194">
        <v>9</v>
      </c>
      <c r="B16" s="195" t="str">
        <f>IF(AND(Master!B121=""),"",Master!B121)</f>
        <v/>
      </c>
      <c r="C16" s="501" t="str">
        <f>IF(AND(Master!E121=""),"",Master!E121)</f>
        <v/>
      </c>
      <c r="D16" s="501" t="str">
        <f>IF(AND(Master!F121=""),"",Master!F121)</f>
        <v/>
      </c>
      <c r="E16" s="501" t="str">
        <f>IF(AND(Master!G121=""),"",Master!G121)</f>
        <v/>
      </c>
      <c r="F16" s="501" t="str">
        <f>IF(AND(Master!H121=""),"",Master!H121)</f>
        <v/>
      </c>
      <c r="G16" s="501" t="str">
        <f>IF(AND(Master!I121=""),"",Master!I121)</f>
        <v/>
      </c>
      <c r="H16" s="501" t="str">
        <f>IF(AND(Master!J121=""),"",Master!J121)</f>
        <v/>
      </c>
      <c r="I16" s="502" t="str">
        <f t="shared" si="0"/>
        <v/>
      </c>
      <c r="J16" s="194">
        <v>9</v>
      </c>
      <c r="K16" s="195" t="str">
        <f>IF(AND(Master!B165=""),"",Master!B165)</f>
        <v/>
      </c>
      <c r="L16" s="501" t="str">
        <f>IF(AND(Master!E165=""),"",Master!E165)</f>
        <v/>
      </c>
      <c r="M16" s="501" t="str">
        <f>IF(AND(Master!F165=""),"",Master!F165)</f>
        <v/>
      </c>
      <c r="N16" s="501" t="str">
        <f>IF(AND(Master!G165=""),"",Master!G165)</f>
        <v/>
      </c>
      <c r="O16" s="501" t="str">
        <f>IF(AND(Master!H165=""),"",Master!H165)</f>
        <v/>
      </c>
      <c r="P16" s="501" t="str">
        <f>IF(AND(Master!I165=""),"",Master!I165)</f>
        <v/>
      </c>
      <c r="Q16" s="501" t="str">
        <f>IF(AND(Master!J165=""),"",Master!J165)</f>
        <v/>
      </c>
      <c r="R16" s="502" t="str">
        <f t="shared" si="1"/>
        <v/>
      </c>
    </row>
    <row r="17" spans="1:18" s="192" customFormat="1" ht="15.95" customHeight="1">
      <c r="A17" s="194">
        <v>10</v>
      </c>
      <c r="B17" s="195" t="str">
        <f>IF(AND(Master!B122=""),"",Master!B122)</f>
        <v/>
      </c>
      <c r="C17" s="501" t="str">
        <f>IF(AND(Master!E122=""),"",Master!E122)</f>
        <v/>
      </c>
      <c r="D17" s="501" t="str">
        <f>IF(AND(Master!F122=""),"",Master!F122)</f>
        <v/>
      </c>
      <c r="E17" s="501" t="str">
        <f>IF(AND(Master!G122=""),"",Master!G122)</f>
        <v/>
      </c>
      <c r="F17" s="501" t="str">
        <f>IF(AND(Master!H122=""),"",Master!H122)</f>
        <v/>
      </c>
      <c r="G17" s="501" t="str">
        <f>IF(AND(Master!I122=""),"",Master!I122)</f>
        <v/>
      </c>
      <c r="H17" s="501" t="str">
        <f>IF(AND(Master!J122=""),"",Master!J122)</f>
        <v/>
      </c>
      <c r="I17" s="502" t="str">
        <f t="shared" si="0"/>
        <v/>
      </c>
      <c r="J17" s="194">
        <v>10</v>
      </c>
      <c r="K17" s="195" t="str">
        <f>IF(AND(Master!B166=""),"",Master!B166)</f>
        <v/>
      </c>
      <c r="L17" s="501" t="str">
        <f>IF(AND(Master!E166=""),"",Master!E166)</f>
        <v/>
      </c>
      <c r="M17" s="501" t="str">
        <f>IF(AND(Master!F166=""),"",Master!F166)</f>
        <v/>
      </c>
      <c r="N17" s="501" t="str">
        <f>IF(AND(Master!G166=""),"",Master!G166)</f>
        <v/>
      </c>
      <c r="O17" s="501" t="str">
        <f>IF(AND(Master!H166=""),"",Master!H166)</f>
        <v/>
      </c>
      <c r="P17" s="501" t="str">
        <f>IF(AND(Master!I166=""),"",Master!I166)</f>
        <v/>
      </c>
      <c r="Q17" s="501" t="str">
        <f>IF(AND(Master!J166=""),"",Master!J166)</f>
        <v/>
      </c>
      <c r="R17" s="502" t="str">
        <f t="shared" si="1"/>
        <v/>
      </c>
    </row>
    <row r="18" spans="1:18" s="192" customFormat="1" ht="15.95" customHeight="1">
      <c r="A18" s="194">
        <v>11</v>
      </c>
      <c r="B18" s="195" t="str">
        <f>IF(AND(Master!B123=""),"",Master!B123)</f>
        <v/>
      </c>
      <c r="C18" s="501" t="str">
        <f>IF(AND(Master!E123=""),"",Master!E123)</f>
        <v/>
      </c>
      <c r="D18" s="501" t="str">
        <f>IF(AND(Master!F123=""),"",Master!F123)</f>
        <v/>
      </c>
      <c r="E18" s="501" t="str">
        <f>IF(AND(Master!G123=""),"",Master!G123)</f>
        <v/>
      </c>
      <c r="F18" s="501" t="str">
        <f>IF(AND(Master!H123=""),"",Master!H123)</f>
        <v/>
      </c>
      <c r="G18" s="501" t="str">
        <f>IF(AND(Master!I123=""),"",Master!I123)</f>
        <v/>
      </c>
      <c r="H18" s="501" t="str">
        <f>IF(AND(Master!J123=""),"",Master!J123)</f>
        <v/>
      </c>
      <c r="I18" s="502" t="str">
        <f t="shared" si="0"/>
        <v/>
      </c>
      <c r="J18" s="194">
        <v>11</v>
      </c>
      <c r="K18" s="195" t="str">
        <f>IF(AND(Master!B167=""),"",Master!B167)</f>
        <v/>
      </c>
      <c r="L18" s="501" t="str">
        <f>IF(AND(Master!E167=""),"",Master!E167)</f>
        <v/>
      </c>
      <c r="M18" s="501" t="str">
        <f>IF(AND(Master!F167=""),"",Master!F167)</f>
        <v/>
      </c>
      <c r="N18" s="501" t="str">
        <f>IF(AND(Master!G167=""),"",Master!G167)</f>
        <v/>
      </c>
      <c r="O18" s="501" t="str">
        <f>IF(AND(Master!H167=""),"",Master!H167)</f>
        <v/>
      </c>
      <c r="P18" s="501" t="str">
        <f>IF(AND(Master!I167=""),"",Master!I167)</f>
        <v/>
      </c>
      <c r="Q18" s="501" t="str">
        <f>IF(AND(Master!J167=""),"",Master!J167)</f>
        <v/>
      </c>
      <c r="R18" s="502" t="str">
        <f t="shared" si="1"/>
        <v/>
      </c>
    </row>
    <row r="19" spans="1:18" s="192" customFormat="1" ht="15.95" customHeight="1">
      <c r="A19" s="194">
        <v>12</v>
      </c>
      <c r="B19" s="195" t="str">
        <f>IF(AND(Master!B124=""),"",Master!B124)</f>
        <v/>
      </c>
      <c r="C19" s="501" t="str">
        <f>IF(AND(Master!E124=""),"",Master!E124)</f>
        <v/>
      </c>
      <c r="D19" s="501" t="str">
        <f>IF(AND(Master!F124=""),"",Master!F124)</f>
        <v/>
      </c>
      <c r="E19" s="501" t="str">
        <f>IF(AND(Master!G124=""),"",Master!G124)</f>
        <v/>
      </c>
      <c r="F19" s="501" t="str">
        <f>IF(AND(Master!H124=""),"",Master!H124)</f>
        <v/>
      </c>
      <c r="G19" s="501" t="str">
        <f>IF(AND(Master!I124=""),"",Master!I124)</f>
        <v/>
      </c>
      <c r="H19" s="501" t="str">
        <f>IF(AND(Master!J124=""),"",Master!J124)</f>
        <v/>
      </c>
      <c r="I19" s="502" t="str">
        <f t="shared" si="0"/>
        <v/>
      </c>
      <c r="J19" s="194">
        <v>12</v>
      </c>
      <c r="K19" s="195" t="str">
        <f>IF(AND(Master!B168=""),"",Master!B168)</f>
        <v/>
      </c>
      <c r="L19" s="501" t="str">
        <f>IF(AND(Master!E168=""),"",Master!E168)</f>
        <v/>
      </c>
      <c r="M19" s="501" t="str">
        <f>IF(AND(Master!F168=""),"",Master!F168)</f>
        <v/>
      </c>
      <c r="N19" s="501" t="str">
        <f>IF(AND(Master!G168=""),"",Master!G168)</f>
        <v/>
      </c>
      <c r="O19" s="501" t="str">
        <f>IF(AND(Master!H168=""),"",Master!H168)</f>
        <v/>
      </c>
      <c r="P19" s="501" t="str">
        <f>IF(AND(Master!I168=""),"",Master!I168)</f>
        <v/>
      </c>
      <c r="Q19" s="501" t="str">
        <f>IF(AND(Master!J168=""),"",Master!J168)</f>
        <v/>
      </c>
      <c r="R19" s="502" t="str">
        <f t="shared" si="1"/>
        <v/>
      </c>
    </row>
    <row r="20" spans="1:18" s="192" customFormat="1" ht="15.95" customHeight="1">
      <c r="A20" s="194">
        <v>13</v>
      </c>
      <c r="B20" s="195" t="str">
        <f>IF(AND(Master!B125=""),"",Master!B125)</f>
        <v/>
      </c>
      <c r="C20" s="501" t="str">
        <f>IF(AND(Master!E125=""),"",Master!E125)</f>
        <v/>
      </c>
      <c r="D20" s="501" t="str">
        <f>IF(AND(Master!F125=""),"",Master!F125)</f>
        <v/>
      </c>
      <c r="E20" s="501" t="str">
        <f>IF(AND(Master!G125=""),"",Master!G125)</f>
        <v/>
      </c>
      <c r="F20" s="501" t="str">
        <f>IF(AND(Master!H125=""),"",Master!H125)</f>
        <v/>
      </c>
      <c r="G20" s="501" t="str">
        <f>IF(AND(Master!I125=""),"",Master!I125)</f>
        <v/>
      </c>
      <c r="H20" s="501" t="str">
        <f>IF(AND(Master!J125=""),"",Master!J125)</f>
        <v/>
      </c>
      <c r="I20" s="502" t="str">
        <f t="shared" si="0"/>
        <v/>
      </c>
      <c r="J20" s="194">
        <v>13</v>
      </c>
      <c r="K20" s="195" t="str">
        <f>IF(AND(Master!B169=""),"",Master!B169)</f>
        <v/>
      </c>
      <c r="L20" s="501" t="str">
        <f>IF(AND(Master!E169=""),"",Master!E169)</f>
        <v/>
      </c>
      <c r="M20" s="501" t="str">
        <f>IF(AND(Master!F169=""),"",Master!F169)</f>
        <v/>
      </c>
      <c r="N20" s="501" t="str">
        <f>IF(AND(Master!G169=""),"",Master!G169)</f>
        <v/>
      </c>
      <c r="O20" s="501" t="str">
        <f>IF(AND(Master!H169=""),"",Master!H169)</f>
        <v/>
      </c>
      <c r="P20" s="501" t="str">
        <f>IF(AND(Master!I169=""),"",Master!I169)</f>
        <v/>
      </c>
      <c r="Q20" s="501" t="str">
        <f>IF(AND(Master!J169=""),"",Master!J169)</f>
        <v/>
      </c>
      <c r="R20" s="502" t="str">
        <f t="shared" si="1"/>
        <v/>
      </c>
    </row>
    <row r="21" spans="1:18" s="192" customFormat="1" ht="15.95" customHeight="1">
      <c r="A21" s="194">
        <v>14</v>
      </c>
      <c r="B21" s="195" t="str">
        <f>IF(AND(Master!B126=""),"",Master!B126)</f>
        <v/>
      </c>
      <c r="C21" s="501" t="str">
        <f>IF(AND(Master!E126=""),"",Master!E126)</f>
        <v/>
      </c>
      <c r="D21" s="501" t="str">
        <f>IF(AND(Master!F126=""),"",Master!F126)</f>
        <v/>
      </c>
      <c r="E21" s="501" t="str">
        <f>IF(AND(Master!G126=""),"",Master!G126)</f>
        <v/>
      </c>
      <c r="F21" s="501" t="str">
        <f>IF(AND(Master!H126=""),"",Master!H126)</f>
        <v/>
      </c>
      <c r="G21" s="501" t="str">
        <f>IF(AND(Master!I126=""),"",Master!I126)</f>
        <v/>
      </c>
      <c r="H21" s="501" t="str">
        <f>IF(AND(Master!J126=""),"",Master!J126)</f>
        <v/>
      </c>
      <c r="I21" s="502" t="str">
        <f t="shared" si="0"/>
        <v/>
      </c>
      <c r="J21" s="194">
        <v>14</v>
      </c>
      <c r="K21" s="195" t="str">
        <f>IF(AND(Master!B170=""),"",Master!B170)</f>
        <v/>
      </c>
      <c r="L21" s="501" t="str">
        <f>IF(AND(Master!E170=""),"",Master!E170)</f>
        <v/>
      </c>
      <c r="M21" s="501" t="str">
        <f>IF(AND(Master!F170=""),"",Master!F170)</f>
        <v/>
      </c>
      <c r="N21" s="501" t="str">
        <f>IF(AND(Master!G170=""),"",Master!G170)</f>
        <v/>
      </c>
      <c r="O21" s="501" t="str">
        <f>IF(AND(Master!H170=""),"",Master!H170)</f>
        <v/>
      </c>
      <c r="P21" s="501" t="str">
        <f>IF(AND(Master!I170=""),"",Master!I170)</f>
        <v/>
      </c>
      <c r="Q21" s="501" t="str">
        <f>IF(AND(Master!J170=""),"",Master!J170)</f>
        <v/>
      </c>
      <c r="R21" s="502" t="str">
        <f t="shared" si="1"/>
        <v/>
      </c>
    </row>
    <row r="22" spans="1:18" s="192" customFormat="1" ht="15.95" customHeight="1">
      <c r="A22" s="194">
        <v>15</v>
      </c>
      <c r="B22" s="195" t="str">
        <f>IF(AND(Master!B127=""),"",Master!B127)</f>
        <v/>
      </c>
      <c r="C22" s="501" t="str">
        <f>IF(AND(Master!E127=""),"",Master!E127)</f>
        <v/>
      </c>
      <c r="D22" s="501" t="str">
        <f>IF(AND(Master!F127=""),"",Master!F127)</f>
        <v/>
      </c>
      <c r="E22" s="501" t="str">
        <f>IF(AND(Master!G127=""),"",Master!G127)</f>
        <v/>
      </c>
      <c r="F22" s="501" t="str">
        <f>IF(AND(Master!H127=""),"",Master!H127)</f>
        <v/>
      </c>
      <c r="G22" s="501" t="str">
        <f>IF(AND(Master!I127=""),"",Master!I127)</f>
        <v/>
      </c>
      <c r="H22" s="501" t="str">
        <f>IF(AND(Master!J127=""),"",Master!J127)</f>
        <v/>
      </c>
      <c r="I22" s="502" t="str">
        <f t="shared" si="0"/>
        <v/>
      </c>
      <c r="J22" s="194">
        <v>15</v>
      </c>
      <c r="K22" s="195" t="str">
        <f>IF(AND(Master!B171=""),"",Master!B171)</f>
        <v/>
      </c>
      <c r="L22" s="501" t="str">
        <f>IF(AND(Master!E171=""),"",Master!E171)</f>
        <v/>
      </c>
      <c r="M22" s="501" t="str">
        <f>IF(AND(Master!F171=""),"",Master!F171)</f>
        <v/>
      </c>
      <c r="N22" s="501" t="str">
        <f>IF(AND(Master!G171=""),"",Master!G171)</f>
        <v/>
      </c>
      <c r="O22" s="501" t="str">
        <f>IF(AND(Master!H171=""),"",Master!H171)</f>
        <v/>
      </c>
      <c r="P22" s="501" t="str">
        <f>IF(AND(Master!I171=""),"",Master!I171)</f>
        <v/>
      </c>
      <c r="Q22" s="501" t="str">
        <f>IF(AND(Master!J171=""),"",Master!J171)</f>
        <v/>
      </c>
      <c r="R22" s="502" t="str">
        <f t="shared" si="1"/>
        <v/>
      </c>
    </row>
    <row r="23" spans="1:18" s="192" customFormat="1" ht="15.95" customHeight="1">
      <c r="A23" s="194">
        <v>16</v>
      </c>
      <c r="B23" s="195" t="str">
        <f>IF(AND(Master!B128=""),"",Master!B128)</f>
        <v/>
      </c>
      <c r="C23" s="501" t="str">
        <f>IF(AND(Master!E128=""),"",Master!E128)</f>
        <v/>
      </c>
      <c r="D23" s="501" t="str">
        <f>IF(AND(Master!F128=""),"",Master!F128)</f>
        <v/>
      </c>
      <c r="E23" s="501" t="str">
        <f>IF(AND(Master!G128=""),"",Master!G128)</f>
        <v/>
      </c>
      <c r="F23" s="501" t="str">
        <f>IF(AND(Master!H128=""),"",Master!H128)</f>
        <v/>
      </c>
      <c r="G23" s="501" t="str">
        <f>IF(AND(Master!I128=""),"",Master!I128)</f>
        <v/>
      </c>
      <c r="H23" s="501" t="str">
        <f>IF(AND(Master!J128=""),"",Master!J128)</f>
        <v/>
      </c>
      <c r="I23" s="502" t="str">
        <f t="shared" si="0"/>
        <v/>
      </c>
      <c r="J23" s="194">
        <v>16</v>
      </c>
      <c r="K23" s="195" t="str">
        <f>IF(AND(Master!B172=""),"",Master!B172)</f>
        <v/>
      </c>
      <c r="L23" s="501" t="str">
        <f>IF(AND(Master!E172=""),"",Master!E172)</f>
        <v/>
      </c>
      <c r="M23" s="501" t="str">
        <f>IF(AND(Master!F172=""),"",Master!F172)</f>
        <v/>
      </c>
      <c r="N23" s="501" t="str">
        <f>IF(AND(Master!G172=""),"",Master!G172)</f>
        <v/>
      </c>
      <c r="O23" s="501" t="str">
        <f>IF(AND(Master!H172=""),"",Master!H172)</f>
        <v/>
      </c>
      <c r="P23" s="501" t="str">
        <f>IF(AND(Master!I172=""),"",Master!I172)</f>
        <v/>
      </c>
      <c r="Q23" s="501" t="str">
        <f>IF(AND(Master!J172=""),"",Master!J172)</f>
        <v/>
      </c>
      <c r="R23" s="502" t="str">
        <f t="shared" si="1"/>
        <v/>
      </c>
    </row>
    <row r="24" spans="1:18" s="192" customFormat="1" ht="15.95" customHeight="1">
      <c r="A24" s="194">
        <v>17</v>
      </c>
      <c r="B24" s="195" t="str">
        <f>IF(AND(Master!B129=""),"",Master!B129)</f>
        <v/>
      </c>
      <c r="C24" s="501" t="str">
        <f>IF(AND(Master!E129=""),"",Master!E129)</f>
        <v/>
      </c>
      <c r="D24" s="501" t="str">
        <f>IF(AND(Master!F129=""),"",Master!F129)</f>
        <v/>
      </c>
      <c r="E24" s="501" t="str">
        <f>IF(AND(Master!G129=""),"",Master!G129)</f>
        <v/>
      </c>
      <c r="F24" s="501" t="str">
        <f>IF(AND(Master!H129=""),"",Master!H129)</f>
        <v/>
      </c>
      <c r="G24" s="501" t="str">
        <f>IF(AND(Master!I129=""),"",Master!I129)</f>
        <v/>
      </c>
      <c r="H24" s="501" t="str">
        <f>IF(AND(Master!J129=""),"",Master!J129)</f>
        <v/>
      </c>
      <c r="I24" s="502" t="str">
        <f t="shared" si="0"/>
        <v/>
      </c>
      <c r="J24" s="194">
        <v>17</v>
      </c>
      <c r="K24" s="195" t="str">
        <f>IF(AND(Master!B173=""),"",Master!B173)</f>
        <v/>
      </c>
      <c r="L24" s="501" t="str">
        <f>IF(AND(Master!E173=""),"",Master!E173)</f>
        <v/>
      </c>
      <c r="M24" s="501" t="str">
        <f>IF(AND(Master!F173=""),"",Master!F173)</f>
        <v/>
      </c>
      <c r="N24" s="501" t="str">
        <f>IF(AND(Master!G173=""),"",Master!G173)</f>
        <v/>
      </c>
      <c r="O24" s="501" t="str">
        <f>IF(AND(Master!H173=""),"",Master!H173)</f>
        <v/>
      </c>
      <c r="P24" s="501" t="str">
        <f>IF(AND(Master!I173=""),"",Master!I173)</f>
        <v/>
      </c>
      <c r="Q24" s="501" t="str">
        <f>IF(AND(Master!J173=""),"",Master!J173)</f>
        <v/>
      </c>
      <c r="R24" s="502" t="str">
        <f t="shared" si="1"/>
        <v/>
      </c>
    </row>
    <row r="25" spans="1:18" s="192" customFormat="1" ht="15.95" customHeight="1">
      <c r="A25" s="194">
        <v>18</v>
      </c>
      <c r="B25" s="195" t="str">
        <f>IF(AND(Master!B130=""),"",Master!B130)</f>
        <v/>
      </c>
      <c r="C25" s="501" t="str">
        <f>IF(AND(Master!E130=""),"",Master!E130)</f>
        <v/>
      </c>
      <c r="D25" s="501" t="str">
        <f>IF(AND(Master!F130=""),"",Master!F130)</f>
        <v/>
      </c>
      <c r="E25" s="501" t="str">
        <f>IF(AND(Master!G130=""),"",Master!G130)</f>
        <v/>
      </c>
      <c r="F25" s="501" t="str">
        <f>IF(AND(Master!H130=""),"",Master!H130)</f>
        <v/>
      </c>
      <c r="G25" s="501" t="str">
        <f>IF(AND(Master!I130=""),"",Master!I130)</f>
        <v/>
      </c>
      <c r="H25" s="501" t="str">
        <f>IF(AND(Master!J130=""),"",Master!J130)</f>
        <v/>
      </c>
      <c r="I25" s="502" t="str">
        <f t="shared" si="0"/>
        <v/>
      </c>
      <c r="J25" s="194">
        <v>18</v>
      </c>
      <c r="K25" s="195" t="str">
        <f>IF(AND(Master!B174=""),"",Master!B174)</f>
        <v/>
      </c>
      <c r="L25" s="501" t="str">
        <f>IF(AND(Master!E174=""),"",Master!E174)</f>
        <v/>
      </c>
      <c r="M25" s="501" t="str">
        <f>IF(AND(Master!F174=""),"",Master!F174)</f>
        <v/>
      </c>
      <c r="N25" s="501" t="str">
        <f>IF(AND(Master!G174=""),"",Master!G174)</f>
        <v/>
      </c>
      <c r="O25" s="501" t="str">
        <f>IF(AND(Master!H174=""),"",Master!H174)</f>
        <v/>
      </c>
      <c r="P25" s="501" t="str">
        <f>IF(AND(Master!I174=""),"",Master!I174)</f>
        <v/>
      </c>
      <c r="Q25" s="501" t="str">
        <f>IF(AND(Master!J174=""),"",Master!J174)</f>
        <v/>
      </c>
      <c r="R25" s="502" t="str">
        <f t="shared" si="1"/>
        <v/>
      </c>
    </row>
    <row r="26" spans="1:18" s="192" customFormat="1" ht="15.95" customHeight="1">
      <c r="A26" s="194">
        <v>19</v>
      </c>
      <c r="B26" s="195" t="str">
        <f>IF(AND(Master!B131=""),"",Master!B131)</f>
        <v/>
      </c>
      <c r="C26" s="501" t="str">
        <f>IF(AND(Master!E131=""),"",Master!E131)</f>
        <v/>
      </c>
      <c r="D26" s="501" t="str">
        <f>IF(AND(Master!F131=""),"",Master!F131)</f>
        <v/>
      </c>
      <c r="E26" s="501" t="str">
        <f>IF(AND(Master!G131=""),"",Master!G131)</f>
        <v/>
      </c>
      <c r="F26" s="501" t="str">
        <f>IF(AND(Master!H131=""),"",Master!H131)</f>
        <v/>
      </c>
      <c r="G26" s="501" t="str">
        <f>IF(AND(Master!I131=""),"",Master!I131)</f>
        <v/>
      </c>
      <c r="H26" s="501" t="str">
        <f>IF(AND(Master!J131=""),"",Master!J131)</f>
        <v/>
      </c>
      <c r="I26" s="502" t="str">
        <f t="shared" si="0"/>
        <v/>
      </c>
      <c r="J26" s="194">
        <v>19</v>
      </c>
      <c r="K26" s="195" t="str">
        <f>IF(AND(Master!B175=""),"",Master!B175)</f>
        <v/>
      </c>
      <c r="L26" s="501" t="str">
        <f>IF(AND(Master!E175=""),"",Master!E175)</f>
        <v/>
      </c>
      <c r="M26" s="501" t="str">
        <f>IF(AND(Master!F175=""),"",Master!F175)</f>
        <v/>
      </c>
      <c r="N26" s="501" t="str">
        <f>IF(AND(Master!G175=""),"",Master!G175)</f>
        <v/>
      </c>
      <c r="O26" s="501" t="str">
        <f>IF(AND(Master!H175=""),"",Master!H175)</f>
        <v/>
      </c>
      <c r="P26" s="501" t="str">
        <f>IF(AND(Master!I175=""),"",Master!I175)</f>
        <v/>
      </c>
      <c r="Q26" s="501" t="str">
        <f>IF(AND(Master!J175=""),"",Master!J175)</f>
        <v/>
      </c>
      <c r="R26" s="502" t="str">
        <f t="shared" si="1"/>
        <v/>
      </c>
    </row>
    <row r="27" spans="1:18" s="192" customFormat="1" ht="15.95" customHeight="1">
      <c r="A27" s="194">
        <v>20</v>
      </c>
      <c r="B27" s="195" t="str">
        <f>IF(AND(Master!B132=""),"",Master!B132)</f>
        <v/>
      </c>
      <c r="C27" s="501" t="str">
        <f>IF(AND(Master!E132=""),"",Master!E132)</f>
        <v/>
      </c>
      <c r="D27" s="501" t="str">
        <f>IF(AND(Master!F132=""),"",Master!F132)</f>
        <v/>
      </c>
      <c r="E27" s="501" t="str">
        <f>IF(AND(Master!G132=""),"",Master!G132)</f>
        <v/>
      </c>
      <c r="F27" s="501" t="str">
        <f>IF(AND(Master!H132=""),"",Master!H132)</f>
        <v/>
      </c>
      <c r="G27" s="501" t="str">
        <f>IF(AND(Master!I132=""),"",Master!I132)</f>
        <v/>
      </c>
      <c r="H27" s="501" t="str">
        <f>IF(AND(Master!J132=""),"",Master!J132)</f>
        <v/>
      </c>
      <c r="I27" s="502" t="str">
        <f t="shared" si="0"/>
        <v/>
      </c>
      <c r="J27" s="194">
        <v>20</v>
      </c>
      <c r="K27" s="195" t="str">
        <f>IF(AND(Master!B176=""),"",Master!B176)</f>
        <v/>
      </c>
      <c r="L27" s="501" t="str">
        <f>IF(AND(Master!E176=""),"",Master!E176)</f>
        <v/>
      </c>
      <c r="M27" s="501" t="str">
        <f>IF(AND(Master!F176=""),"",Master!F176)</f>
        <v/>
      </c>
      <c r="N27" s="501" t="str">
        <f>IF(AND(Master!G176=""),"",Master!G176)</f>
        <v/>
      </c>
      <c r="O27" s="501" t="str">
        <f>IF(AND(Master!H176=""),"",Master!H176)</f>
        <v/>
      </c>
      <c r="P27" s="501" t="str">
        <f>IF(AND(Master!I176=""),"",Master!I176)</f>
        <v/>
      </c>
      <c r="Q27" s="501" t="str">
        <f>IF(AND(Master!J176=""),"",Master!J176)</f>
        <v/>
      </c>
      <c r="R27" s="502" t="str">
        <f t="shared" si="1"/>
        <v/>
      </c>
    </row>
    <row r="28" spans="1:18" s="192" customFormat="1" ht="15.95" customHeight="1">
      <c r="A28" s="194">
        <v>21</v>
      </c>
      <c r="B28" s="195" t="str">
        <f>IF(AND(Master!B133=""),"",Master!B133)</f>
        <v/>
      </c>
      <c r="C28" s="501" t="str">
        <f>IF(AND(Master!E133=""),"",Master!E133)</f>
        <v/>
      </c>
      <c r="D28" s="501" t="str">
        <f>IF(AND(Master!F133=""),"",Master!F133)</f>
        <v/>
      </c>
      <c r="E28" s="501" t="str">
        <f>IF(AND(Master!G133=""),"",Master!G133)</f>
        <v/>
      </c>
      <c r="F28" s="501" t="str">
        <f>IF(AND(Master!H133=""),"",Master!H133)</f>
        <v/>
      </c>
      <c r="G28" s="501" t="str">
        <f>IF(AND(Master!I133=""),"",Master!I133)</f>
        <v/>
      </c>
      <c r="H28" s="501" t="str">
        <f>IF(AND(Master!J133=""),"",Master!J133)</f>
        <v/>
      </c>
      <c r="I28" s="502" t="str">
        <f t="shared" si="0"/>
        <v/>
      </c>
      <c r="J28" s="194">
        <v>21</v>
      </c>
      <c r="K28" s="195" t="str">
        <f>IF(AND(Master!B177=""),"",Master!B177)</f>
        <v/>
      </c>
      <c r="L28" s="501" t="str">
        <f>IF(AND(Master!E177=""),"",Master!E177)</f>
        <v/>
      </c>
      <c r="M28" s="501" t="str">
        <f>IF(AND(Master!F177=""),"",Master!F177)</f>
        <v/>
      </c>
      <c r="N28" s="501" t="str">
        <f>IF(AND(Master!G177=""),"",Master!G177)</f>
        <v/>
      </c>
      <c r="O28" s="501" t="str">
        <f>IF(AND(Master!H177=""),"",Master!H177)</f>
        <v/>
      </c>
      <c r="P28" s="501" t="str">
        <f>IF(AND(Master!I177=""),"",Master!I177)</f>
        <v/>
      </c>
      <c r="Q28" s="501" t="str">
        <f>IF(AND(Master!J177=""),"",Master!J177)</f>
        <v/>
      </c>
      <c r="R28" s="502" t="str">
        <f t="shared" si="1"/>
        <v/>
      </c>
    </row>
    <row r="29" spans="1:18" ht="21.95" customHeight="1" thickBot="1">
      <c r="A29" s="189"/>
      <c r="B29" s="196" t="s">
        <v>356</v>
      </c>
      <c r="C29" s="193">
        <f>SUM(C8:C23)</f>
        <v>0</v>
      </c>
      <c r="D29" s="193">
        <f t="shared" ref="D29:I29" si="2">SUM(D8:D23)</f>
        <v>0</v>
      </c>
      <c r="E29" s="193">
        <f t="shared" si="2"/>
        <v>0</v>
      </c>
      <c r="F29" s="193">
        <f t="shared" si="2"/>
        <v>0</v>
      </c>
      <c r="G29" s="193">
        <f>SUM(G8:G23)</f>
        <v>4500</v>
      </c>
      <c r="H29" s="193">
        <f t="shared" si="2"/>
        <v>0</v>
      </c>
      <c r="I29" s="193">
        <f t="shared" si="2"/>
        <v>4500</v>
      </c>
      <c r="J29" s="189"/>
      <c r="K29" s="196" t="s">
        <v>356</v>
      </c>
      <c r="L29" s="193">
        <f>SUM(L8:L23)</f>
        <v>0</v>
      </c>
      <c r="M29" s="193">
        <f t="shared" ref="M29:O29" si="3">SUM(M8:M23)</f>
        <v>0</v>
      </c>
      <c r="N29" s="193">
        <f t="shared" si="3"/>
        <v>0</v>
      </c>
      <c r="O29" s="193">
        <f t="shared" si="3"/>
        <v>0</v>
      </c>
      <c r="P29" s="193">
        <f>SUM(P8:P23)</f>
        <v>1000</v>
      </c>
      <c r="Q29" s="193">
        <f t="shared" ref="Q29:R29" si="4">SUM(Q8:Q23)</f>
        <v>0</v>
      </c>
      <c r="R29" s="193">
        <f t="shared" si="4"/>
        <v>1000</v>
      </c>
    </row>
    <row r="30" spans="1:18" ht="21.95" customHeight="1" thickBot="1">
      <c r="A30" s="189"/>
      <c r="B30" s="196" t="s">
        <v>357</v>
      </c>
      <c r="C30" s="193">
        <f t="shared" ref="C30:I30" si="5">ROUNDUP(C29,-2)</f>
        <v>0</v>
      </c>
      <c r="D30" s="193">
        <f t="shared" si="5"/>
        <v>0</v>
      </c>
      <c r="E30" s="193">
        <f t="shared" si="5"/>
        <v>0</v>
      </c>
      <c r="F30" s="193">
        <f t="shared" si="5"/>
        <v>0</v>
      </c>
      <c r="G30" s="193">
        <f t="shared" si="5"/>
        <v>4500</v>
      </c>
      <c r="H30" s="193">
        <f t="shared" si="5"/>
        <v>0</v>
      </c>
      <c r="I30" s="193">
        <f t="shared" si="5"/>
        <v>4500</v>
      </c>
      <c r="J30" s="189"/>
      <c r="K30" s="196" t="s">
        <v>358</v>
      </c>
      <c r="L30" s="193">
        <f t="shared" ref="L30:R30" si="6">ROUNDUP(L29,-2)</f>
        <v>0</v>
      </c>
      <c r="M30" s="193">
        <f t="shared" si="6"/>
        <v>0</v>
      </c>
      <c r="N30" s="193">
        <f t="shared" si="6"/>
        <v>0</v>
      </c>
      <c r="O30" s="193">
        <f t="shared" si="6"/>
        <v>0</v>
      </c>
      <c r="P30" s="193">
        <f t="shared" si="6"/>
        <v>1000</v>
      </c>
      <c r="Q30" s="193">
        <f t="shared" si="6"/>
        <v>0</v>
      </c>
      <c r="R30" s="193">
        <f t="shared" si="6"/>
        <v>1000</v>
      </c>
    </row>
    <row r="31" spans="1:18">
      <c r="A31" s="524" t="s">
        <v>550</v>
      </c>
      <c r="B31" s="190"/>
      <c r="C31" s="187"/>
      <c r="D31" s="187"/>
      <c r="E31" s="187"/>
      <c r="F31" s="187"/>
      <c r="G31" s="187"/>
      <c r="H31" s="187"/>
      <c r="I31" s="187"/>
      <c r="J31" s="524" t="s">
        <v>550</v>
      </c>
      <c r="K31" s="187"/>
      <c r="L31" s="187"/>
      <c r="M31" s="187"/>
      <c r="N31" s="187"/>
      <c r="O31" s="187"/>
      <c r="P31" s="187"/>
      <c r="Q31" s="187"/>
      <c r="R31" s="187"/>
    </row>
    <row r="32" spans="1:18">
      <c r="A32" s="524"/>
      <c r="B32" s="190"/>
      <c r="C32" s="187"/>
      <c r="D32" s="187"/>
      <c r="E32" s="187"/>
      <c r="F32" s="187"/>
      <c r="G32" s="187"/>
      <c r="H32" s="187"/>
      <c r="I32" s="187"/>
      <c r="J32" s="524"/>
      <c r="K32" s="187"/>
      <c r="L32" s="187"/>
      <c r="M32" s="187"/>
      <c r="N32" s="187"/>
      <c r="O32" s="187"/>
      <c r="P32" s="187"/>
      <c r="Q32" s="187"/>
      <c r="R32" s="187"/>
    </row>
    <row r="33" spans="1:18">
      <c r="A33" s="524"/>
      <c r="B33" s="190"/>
      <c r="C33" s="187"/>
      <c r="D33" s="187"/>
      <c r="E33" s="187"/>
      <c r="F33" s="187"/>
      <c r="G33" s="187"/>
      <c r="H33" s="187"/>
      <c r="I33" s="187"/>
      <c r="J33" s="524"/>
      <c r="K33" s="187"/>
      <c r="L33" s="187"/>
      <c r="M33" s="187"/>
      <c r="N33" s="187"/>
      <c r="O33" s="187"/>
      <c r="P33" s="187"/>
      <c r="Q33" s="187"/>
      <c r="R33" s="187"/>
    </row>
    <row r="34" spans="1:18">
      <c r="A34" s="187"/>
      <c r="B34" s="187"/>
      <c r="C34" s="187"/>
      <c r="D34" s="187"/>
      <c r="E34" s="187"/>
      <c r="F34" s="954" t="str">
        <f>CONCATENATE("¼ ",Master!G3,"½")</f>
        <v>¼ m"kk ikfy;k½</v>
      </c>
      <c r="G34" s="954"/>
      <c r="H34" s="954"/>
      <c r="I34" s="954"/>
      <c r="J34" s="137"/>
      <c r="K34" s="137"/>
      <c r="L34" s="137"/>
      <c r="M34" s="137"/>
      <c r="N34" s="137"/>
      <c r="O34" s="954" t="str">
        <f>CONCATENATE("¼ ",Master!G3,"½")</f>
        <v>¼ m"kk ikfy;k½</v>
      </c>
      <c r="P34" s="954"/>
      <c r="Q34" s="954"/>
      <c r="R34" s="954"/>
    </row>
    <row r="35" spans="1:18" ht="16.5">
      <c r="A35" s="187"/>
      <c r="B35" s="187"/>
      <c r="C35" s="187"/>
      <c r="D35" s="187"/>
      <c r="E35" s="187"/>
      <c r="F35" s="928" t="str">
        <f>Master!C2</f>
        <v>iz/kkukpk;Z</v>
      </c>
      <c r="G35" s="928"/>
      <c r="H35" s="928"/>
      <c r="I35" s="928"/>
      <c r="J35" s="137"/>
      <c r="K35" s="137"/>
      <c r="L35" s="137"/>
      <c r="M35" s="137"/>
      <c r="N35" s="137"/>
      <c r="O35" s="928" t="str">
        <f>F35</f>
        <v>iz/kkukpk;Z</v>
      </c>
      <c r="P35" s="928"/>
      <c r="Q35" s="928"/>
      <c r="R35" s="928"/>
    </row>
    <row r="36" spans="1:18" ht="15" customHeight="1">
      <c r="A36" s="187"/>
      <c r="B36" s="187"/>
      <c r="C36" s="187"/>
      <c r="D36" s="187"/>
      <c r="E36" s="187"/>
      <c r="F36" s="923" t="str">
        <f>Master!D2</f>
        <v>egkRek xka/kh jktdh; fo|ky; ¼vaxzsth ek/;e½ cj ] C;koj</v>
      </c>
      <c r="G36" s="923"/>
      <c r="H36" s="923"/>
      <c r="I36" s="923"/>
      <c r="J36" s="137"/>
      <c r="K36" s="137"/>
      <c r="L36" s="137"/>
      <c r="M36" s="137"/>
      <c r="N36" s="137"/>
      <c r="O36" s="923" t="str">
        <f>Master!D2</f>
        <v>egkRek xka/kh jktdh; fo|ky; ¼vaxzsth ek/;e½ cj ] C;koj</v>
      </c>
      <c r="P36" s="923"/>
      <c r="Q36" s="923"/>
      <c r="R36" s="923"/>
    </row>
    <row r="37" spans="1:18" ht="15" customHeight="1">
      <c r="A37" s="187"/>
      <c r="B37" s="187"/>
      <c r="C37" s="187"/>
      <c r="D37" s="187"/>
      <c r="E37" s="187"/>
      <c r="F37" s="923"/>
      <c r="G37" s="923"/>
      <c r="H37" s="923"/>
      <c r="I37" s="923"/>
      <c r="J37" s="137"/>
      <c r="K37" s="137"/>
      <c r="L37" s="137"/>
      <c r="M37" s="137"/>
      <c r="N37" s="137"/>
      <c r="O37" s="923"/>
      <c r="P37" s="923"/>
      <c r="Q37" s="923"/>
      <c r="R37" s="923"/>
    </row>
    <row r="38" spans="1:18" ht="15" customHeight="1">
      <c r="A38" s="187"/>
      <c r="B38" s="187"/>
      <c r="C38" s="187"/>
      <c r="D38" s="187"/>
      <c r="E38" s="187"/>
      <c r="F38" s="923"/>
      <c r="G38" s="923"/>
      <c r="H38" s="923"/>
      <c r="I38" s="923"/>
      <c r="J38" s="137"/>
      <c r="K38" s="137"/>
      <c r="L38" s="137"/>
      <c r="M38" s="137"/>
      <c r="N38" s="137"/>
      <c r="O38" s="923"/>
      <c r="P38" s="923"/>
      <c r="Q38" s="923"/>
      <c r="R38" s="923"/>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G1:I1"/>
    <mergeCell ref="P1:R1"/>
    <mergeCell ref="A2:I2"/>
    <mergeCell ref="J2:R2"/>
    <mergeCell ref="A3:I3"/>
    <mergeCell ref="J3:R3"/>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s>
  <conditionalFormatting sqref="A31:A33">
    <cfRule type="containsText" dxfId="29" priority="2" operator="containsText" text="in fjDr">
      <formula>NOT(ISERROR(SEARCH("in fjDr",A31)))</formula>
    </cfRule>
  </conditionalFormatting>
  <conditionalFormatting sqref="J31:J33">
    <cfRule type="containsText" dxfId="28"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6.xml><?xml version="1.0" encoding="utf-8"?>
<worksheet xmlns="http://schemas.openxmlformats.org/spreadsheetml/2006/main" xmlns:r="http://schemas.openxmlformats.org/officeDocument/2006/relationships">
  <sheetPr codeName="Sheet14">
    <tabColor rgb="FFFFFF00"/>
    <pageSetUpPr fitToPage="1"/>
  </sheetPr>
  <dimension ref="A1:U46"/>
  <sheetViews>
    <sheetView showGridLines="0" view="pageBreakPreview" zoomScale="110" zoomScaleSheetLayoutView="110" workbookViewId="0">
      <selection activeCell="S4" sqref="S4:U4"/>
    </sheetView>
  </sheetViews>
  <sheetFormatPr defaultRowHeight="15"/>
  <cols>
    <col min="1" max="1" width="10.625" customWidth="1"/>
    <col min="2" max="2" width="7.125" customWidth="1"/>
    <col min="3" max="3" width="5.875" customWidth="1"/>
    <col min="4" max="4" width="6.125" customWidth="1"/>
    <col min="5" max="5" width="3.75" customWidth="1"/>
    <col min="6" max="6" width="2.75" customWidth="1"/>
    <col min="7" max="7" width="4.75" bestFit="1" customWidth="1"/>
    <col min="8" max="8" width="3" customWidth="1"/>
    <col min="9" max="9" width="3.75" customWidth="1"/>
    <col min="10" max="10" width="2.375" customWidth="1"/>
    <col min="11" max="11" width="7.125" customWidth="1"/>
    <col min="12" max="12" width="3.75" customWidth="1"/>
    <col min="13" max="13" width="2.75" customWidth="1"/>
    <col min="14" max="14" width="4.75" bestFit="1" customWidth="1"/>
    <col min="15" max="15" width="3" customWidth="1"/>
    <col min="16" max="16" width="3.75" customWidth="1"/>
    <col min="17" max="17" width="2.375" customWidth="1"/>
    <col min="18" max="18" width="7.125" customWidth="1"/>
    <col min="19" max="19" width="7.875" customWidth="1"/>
    <col min="20" max="20" width="7.25" customWidth="1"/>
    <col min="21" max="21" width="9.875" customWidth="1"/>
  </cols>
  <sheetData>
    <row r="1" spans="1:21" ht="20.25">
      <c r="A1" s="1012" t="str">
        <f>Summary!$A$2</f>
        <v>iz/kkukpk;Z egkRek xka/kh jktdh; fo|ky; ¼vaxzsth ek/;e½ cj ] C;koj</v>
      </c>
      <c r="B1" s="1012"/>
      <c r="C1" s="1012"/>
      <c r="D1" s="1012"/>
      <c r="E1" s="1012"/>
      <c r="F1" s="1012"/>
      <c r="G1" s="1012"/>
      <c r="H1" s="1012"/>
      <c r="I1" s="1012"/>
      <c r="J1" s="1012"/>
      <c r="K1" s="1012"/>
      <c r="L1" s="1012"/>
      <c r="M1" s="1012"/>
      <c r="N1" s="1012"/>
      <c r="O1" s="1012"/>
      <c r="P1" s="1012"/>
      <c r="Q1" s="1012"/>
      <c r="R1" s="1012"/>
      <c r="S1" s="1012"/>
      <c r="T1" s="1012"/>
      <c r="U1" s="1012"/>
    </row>
    <row r="2" spans="1:21" ht="18.75">
      <c r="A2" s="526"/>
      <c r="B2" s="526"/>
      <c r="C2" s="526"/>
      <c r="D2" s="526"/>
      <c r="E2" s="526"/>
      <c r="F2" s="526"/>
      <c r="G2" s="526"/>
      <c r="H2" s="898" t="s">
        <v>393</v>
      </c>
      <c r="I2" s="898"/>
      <c r="J2" s="898"/>
      <c r="K2" s="898"/>
      <c r="L2" s="898"/>
      <c r="M2" s="898"/>
      <c r="N2" s="898"/>
      <c r="O2" s="898"/>
      <c r="P2" s="898"/>
      <c r="Q2" s="526"/>
      <c r="R2" s="526"/>
      <c r="S2" s="949">
        <f>Summary!$C$1</f>
        <v>30695</v>
      </c>
      <c r="T2" s="949"/>
      <c r="U2" s="949"/>
    </row>
    <row r="3" spans="1:21" ht="19.5" thickBot="1">
      <c r="A3" s="1026" t="s">
        <v>609</v>
      </c>
      <c r="B3" s="1026"/>
      <c r="C3" s="1026"/>
      <c r="D3" s="1026"/>
      <c r="E3" s="1026"/>
      <c r="F3" s="1026"/>
      <c r="G3" s="1026"/>
      <c r="H3" s="1026"/>
      <c r="I3" s="1026"/>
      <c r="J3" s="1026"/>
      <c r="K3" s="1026"/>
      <c r="L3" s="1026"/>
      <c r="M3" s="1026"/>
      <c r="N3" s="1026"/>
      <c r="O3" s="1026"/>
      <c r="P3" s="1026"/>
      <c r="Q3" s="1026"/>
      <c r="R3" s="1026"/>
      <c r="S3" s="1026"/>
      <c r="T3" s="1026"/>
      <c r="U3" s="1026"/>
    </row>
    <row r="4" spans="1:21" ht="26.25" customHeight="1">
      <c r="A4" s="1015" t="s">
        <v>381</v>
      </c>
      <c r="B4" s="1016" t="s">
        <v>392</v>
      </c>
      <c r="C4" s="1016"/>
      <c r="D4" s="1016" t="s">
        <v>382</v>
      </c>
      <c r="E4" s="1018" t="s">
        <v>788</v>
      </c>
      <c r="F4" s="1019"/>
      <c r="G4" s="1019"/>
      <c r="H4" s="1019"/>
      <c r="I4" s="1019"/>
      <c r="J4" s="1019"/>
      <c r="K4" s="1020"/>
      <c r="L4" s="1018" t="s">
        <v>789</v>
      </c>
      <c r="M4" s="1019"/>
      <c r="N4" s="1019"/>
      <c r="O4" s="1019"/>
      <c r="P4" s="1019"/>
      <c r="Q4" s="1019"/>
      <c r="R4" s="1020"/>
      <c r="S4" s="1016" t="s">
        <v>383</v>
      </c>
      <c r="T4" s="1016"/>
      <c r="U4" s="1024"/>
    </row>
    <row r="5" spans="1:21" ht="21" customHeight="1">
      <c r="A5" s="1010"/>
      <c r="B5" s="1017"/>
      <c r="C5" s="1017"/>
      <c r="D5" s="1017"/>
      <c r="E5" s="1021"/>
      <c r="F5" s="1022"/>
      <c r="G5" s="1022"/>
      <c r="H5" s="1022"/>
      <c r="I5" s="1022"/>
      <c r="J5" s="1022"/>
      <c r="K5" s="1023"/>
      <c r="L5" s="1021"/>
      <c r="M5" s="1022"/>
      <c r="N5" s="1022"/>
      <c r="O5" s="1022"/>
      <c r="P5" s="1022"/>
      <c r="Q5" s="1022"/>
      <c r="R5" s="1023"/>
      <c r="S5" s="250" t="s">
        <v>384</v>
      </c>
      <c r="T5" s="250" t="s">
        <v>40</v>
      </c>
      <c r="U5" s="251" t="s">
        <v>385</v>
      </c>
    </row>
    <row r="6" spans="1:21">
      <c r="A6" s="226">
        <v>1</v>
      </c>
      <c r="B6" s="1003">
        <v>2</v>
      </c>
      <c r="C6" s="1003"/>
      <c r="D6" s="227">
        <v>3</v>
      </c>
      <c r="E6" s="1004">
        <v>4</v>
      </c>
      <c r="F6" s="1005"/>
      <c r="G6" s="1005"/>
      <c r="H6" s="1005"/>
      <c r="I6" s="1005"/>
      <c r="J6" s="1005"/>
      <c r="K6" s="1006"/>
      <c r="L6" s="1007">
        <v>5</v>
      </c>
      <c r="M6" s="1008"/>
      <c r="N6" s="1008"/>
      <c r="O6" s="1008"/>
      <c r="P6" s="1008"/>
      <c r="Q6" s="1008"/>
      <c r="R6" s="1009"/>
      <c r="S6" s="227">
        <v>6</v>
      </c>
      <c r="T6" s="227">
        <v>7</v>
      </c>
      <c r="U6" s="228">
        <v>8</v>
      </c>
    </row>
    <row r="7" spans="1:21" ht="15.75">
      <c r="A7" s="1010" t="s">
        <v>386</v>
      </c>
      <c r="B7" s="250" t="s">
        <v>391</v>
      </c>
      <c r="C7" s="229">
        <f>Namankan!I12+Namankan!I13+Namankan!I14</f>
        <v>8</v>
      </c>
      <c r="D7" s="230">
        <v>75</v>
      </c>
      <c r="E7" s="231">
        <f t="shared" ref="E7:E12" si="0">C7</f>
        <v>8</v>
      </c>
      <c r="F7" s="232" t="s">
        <v>311</v>
      </c>
      <c r="G7" s="232">
        <f t="shared" ref="G7:G12" si="1">D7</f>
        <v>75</v>
      </c>
      <c r="H7" s="232" t="s">
        <v>311</v>
      </c>
      <c r="I7" s="232">
        <v>10</v>
      </c>
      <c r="J7" s="232" t="s">
        <v>387</v>
      </c>
      <c r="K7" s="504">
        <f>E7*G7*I7</f>
        <v>6000</v>
      </c>
      <c r="L7" s="231">
        <f>IF(C7&lt;=0,0,(E7+5))</f>
        <v>13</v>
      </c>
      <c r="M7" s="232" t="s">
        <v>311</v>
      </c>
      <c r="N7" s="232">
        <f>D7</f>
        <v>75</v>
      </c>
      <c r="O7" s="232" t="s">
        <v>311</v>
      </c>
      <c r="P7" s="232">
        <v>10</v>
      </c>
      <c r="Q7" s="232" t="s">
        <v>387</v>
      </c>
      <c r="R7" s="504">
        <f t="shared" ref="R7:R12" si="2">L7*N7*P7</f>
        <v>9750</v>
      </c>
      <c r="S7" s="233"/>
      <c r="T7" s="233"/>
      <c r="U7" s="234"/>
    </row>
    <row r="8" spans="1:21" ht="15.75">
      <c r="A8" s="1010"/>
      <c r="B8" s="250" t="s">
        <v>390</v>
      </c>
      <c r="C8" s="229">
        <f>Namankan!J12+Namankan!J13+Namankan!J14</f>
        <v>5</v>
      </c>
      <c r="D8" s="229">
        <v>125</v>
      </c>
      <c r="E8" s="231">
        <f t="shared" si="0"/>
        <v>5</v>
      </c>
      <c r="F8" s="232" t="s">
        <v>311</v>
      </c>
      <c r="G8" s="232">
        <f t="shared" si="1"/>
        <v>125</v>
      </c>
      <c r="H8" s="232" t="s">
        <v>311</v>
      </c>
      <c r="I8" s="232">
        <v>10</v>
      </c>
      <c r="J8" s="232" t="s">
        <v>387</v>
      </c>
      <c r="K8" s="504">
        <f t="shared" ref="K8:K12" si="3">E8*G8*I8</f>
        <v>6250</v>
      </c>
      <c r="L8" s="231">
        <f t="shared" ref="L8:L12" si="4">IF(C8&lt;=0,0,(E8+5))</f>
        <v>10</v>
      </c>
      <c r="M8" s="232" t="s">
        <v>311</v>
      </c>
      <c r="N8" s="232">
        <f>D8</f>
        <v>125</v>
      </c>
      <c r="O8" s="232" t="s">
        <v>311</v>
      </c>
      <c r="P8" s="232">
        <v>10</v>
      </c>
      <c r="Q8" s="232" t="s">
        <v>387</v>
      </c>
      <c r="R8" s="504">
        <f t="shared" si="2"/>
        <v>12500</v>
      </c>
      <c r="S8" s="233"/>
      <c r="T8" s="233"/>
      <c r="U8" s="234"/>
    </row>
    <row r="9" spans="1:21" ht="15.75">
      <c r="A9" s="1010" t="s">
        <v>388</v>
      </c>
      <c r="B9" s="250" t="s">
        <v>391</v>
      </c>
      <c r="C9" s="229">
        <f>Namankan!I15+Namankan!I16</f>
        <v>10</v>
      </c>
      <c r="D9" s="229">
        <v>225</v>
      </c>
      <c r="E9" s="231">
        <f t="shared" si="0"/>
        <v>10</v>
      </c>
      <c r="F9" s="232" t="s">
        <v>311</v>
      </c>
      <c r="G9" s="232">
        <f t="shared" si="1"/>
        <v>225</v>
      </c>
      <c r="H9" s="232" t="s">
        <v>311</v>
      </c>
      <c r="I9" s="232">
        <v>10</v>
      </c>
      <c r="J9" s="232" t="s">
        <v>387</v>
      </c>
      <c r="K9" s="504">
        <f t="shared" si="3"/>
        <v>22500</v>
      </c>
      <c r="L9" s="231">
        <f t="shared" si="4"/>
        <v>15</v>
      </c>
      <c r="M9" s="232" t="s">
        <v>311</v>
      </c>
      <c r="N9" s="232">
        <f>D9</f>
        <v>225</v>
      </c>
      <c r="O9" s="232" t="s">
        <v>311</v>
      </c>
      <c r="P9" s="232">
        <v>10</v>
      </c>
      <c r="Q9" s="232" t="s">
        <v>387</v>
      </c>
      <c r="R9" s="504">
        <f t="shared" si="2"/>
        <v>33750</v>
      </c>
      <c r="S9" s="233"/>
      <c r="T9" s="233"/>
      <c r="U9" s="234"/>
    </row>
    <row r="10" spans="1:21" ht="15.75">
      <c r="A10" s="1011"/>
      <c r="B10" s="252" t="s">
        <v>390</v>
      </c>
      <c r="C10" s="235">
        <f>Namankan!J15+Namankan!J16</f>
        <v>3</v>
      </c>
      <c r="D10" s="235">
        <v>225</v>
      </c>
      <c r="E10" s="231">
        <f t="shared" si="0"/>
        <v>3</v>
      </c>
      <c r="F10" s="232" t="s">
        <v>311</v>
      </c>
      <c r="G10" s="232">
        <f t="shared" si="1"/>
        <v>225</v>
      </c>
      <c r="H10" s="232" t="s">
        <v>311</v>
      </c>
      <c r="I10" s="232">
        <v>10</v>
      </c>
      <c r="J10" s="232" t="s">
        <v>387</v>
      </c>
      <c r="K10" s="504">
        <f t="shared" si="3"/>
        <v>6750</v>
      </c>
      <c r="L10" s="231">
        <f t="shared" si="4"/>
        <v>8</v>
      </c>
      <c r="M10" s="232" t="s">
        <v>311</v>
      </c>
      <c r="N10" s="232">
        <v>100</v>
      </c>
      <c r="O10" s="232" t="s">
        <v>311</v>
      </c>
      <c r="P10" s="232">
        <v>10</v>
      </c>
      <c r="Q10" s="232" t="s">
        <v>387</v>
      </c>
      <c r="R10" s="504">
        <f t="shared" si="2"/>
        <v>8000</v>
      </c>
      <c r="S10" s="236"/>
      <c r="T10" s="236"/>
      <c r="U10" s="237"/>
    </row>
    <row r="11" spans="1:21" ht="15.75">
      <c r="A11" s="1010" t="s">
        <v>389</v>
      </c>
      <c r="B11" s="250" t="s">
        <v>391</v>
      </c>
      <c r="C11" s="229">
        <f>Namankan!I17+Namankan!I18</f>
        <v>2</v>
      </c>
      <c r="D11" s="229">
        <v>230</v>
      </c>
      <c r="E11" s="231">
        <f t="shared" si="0"/>
        <v>2</v>
      </c>
      <c r="F11" s="232" t="s">
        <v>311</v>
      </c>
      <c r="G11" s="232">
        <f t="shared" si="1"/>
        <v>230</v>
      </c>
      <c r="H11" s="232" t="s">
        <v>311</v>
      </c>
      <c r="I11" s="232">
        <v>10</v>
      </c>
      <c r="J11" s="232" t="s">
        <v>387</v>
      </c>
      <c r="K11" s="504">
        <f t="shared" si="3"/>
        <v>4600</v>
      </c>
      <c r="L11" s="231">
        <f t="shared" si="4"/>
        <v>7</v>
      </c>
      <c r="M11" s="232" t="s">
        <v>311</v>
      </c>
      <c r="N11" s="232">
        <f>D11</f>
        <v>230</v>
      </c>
      <c r="O11" s="232" t="s">
        <v>311</v>
      </c>
      <c r="P11" s="232">
        <v>10</v>
      </c>
      <c r="Q11" s="232" t="s">
        <v>387</v>
      </c>
      <c r="R11" s="504">
        <f t="shared" si="2"/>
        <v>16100</v>
      </c>
      <c r="S11" s="233"/>
      <c r="T11" s="233"/>
      <c r="U11" s="234"/>
    </row>
    <row r="12" spans="1:21" ht="16.5" thickBot="1">
      <c r="A12" s="1011"/>
      <c r="B12" s="252" t="s">
        <v>390</v>
      </c>
      <c r="C12" s="235">
        <f>Namankan!J17+Namankan!J18</f>
        <v>4</v>
      </c>
      <c r="D12" s="235">
        <v>230</v>
      </c>
      <c r="E12" s="231">
        <f t="shared" si="0"/>
        <v>4</v>
      </c>
      <c r="F12" s="232" t="s">
        <v>311</v>
      </c>
      <c r="G12" s="232">
        <f t="shared" si="1"/>
        <v>230</v>
      </c>
      <c r="H12" s="232" t="s">
        <v>311</v>
      </c>
      <c r="I12" s="232">
        <v>10</v>
      </c>
      <c r="J12" s="232" t="s">
        <v>387</v>
      </c>
      <c r="K12" s="504">
        <f t="shared" si="3"/>
        <v>9200</v>
      </c>
      <c r="L12" s="231">
        <f t="shared" si="4"/>
        <v>9</v>
      </c>
      <c r="M12" s="232" t="s">
        <v>311</v>
      </c>
      <c r="N12" s="232">
        <v>100</v>
      </c>
      <c r="O12" s="232" t="s">
        <v>311</v>
      </c>
      <c r="P12" s="232">
        <v>10</v>
      </c>
      <c r="Q12" s="232" t="s">
        <v>387</v>
      </c>
      <c r="R12" s="504">
        <f t="shared" si="2"/>
        <v>9000</v>
      </c>
      <c r="S12" s="236"/>
      <c r="T12" s="236"/>
      <c r="U12" s="237"/>
    </row>
    <row r="13" spans="1:21" ht="16.5" thickBot="1">
      <c r="A13" s="999" t="s">
        <v>37</v>
      </c>
      <c r="B13" s="1000"/>
      <c r="C13" s="1000"/>
      <c r="D13" s="1001"/>
      <c r="E13" s="238"/>
      <c r="F13" s="239"/>
      <c r="G13" s="239"/>
      <c r="H13" s="239"/>
      <c r="I13" s="240"/>
      <c r="J13" s="240"/>
      <c r="K13" s="241">
        <f>SUM(K7:K12)</f>
        <v>55300</v>
      </c>
      <c r="L13" s="242"/>
      <c r="M13" s="240"/>
      <c r="N13" s="240"/>
      <c r="O13" s="240"/>
      <c r="P13" s="240"/>
      <c r="Q13" s="240"/>
      <c r="R13" s="241">
        <f>SUM(R7:R12)</f>
        <v>89100</v>
      </c>
      <c r="S13" s="243"/>
      <c r="T13" s="243"/>
      <c r="U13" s="244"/>
    </row>
    <row r="14" spans="1:21" ht="20.25">
      <c r="A14" s="1012" t="str">
        <f>Summary!$A$2</f>
        <v>iz/kkukpk;Z egkRek xka/kh jktdh; fo|ky; ¼vaxzsth ek/;e½ cj ] C;koj</v>
      </c>
      <c r="B14" s="1012"/>
      <c r="C14" s="1012"/>
      <c r="D14" s="1012"/>
      <c r="E14" s="1012"/>
      <c r="F14" s="1012"/>
      <c r="G14" s="1012"/>
      <c r="H14" s="1012"/>
      <c r="I14" s="1012"/>
      <c r="J14" s="1012"/>
      <c r="K14" s="1012"/>
      <c r="L14" s="1012"/>
      <c r="M14" s="1012"/>
      <c r="N14" s="1012"/>
      <c r="O14" s="1012"/>
      <c r="P14" s="1012"/>
      <c r="Q14" s="1012"/>
      <c r="R14" s="1012"/>
      <c r="S14" s="1012"/>
      <c r="T14" s="1012"/>
      <c r="U14" s="1012"/>
    </row>
    <row r="15" spans="1:21" ht="20.25">
      <c r="A15" s="1013" t="s">
        <v>393</v>
      </c>
      <c r="B15" s="1013"/>
      <c r="C15" s="1013"/>
      <c r="D15" s="1013"/>
      <c r="E15" s="1013"/>
      <c r="F15" s="1013"/>
      <c r="G15" s="1013"/>
      <c r="H15" s="1013"/>
      <c r="I15" s="1013"/>
      <c r="J15" s="1013"/>
      <c r="K15" s="1013"/>
      <c r="L15" s="1013"/>
      <c r="M15" s="1013"/>
      <c r="N15" s="1013"/>
      <c r="O15" s="1013"/>
      <c r="P15" s="1013"/>
      <c r="Q15" s="1013"/>
      <c r="R15" s="1013"/>
      <c r="S15" s="1013"/>
      <c r="T15" s="1013"/>
      <c r="U15" s="1013"/>
    </row>
    <row r="16" spans="1:21" ht="21" thickBot="1">
      <c r="A16" s="1014" t="s">
        <v>394</v>
      </c>
      <c r="B16" s="1014"/>
      <c r="C16" s="1014"/>
      <c r="D16" s="1014"/>
      <c r="E16" s="1014"/>
      <c r="F16" s="1014"/>
      <c r="G16" s="1014"/>
      <c r="H16" s="1014"/>
      <c r="I16" s="1014"/>
      <c r="J16" s="1014"/>
      <c r="K16" s="1014"/>
      <c r="L16" s="1014"/>
      <c r="M16" s="1014"/>
      <c r="N16" s="1014"/>
      <c r="O16" s="1014"/>
      <c r="P16" s="1014"/>
      <c r="Q16" s="1014"/>
      <c r="R16" s="1014"/>
      <c r="S16" s="1014"/>
      <c r="T16" s="1014"/>
      <c r="U16" s="1014"/>
    </row>
    <row r="17" spans="1:21" ht="25.5" customHeight="1">
      <c r="A17" s="1015" t="s">
        <v>381</v>
      </c>
      <c r="B17" s="1016" t="s">
        <v>392</v>
      </c>
      <c r="C17" s="1016"/>
      <c r="D17" s="1016" t="s">
        <v>382</v>
      </c>
      <c r="E17" s="1018" t="str">
        <f>E4</f>
        <v>o"kZ 2025&amp;26 ds fy, 
la'kksf/kr vuqeku
10 ekg ds fy,</v>
      </c>
      <c r="F17" s="1019"/>
      <c r="G17" s="1019"/>
      <c r="H17" s="1019"/>
      <c r="I17" s="1019"/>
      <c r="J17" s="1019"/>
      <c r="K17" s="1020"/>
      <c r="L17" s="1018" t="str">
        <f>L4</f>
        <v>o"kZ 2026&amp;27 ds fy, 
vuqekfur jkf'k 
10 ekg ds fy,</v>
      </c>
      <c r="M17" s="1019"/>
      <c r="N17" s="1019"/>
      <c r="O17" s="1019"/>
      <c r="P17" s="1019"/>
      <c r="Q17" s="1019"/>
      <c r="R17" s="1020"/>
      <c r="S17" s="1016" t="s">
        <v>383</v>
      </c>
      <c r="T17" s="1016"/>
      <c r="U17" s="1024"/>
    </row>
    <row r="18" spans="1:21" ht="23.25" customHeight="1">
      <c r="A18" s="1010"/>
      <c r="B18" s="1017"/>
      <c r="C18" s="1017"/>
      <c r="D18" s="1017"/>
      <c r="E18" s="1021"/>
      <c r="F18" s="1022"/>
      <c r="G18" s="1022"/>
      <c r="H18" s="1022"/>
      <c r="I18" s="1022"/>
      <c r="J18" s="1022"/>
      <c r="K18" s="1023"/>
      <c r="L18" s="1021"/>
      <c r="M18" s="1022"/>
      <c r="N18" s="1022"/>
      <c r="O18" s="1022"/>
      <c r="P18" s="1022"/>
      <c r="Q18" s="1022"/>
      <c r="R18" s="1023"/>
      <c r="S18" s="250" t="s">
        <v>384</v>
      </c>
      <c r="T18" s="250" t="s">
        <v>40</v>
      </c>
      <c r="U18" s="251" t="s">
        <v>385</v>
      </c>
    </row>
    <row r="19" spans="1:21">
      <c r="A19" s="226">
        <v>1</v>
      </c>
      <c r="B19" s="1003">
        <v>2</v>
      </c>
      <c r="C19" s="1003"/>
      <c r="D19" s="227">
        <v>3</v>
      </c>
      <c r="E19" s="1004">
        <v>4</v>
      </c>
      <c r="F19" s="1005"/>
      <c r="G19" s="1005"/>
      <c r="H19" s="1005"/>
      <c r="I19" s="1005"/>
      <c r="J19" s="1005"/>
      <c r="K19" s="1006"/>
      <c r="L19" s="1007">
        <v>5</v>
      </c>
      <c r="M19" s="1008"/>
      <c r="N19" s="1008"/>
      <c r="O19" s="1008"/>
      <c r="P19" s="1008"/>
      <c r="Q19" s="1008"/>
      <c r="R19" s="1009"/>
      <c r="S19" s="227">
        <v>6</v>
      </c>
      <c r="T19" s="227">
        <v>7</v>
      </c>
      <c r="U19" s="228">
        <v>8</v>
      </c>
    </row>
    <row r="20" spans="1:21" ht="15.75">
      <c r="A20" s="1010" t="s">
        <v>386</v>
      </c>
      <c r="B20" s="250" t="s">
        <v>391</v>
      </c>
      <c r="C20" s="229">
        <f>Namankan!F12+Namankan!F13+Namankan!F14</f>
        <v>0</v>
      </c>
      <c r="D20" s="230">
        <v>75</v>
      </c>
      <c r="E20" s="231">
        <f t="shared" ref="E20:E25" si="5">C20</f>
        <v>0</v>
      </c>
      <c r="F20" s="232" t="s">
        <v>311</v>
      </c>
      <c r="G20" s="232">
        <f t="shared" ref="G20:G25" si="6">D20</f>
        <v>75</v>
      </c>
      <c r="H20" s="232" t="s">
        <v>311</v>
      </c>
      <c r="I20" s="232">
        <v>10</v>
      </c>
      <c r="J20" s="232" t="s">
        <v>387</v>
      </c>
      <c r="K20" s="504">
        <f t="shared" ref="K20:K25" si="7">E20*G20*I20</f>
        <v>0</v>
      </c>
      <c r="L20" s="231">
        <f t="shared" ref="L20:L25" si="8">IF(C20&lt;=0,0,(E20+5))</f>
        <v>0</v>
      </c>
      <c r="M20" s="232" t="s">
        <v>311</v>
      </c>
      <c r="N20" s="232">
        <f>D20</f>
        <v>75</v>
      </c>
      <c r="O20" s="232" t="s">
        <v>311</v>
      </c>
      <c r="P20" s="232">
        <v>10</v>
      </c>
      <c r="Q20" s="232" t="s">
        <v>387</v>
      </c>
      <c r="R20" s="504">
        <f t="shared" ref="R20:R25" si="9">L20*N20*P20</f>
        <v>0</v>
      </c>
      <c r="S20" s="233"/>
      <c r="T20" s="233"/>
      <c r="U20" s="234"/>
    </row>
    <row r="21" spans="1:21" ht="15.75">
      <c r="A21" s="1010"/>
      <c r="B21" s="250" t="s">
        <v>390</v>
      </c>
      <c r="C21" s="229">
        <f>Namankan!G12+Namankan!G13+Namankan!G14</f>
        <v>0</v>
      </c>
      <c r="D21" s="229">
        <v>125</v>
      </c>
      <c r="E21" s="231">
        <f t="shared" si="5"/>
        <v>0</v>
      </c>
      <c r="F21" s="232" t="s">
        <v>311</v>
      </c>
      <c r="G21" s="232">
        <f t="shared" si="6"/>
        <v>125</v>
      </c>
      <c r="H21" s="232" t="s">
        <v>311</v>
      </c>
      <c r="I21" s="232">
        <v>10</v>
      </c>
      <c r="J21" s="232" t="s">
        <v>387</v>
      </c>
      <c r="K21" s="504">
        <f t="shared" si="7"/>
        <v>0</v>
      </c>
      <c r="L21" s="231">
        <f t="shared" si="8"/>
        <v>0</v>
      </c>
      <c r="M21" s="232" t="s">
        <v>311</v>
      </c>
      <c r="N21" s="232">
        <f>D21</f>
        <v>125</v>
      </c>
      <c r="O21" s="232" t="s">
        <v>311</v>
      </c>
      <c r="P21" s="232">
        <v>10</v>
      </c>
      <c r="Q21" s="232" t="s">
        <v>387</v>
      </c>
      <c r="R21" s="504">
        <f t="shared" si="9"/>
        <v>0</v>
      </c>
      <c r="S21" s="233"/>
      <c r="T21" s="233"/>
      <c r="U21" s="234"/>
    </row>
    <row r="22" spans="1:21" ht="15.75">
      <c r="A22" s="1010" t="s">
        <v>388</v>
      </c>
      <c r="B22" s="250" t="s">
        <v>391</v>
      </c>
      <c r="C22" s="229">
        <f>Namankan!F15+Namankan!F16</f>
        <v>0</v>
      </c>
      <c r="D22" s="229">
        <v>225</v>
      </c>
      <c r="E22" s="231">
        <f t="shared" si="5"/>
        <v>0</v>
      </c>
      <c r="F22" s="232" t="s">
        <v>311</v>
      </c>
      <c r="G22" s="232">
        <f t="shared" si="6"/>
        <v>225</v>
      </c>
      <c r="H22" s="232" t="s">
        <v>311</v>
      </c>
      <c r="I22" s="232">
        <v>10</v>
      </c>
      <c r="J22" s="232" t="s">
        <v>387</v>
      </c>
      <c r="K22" s="504">
        <f t="shared" si="7"/>
        <v>0</v>
      </c>
      <c r="L22" s="231">
        <f t="shared" si="8"/>
        <v>0</v>
      </c>
      <c r="M22" s="232" t="s">
        <v>311</v>
      </c>
      <c r="N22" s="232">
        <f>D22</f>
        <v>225</v>
      </c>
      <c r="O22" s="232" t="s">
        <v>311</v>
      </c>
      <c r="P22" s="232">
        <v>10</v>
      </c>
      <c r="Q22" s="232" t="s">
        <v>387</v>
      </c>
      <c r="R22" s="504">
        <f t="shared" si="9"/>
        <v>0</v>
      </c>
      <c r="S22" s="233"/>
      <c r="T22" s="233"/>
      <c r="U22" s="234"/>
    </row>
    <row r="23" spans="1:21" ht="15.75">
      <c r="A23" s="1011"/>
      <c r="B23" s="252" t="s">
        <v>390</v>
      </c>
      <c r="C23" s="235">
        <f>Namankan!G15+Namankan!G16</f>
        <v>0</v>
      </c>
      <c r="D23" s="235">
        <v>225</v>
      </c>
      <c r="E23" s="231">
        <f t="shared" si="5"/>
        <v>0</v>
      </c>
      <c r="F23" s="232" t="s">
        <v>311</v>
      </c>
      <c r="G23" s="232">
        <f t="shared" si="6"/>
        <v>225</v>
      </c>
      <c r="H23" s="232" t="s">
        <v>311</v>
      </c>
      <c r="I23" s="232">
        <v>10</v>
      </c>
      <c r="J23" s="232" t="s">
        <v>387</v>
      </c>
      <c r="K23" s="504">
        <f t="shared" si="7"/>
        <v>0</v>
      </c>
      <c r="L23" s="231">
        <f t="shared" si="8"/>
        <v>0</v>
      </c>
      <c r="M23" s="232" t="s">
        <v>311</v>
      </c>
      <c r="N23" s="232">
        <v>100</v>
      </c>
      <c r="O23" s="232" t="s">
        <v>311</v>
      </c>
      <c r="P23" s="232">
        <v>10</v>
      </c>
      <c r="Q23" s="232" t="s">
        <v>387</v>
      </c>
      <c r="R23" s="504">
        <f t="shared" si="9"/>
        <v>0</v>
      </c>
      <c r="S23" s="236"/>
      <c r="T23" s="236"/>
      <c r="U23" s="237"/>
    </row>
    <row r="24" spans="1:21" ht="15.75">
      <c r="A24" s="1010" t="s">
        <v>389</v>
      </c>
      <c r="B24" s="250" t="s">
        <v>391</v>
      </c>
      <c r="C24" s="229">
        <f>Namankan!F17+Namankan!F18</f>
        <v>0</v>
      </c>
      <c r="D24" s="229">
        <v>230</v>
      </c>
      <c r="E24" s="231">
        <f t="shared" si="5"/>
        <v>0</v>
      </c>
      <c r="F24" s="232" t="s">
        <v>311</v>
      </c>
      <c r="G24" s="232">
        <f t="shared" si="6"/>
        <v>230</v>
      </c>
      <c r="H24" s="232" t="s">
        <v>311</v>
      </c>
      <c r="I24" s="232">
        <v>10</v>
      </c>
      <c r="J24" s="232" t="s">
        <v>387</v>
      </c>
      <c r="K24" s="504">
        <f t="shared" si="7"/>
        <v>0</v>
      </c>
      <c r="L24" s="231">
        <f t="shared" si="8"/>
        <v>0</v>
      </c>
      <c r="M24" s="232" t="s">
        <v>311</v>
      </c>
      <c r="N24" s="232">
        <f>D24</f>
        <v>230</v>
      </c>
      <c r="O24" s="232" t="s">
        <v>311</v>
      </c>
      <c r="P24" s="232">
        <v>10</v>
      </c>
      <c r="Q24" s="232" t="s">
        <v>387</v>
      </c>
      <c r="R24" s="504">
        <f t="shared" si="9"/>
        <v>0</v>
      </c>
      <c r="S24" s="233"/>
      <c r="T24" s="233"/>
      <c r="U24" s="234"/>
    </row>
    <row r="25" spans="1:21" ht="16.5" thickBot="1">
      <c r="A25" s="1011"/>
      <c r="B25" s="252" t="s">
        <v>390</v>
      </c>
      <c r="C25" s="235">
        <f>Namankan!G17+Namankan!G18</f>
        <v>1</v>
      </c>
      <c r="D25" s="235">
        <v>230</v>
      </c>
      <c r="E25" s="231">
        <f t="shared" si="5"/>
        <v>1</v>
      </c>
      <c r="F25" s="232" t="s">
        <v>311</v>
      </c>
      <c r="G25" s="232">
        <f t="shared" si="6"/>
        <v>230</v>
      </c>
      <c r="H25" s="232" t="s">
        <v>311</v>
      </c>
      <c r="I25" s="232">
        <v>10</v>
      </c>
      <c r="J25" s="232" t="s">
        <v>387</v>
      </c>
      <c r="K25" s="504">
        <f t="shared" si="7"/>
        <v>2300</v>
      </c>
      <c r="L25" s="231">
        <f t="shared" si="8"/>
        <v>6</v>
      </c>
      <c r="M25" s="232" t="s">
        <v>311</v>
      </c>
      <c r="N25" s="232">
        <v>100</v>
      </c>
      <c r="O25" s="232" t="s">
        <v>311</v>
      </c>
      <c r="P25" s="232">
        <v>10</v>
      </c>
      <c r="Q25" s="232" t="s">
        <v>387</v>
      </c>
      <c r="R25" s="504">
        <f t="shared" si="9"/>
        <v>6000</v>
      </c>
      <c r="S25" s="236"/>
      <c r="T25" s="236"/>
      <c r="U25" s="237"/>
    </row>
    <row r="26" spans="1:21" ht="16.5" thickBot="1">
      <c r="A26" s="999" t="s">
        <v>37</v>
      </c>
      <c r="B26" s="1000"/>
      <c r="C26" s="1000"/>
      <c r="D26" s="1001"/>
      <c r="E26" s="245"/>
      <c r="F26" s="246"/>
      <c r="G26" s="246"/>
      <c r="H26" s="246"/>
      <c r="I26" s="247"/>
      <c r="J26" s="247"/>
      <c r="K26" s="248">
        <f>SUM(K20:K25)</f>
        <v>2300</v>
      </c>
      <c r="L26" s="249"/>
      <c r="M26" s="247"/>
      <c r="N26" s="247"/>
      <c r="O26" s="247"/>
      <c r="P26" s="247"/>
      <c r="Q26" s="247"/>
      <c r="R26" s="248">
        <f>SUM(R20:R25)</f>
        <v>6000</v>
      </c>
      <c r="S26" s="243"/>
      <c r="T26" s="243"/>
      <c r="U26" s="244"/>
    </row>
    <row r="27" spans="1:21" ht="20.25">
      <c r="A27" s="1012" t="str">
        <f>Summary!$A$2</f>
        <v>iz/kkukpk;Z egkRek xka/kh jktdh; fo|ky; ¼vaxzsth ek/;e½ cj ] C;koj</v>
      </c>
      <c r="B27" s="1012"/>
      <c r="C27" s="1012"/>
      <c r="D27" s="1012"/>
      <c r="E27" s="1012"/>
      <c r="F27" s="1012"/>
      <c r="G27" s="1012"/>
      <c r="H27" s="1012"/>
      <c r="I27" s="1012"/>
      <c r="J27" s="1012"/>
      <c r="K27" s="1012"/>
      <c r="L27" s="1012"/>
      <c r="M27" s="1012"/>
      <c r="N27" s="1012"/>
      <c r="O27" s="1012"/>
      <c r="P27" s="1012"/>
      <c r="Q27" s="1012"/>
      <c r="R27" s="1012"/>
      <c r="S27" s="1012"/>
      <c r="T27" s="1012"/>
      <c r="U27" s="1012"/>
    </row>
    <row r="28" spans="1:21" ht="20.25">
      <c r="A28" s="1013" t="s">
        <v>380</v>
      </c>
      <c r="B28" s="1013"/>
      <c r="C28" s="1013"/>
      <c r="D28" s="1013"/>
      <c r="E28" s="1013"/>
      <c r="F28" s="1013"/>
      <c r="G28" s="1013"/>
      <c r="H28" s="1013"/>
      <c r="I28" s="1013"/>
      <c r="J28" s="1013"/>
      <c r="K28" s="1013"/>
      <c r="L28" s="1013"/>
      <c r="M28" s="1013"/>
      <c r="N28" s="1013"/>
      <c r="O28" s="1013"/>
      <c r="P28" s="1013"/>
      <c r="Q28" s="1013"/>
      <c r="R28" s="1013"/>
      <c r="S28" s="1013"/>
      <c r="T28" s="1013"/>
      <c r="U28" s="1013"/>
    </row>
    <row r="29" spans="1:21" ht="21" thickBot="1">
      <c r="A29" s="1014" t="s">
        <v>395</v>
      </c>
      <c r="B29" s="1014"/>
      <c r="C29" s="1014"/>
      <c r="D29" s="1014"/>
      <c r="E29" s="1014"/>
      <c r="F29" s="1014"/>
      <c r="G29" s="1014"/>
      <c r="H29" s="1014"/>
      <c r="I29" s="1014"/>
      <c r="J29" s="1014"/>
      <c r="K29" s="1014"/>
      <c r="L29" s="1014"/>
      <c r="M29" s="1014"/>
      <c r="N29" s="1014"/>
      <c r="O29" s="1014"/>
      <c r="P29" s="1014"/>
      <c r="Q29" s="1014"/>
      <c r="R29" s="1014"/>
      <c r="S29" s="1014"/>
      <c r="T29" s="1014"/>
      <c r="U29" s="1014"/>
    </row>
    <row r="30" spans="1:21" ht="27" customHeight="1">
      <c r="A30" s="1015" t="s">
        <v>381</v>
      </c>
      <c r="B30" s="1016" t="s">
        <v>392</v>
      </c>
      <c r="C30" s="1016"/>
      <c r="D30" s="1016" t="s">
        <v>382</v>
      </c>
      <c r="E30" s="1018" t="str">
        <f>E17</f>
        <v>o"kZ 2025&amp;26 ds fy, 
la'kksf/kr vuqeku
10 ekg ds fy,</v>
      </c>
      <c r="F30" s="1019"/>
      <c r="G30" s="1019"/>
      <c r="H30" s="1019"/>
      <c r="I30" s="1019"/>
      <c r="J30" s="1019"/>
      <c r="K30" s="1020"/>
      <c r="L30" s="1018" t="str">
        <f>L17</f>
        <v>o"kZ 2026&amp;27 ds fy, 
vuqekfur jkf'k 
10 ekg ds fy,</v>
      </c>
      <c r="M30" s="1019"/>
      <c r="N30" s="1019"/>
      <c r="O30" s="1019"/>
      <c r="P30" s="1019"/>
      <c r="Q30" s="1019"/>
      <c r="R30" s="1020"/>
      <c r="S30" s="1016" t="s">
        <v>383</v>
      </c>
      <c r="T30" s="1016"/>
      <c r="U30" s="1024"/>
    </row>
    <row r="31" spans="1:21" ht="25.5" customHeight="1">
      <c r="A31" s="1010"/>
      <c r="B31" s="1017"/>
      <c r="C31" s="1017"/>
      <c r="D31" s="1017"/>
      <c r="E31" s="1021"/>
      <c r="F31" s="1022"/>
      <c r="G31" s="1022"/>
      <c r="H31" s="1022"/>
      <c r="I31" s="1022"/>
      <c r="J31" s="1022"/>
      <c r="K31" s="1023"/>
      <c r="L31" s="1021"/>
      <c r="M31" s="1022"/>
      <c r="N31" s="1022"/>
      <c r="O31" s="1022"/>
      <c r="P31" s="1022"/>
      <c r="Q31" s="1022"/>
      <c r="R31" s="1023"/>
      <c r="S31" s="250" t="s">
        <v>384</v>
      </c>
      <c r="T31" s="250" t="s">
        <v>40</v>
      </c>
      <c r="U31" s="251" t="s">
        <v>385</v>
      </c>
    </row>
    <row r="32" spans="1:21">
      <c r="A32" s="226">
        <v>1</v>
      </c>
      <c r="B32" s="1003">
        <v>2</v>
      </c>
      <c r="C32" s="1003"/>
      <c r="D32" s="227">
        <v>3</v>
      </c>
      <c r="E32" s="1004">
        <v>4</v>
      </c>
      <c r="F32" s="1005"/>
      <c r="G32" s="1005"/>
      <c r="H32" s="1005"/>
      <c r="I32" s="1005"/>
      <c r="J32" s="1005"/>
      <c r="K32" s="1006"/>
      <c r="L32" s="1007">
        <v>5</v>
      </c>
      <c r="M32" s="1008"/>
      <c r="N32" s="1008"/>
      <c r="O32" s="1008"/>
      <c r="P32" s="1008"/>
      <c r="Q32" s="1008"/>
      <c r="R32" s="1009"/>
      <c r="S32" s="227">
        <v>6</v>
      </c>
      <c r="T32" s="227">
        <v>7</v>
      </c>
      <c r="U32" s="228">
        <v>8</v>
      </c>
    </row>
    <row r="33" spans="1:21" ht="15.75">
      <c r="A33" s="1010" t="s">
        <v>386</v>
      </c>
      <c r="B33" s="250" t="s">
        <v>391</v>
      </c>
      <c r="C33" s="229">
        <f>Namankan!L12+Namankan!L13+Namankan!L14+Namankan!O12+Namankan!O13+Namankan!O14</f>
        <v>50</v>
      </c>
      <c r="D33" s="230">
        <v>100</v>
      </c>
      <c r="E33" s="231">
        <f t="shared" ref="E33:E38" si="10">C33</f>
        <v>50</v>
      </c>
      <c r="F33" s="232" t="s">
        <v>311</v>
      </c>
      <c r="G33" s="232">
        <f t="shared" ref="G33:G38" si="11">D33</f>
        <v>100</v>
      </c>
      <c r="H33" s="232" t="s">
        <v>311</v>
      </c>
      <c r="I33" s="232">
        <v>10</v>
      </c>
      <c r="J33" s="232" t="s">
        <v>387</v>
      </c>
      <c r="K33" s="503">
        <f t="shared" ref="K33:K38" si="12">E33*G33*I33</f>
        <v>50000</v>
      </c>
      <c r="L33" s="231">
        <f t="shared" ref="L33:L38" si="13">IF(C33&lt;=0,0,(E33+5))</f>
        <v>55</v>
      </c>
      <c r="M33" s="232" t="s">
        <v>311</v>
      </c>
      <c r="N33" s="232">
        <f t="shared" ref="N33:N38" si="14">D33</f>
        <v>100</v>
      </c>
      <c r="O33" s="232" t="s">
        <v>311</v>
      </c>
      <c r="P33" s="232">
        <v>10</v>
      </c>
      <c r="Q33" s="232" t="s">
        <v>387</v>
      </c>
      <c r="R33" s="504">
        <f t="shared" ref="R33:R38" si="15">L33*N33*P33</f>
        <v>55000</v>
      </c>
      <c r="S33" s="233"/>
      <c r="T33" s="233"/>
      <c r="U33" s="234"/>
    </row>
    <row r="34" spans="1:21" ht="15.75">
      <c r="A34" s="1010"/>
      <c r="B34" s="250" t="s">
        <v>390</v>
      </c>
      <c r="C34" s="229">
        <f>Namankan!M12+Namankan!M13+Namankan!M14+Namankan!P12+Namankan!P13+Namankan!P14</f>
        <v>39</v>
      </c>
      <c r="D34" s="229">
        <v>100</v>
      </c>
      <c r="E34" s="231">
        <f t="shared" si="10"/>
        <v>39</v>
      </c>
      <c r="F34" s="232" t="s">
        <v>311</v>
      </c>
      <c r="G34" s="232">
        <f t="shared" si="11"/>
        <v>100</v>
      </c>
      <c r="H34" s="232" t="s">
        <v>311</v>
      </c>
      <c r="I34" s="232">
        <v>10</v>
      </c>
      <c r="J34" s="232" t="s">
        <v>387</v>
      </c>
      <c r="K34" s="503">
        <f t="shared" si="12"/>
        <v>39000</v>
      </c>
      <c r="L34" s="231">
        <f t="shared" si="13"/>
        <v>44</v>
      </c>
      <c r="M34" s="232" t="s">
        <v>311</v>
      </c>
      <c r="N34" s="232">
        <f t="shared" si="14"/>
        <v>100</v>
      </c>
      <c r="O34" s="232" t="s">
        <v>311</v>
      </c>
      <c r="P34" s="232">
        <v>10</v>
      </c>
      <c r="Q34" s="232" t="s">
        <v>387</v>
      </c>
      <c r="R34" s="504">
        <f t="shared" si="15"/>
        <v>44000</v>
      </c>
      <c r="S34" s="233"/>
      <c r="T34" s="233"/>
      <c r="U34" s="234"/>
    </row>
    <row r="35" spans="1:21" ht="15.75">
      <c r="A35" s="1010" t="s">
        <v>388</v>
      </c>
      <c r="B35" s="250" t="s">
        <v>391</v>
      </c>
      <c r="C35" s="229">
        <f>Namankan!L15+Namankan!L16+Namankan!O15+Namankan!O16</f>
        <v>160</v>
      </c>
      <c r="D35" s="229">
        <v>100</v>
      </c>
      <c r="E35" s="231">
        <f t="shared" si="10"/>
        <v>160</v>
      </c>
      <c r="F35" s="232" t="s">
        <v>311</v>
      </c>
      <c r="G35" s="232">
        <f t="shared" si="11"/>
        <v>100</v>
      </c>
      <c r="H35" s="232" t="s">
        <v>311</v>
      </c>
      <c r="I35" s="232">
        <v>10</v>
      </c>
      <c r="J35" s="232" t="s">
        <v>387</v>
      </c>
      <c r="K35" s="503">
        <f t="shared" si="12"/>
        <v>160000</v>
      </c>
      <c r="L35" s="231">
        <f t="shared" si="13"/>
        <v>165</v>
      </c>
      <c r="M35" s="232" t="s">
        <v>311</v>
      </c>
      <c r="N35" s="232">
        <f t="shared" si="14"/>
        <v>100</v>
      </c>
      <c r="O35" s="232" t="s">
        <v>311</v>
      </c>
      <c r="P35" s="232">
        <v>10</v>
      </c>
      <c r="Q35" s="232" t="s">
        <v>387</v>
      </c>
      <c r="R35" s="504">
        <f t="shared" si="15"/>
        <v>165000</v>
      </c>
      <c r="S35" s="233"/>
      <c r="T35" s="233"/>
      <c r="U35" s="234"/>
    </row>
    <row r="36" spans="1:21" ht="15.75">
      <c r="A36" s="1011"/>
      <c r="B36" s="252" t="s">
        <v>390</v>
      </c>
      <c r="C36" s="235">
        <f>Namankan!M15+Namankan!M16+Namankan!P15+Namankan!P16</f>
        <v>119</v>
      </c>
      <c r="D36" s="235">
        <v>100</v>
      </c>
      <c r="E36" s="231">
        <f t="shared" si="10"/>
        <v>119</v>
      </c>
      <c r="F36" s="232" t="s">
        <v>311</v>
      </c>
      <c r="G36" s="232">
        <f t="shared" si="11"/>
        <v>100</v>
      </c>
      <c r="H36" s="232" t="s">
        <v>311</v>
      </c>
      <c r="I36" s="232">
        <v>10</v>
      </c>
      <c r="J36" s="232" t="s">
        <v>387</v>
      </c>
      <c r="K36" s="503">
        <f t="shared" si="12"/>
        <v>119000</v>
      </c>
      <c r="L36" s="231">
        <f t="shared" si="13"/>
        <v>124</v>
      </c>
      <c r="M36" s="232" t="s">
        <v>311</v>
      </c>
      <c r="N36" s="232">
        <f t="shared" si="14"/>
        <v>100</v>
      </c>
      <c r="O36" s="232" t="s">
        <v>311</v>
      </c>
      <c r="P36" s="232">
        <v>10</v>
      </c>
      <c r="Q36" s="232" t="s">
        <v>387</v>
      </c>
      <c r="R36" s="504">
        <f t="shared" si="15"/>
        <v>124000</v>
      </c>
      <c r="S36" s="236"/>
      <c r="T36" s="236"/>
      <c r="U36" s="237"/>
    </row>
    <row r="37" spans="1:21" ht="15.75">
      <c r="A37" s="1010" t="s">
        <v>389</v>
      </c>
      <c r="B37" s="250" t="s">
        <v>391</v>
      </c>
      <c r="C37" s="229">
        <f>Namankan!L17+Namankan!L18+Namankan!O17+Namankan!O18</f>
        <v>49</v>
      </c>
      <c r="D37" s="229">
        <v>150</v>
      </c>
      <c r="E37" s="231">
        <f t="shared" si="10"/>
        <v>49</v>
      </c>
      <c r="F37" s="232" t="s">
        <v>311</v>
      </c>
      <c r="G37" s="232">
        <f t="shared" si="11"/>
        <v>150</v>
      </c>
      <c r="H37" s="232" t="s">
        <v>311</v>
      </c>
      <c r="I37" s="232">
        <v>10</v>
      </c>
      <c r="J37" s="232" t="s">
        <v>387</v>
      </c>
      <c r="K37" s="503">
        <f t="shared" si="12"/>
        <v>73500</v>
      </c>
      <c r="L37" s="231">
        <f t="shared" si="13"/>
        <v>54</v>
      </c>
      <c r="M37" s="232" t="s">
        <v>311</v>
      </c>
      <c r="N37" s="232">
        <f t="shared" si="14"/>
        <v>150</v>
      </c>
      <c r="O37" s="232" t="s">
        <v>311</v>
      </c>
      <c r="P37" s="232">
        <v>10</v>
      </c>
      <c r="Q37" s="232" t="s">
        <v>387</v>
      </c>
      <c r="R37" s="504">
        <f t="shared" si="15"/>
        <v>81000</v>
      </c>
      <c r="S37" s="233"/>
      <c r="T37" s="233"/>
      <c r="U37" s="234"/>
    </row>
    <row r="38" spans="1:21" ht="16.5" thickBot="1">
      <c r="A38" s="1011"/>
      <c r="B38" s="252" t="s">
        <v>390</v>
      </c>
      <c r="C38" s="235">
        <f>Namankan!M17+Namankan!M18+Namankan!P17+Namankan!P18</f>
        <v>56</v>
      </c>
      <c r="D38" s="235">
        <v>150</v>
      </c>
      <c r="E38" s="231">
        <f t="shared" si="10"/>
        <v>56</v>
      </c>
      <c r="F38" s="232" t="s">
        <v>311</v>
      </c>
      <c r="G38" s="232">
        <f t="shared" si="11"/>
        <v>150</v>
      </c>
      <c r="H38" s="232" t="s">
        <v>311</v>
      </c>
      <c r="I38" s="232">
        <v>10</v>
      </c>
      <c r="J38" s="232" t="s">
        <v>387</v>
      </c>
      <c r="K38" s="503">
        <f t="shared" si="12"/>
        <v>84000</v>
      </c>
      <c r="L38" s="231">
        <f t="shared" si="13"/>
        <v>61</v>
      </c>
      <c r="M38" s="232" t="s">
        <v>311</v>
      </c>
      <c r="N38" s="232">
        <f t="shared" si="14"/>
        <v>150</v>
      </c>
      <c r="O38" s="232" t="s">
        <v>311</v>
      </c>
      <c r="P38" s="232">
        <v>10</v>
      </c>
      <c r="Q38" s="232" t="s">
        <v>387</v>
      </c>
      <c r="R38" s="504">
        <f t="shared" si="15"/>
        <v>91500</v>
      </c>
      <c r="S38" s="236"/>
      <c r="T38" s="236"/>
      <c r="U38" s="237"/>
    </row>
    <row r="39" spans="1:21" ht="16.5" thickBot="1">
      <c r="A39" s="999" t="s">
        <v>37</v>
      </c>
      <c r="B39" s="1000"/>
      <c r="C39" s="1000"/>
      <c r="D39" s="1001"/>
      <c r="E39" s="238"/>
      <c r="F39" s="239"/>
      <c r="G39" s="239"/>
      <c r="H39" s="239"/>
      <c r="I39" s="240"/>
      <c r="J39" s="240"/>
      <c r="K39" s="241">
        <f>SUM(K33:K38)</f>
        <v>525500</v>
      </c>
      <c r="L39" s="242"/>
      <c r="M39" s="240"/>
      <c r="N39" s="240"/>
      <c r="O39" s="240"/>
      <c r="P39" s="240"/>
      <c r="Q39" s="240"/>
      <c r="R39" s="241">
        <f>SUM(R33:R38)</f>
        <v>560500</v>
      </c>
      <c r="S39" s="243"/>
      <c r="T39" s="243"/>
      <c r="U39" s="244"/>
    </row>
    <row r="40" spans="1:21">
      <c r="A40" s="562" t="s">
        <v>550</v>
      </c>
    </row>
    <row r="41" spans="1:21" s="326" customFormat="1">
      <c r="A41" s="524"/>
    </row>
    <row r="42" spans="1:21" s="326" customFormat="1">
      <c r="A42" s="524"/>
    </row>
    <row r="43" spans="1:21" s="326" customFormat="1">
      <c r="A43" s="524"/>
      <c r="R43" s="1025" t="str">
        <f>CONCATENATE("¼ ",Master!G3,"½")</f>
        <v>¼ m"kk ikfy;k½</v>
      </c>
      <c r="S43" s="1025"/>
      <c r="T43" s="1025"/>
      <c r="U43" s="1025"/>
    </row>
    <row r="44" spans="1:21" ht="18.75">
      <c r="R44" s="1002" t="str">
        <f>Master!C2</f>
        <v>iz/kkukpk;Z</v>
      </c>
      <c r="S44" s="1002"/>
      <c r="T44" s="1002"/>
      <c r="U44" s="1002"/>
    </row>
    <row r="45" spans="1:21" ht="15" customHeight="1">
      <c r="R45" s="904" t="str">
        <f>Master!D2</f>
        <v>egkRek xka/kh jktdh; fo|ky; ¼vaxzsth ek/;e½ cj ] C;koj</v>
      </c>
      <c r="S45" s="904"/>
      <c r="T45" s="904"/>
      <c r="U45" s="904"/>
    </row>
    <row r="46" spans="1:21" ht="34.5" customHeight="1">
      <c r="R46" s="904"/>
      <c r="S46" s="904"/>
      <c r="T46" s="904"/>
      <c r="U46" s="904"/>
    </row>
  </sheetData>
  <mergeCells count="52">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 ref="B19:C19"/>
    <mergeCell ref="E19:K19"/>
    <mergeCell ref="L19:R19"/>
    <mergeCell ref="A20:A21"/>
    <mergeCell ref="A22:A23"/>
    <mergeCell ref="A13:D13"/>
    <mergeCell ref="A14:U14"/>
    <mergeCell ref="A15:U15"/>
    <mergeCell ref="A16:U16"/>
    <mergeCell ref="A17:A18"/>
    <mergeCell ref="B17:C18"/>
    <mergeCell ref="D17:D18"/>
    <mergeCell ref="E17:K18"/>
    <mergeCell ref="L17:R18"/>
    <mergeCell ref="S17:U17"/>
    <mergeCell ref="D30:D31"/>
    <mergeCell ref="E30:K31"/>
    <mergeCell ref="L30:R31"/>
    <mergeCell ref="S30:U30"/>
    <mergeCell ref="A24:A25"/>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s>
  <conditionalFormatting sqref="A40:A43">
    <cfRule type="containsText" dxfId="27" priority="1" operator="containsText" text="in fjDr">
      <formula>NOT(ISERROR(SEARCH("in fjDr",A40)))</formula>
    </cfRule>
  </conditionalFormatting>
  <pageMargins left="0.49" right="0.2" top="0.75" bottom="0.5" header="0.3" footer="0.3"/>
  <pageSetup paperSize="9" scale="87" orientation="portrait" blackAndWhite="1" horizontalDpi="300" verticalDpi="300" r:id="rId1"/>
</worksheet>
</file>

<file path=xl/worksheets/sheet17.xml><?xml version="1.0" encoding="utf-8"?>
<worksheet xmlns="http://schemas.openxmlformats.org/spreadsheetml/2006/main" xmlns:r="http://schemas.openxmlformats.org/officeDocument/2006/relationships">
  <sheetPr codeName="Sheet15">
    <tabColor rgb="FF00B050"/>
  </sheetPr>
  <dimension ref="A1:H62"/>
  <sheetViews>
    <sheetView view="pageBreakPreview" zoomScale="110" zoomScaleSheetLayoutView="110" workbookViewId="0">
      <selection activeCell="F5" sqref="F5:H5"/>
    </sheetView>
  </sheetViews>
  <sheetFormatPr defaultColWidth="9.125" defaultRowHeight="15"/>
  <cols>
    <col min="1" max="1" width="17.75" style="326" customWidth="1"/>
    <col min="2" max="3" width="13.75" style="326" customWidth="1"/>
    <col min="4" max="8" width="12.875" style="326" customWidth="1"/>
    <col min="9" max="9" width="11.25" style="326" customWidth="1"/>
    <col min="10" max="16384" width="9.125" style="326"/>
  </cols>
  <sheetData>
    <row r="1" spans="1:8" ht="15.75">
      <c r="F1" s="949">
        <f>Summary!$C$1</f>
        <v>30695</v>
      </c>
      <c r="G1" s="949"/>
      <c r="H1" s="949"/>
    </row>
    <row r="2" spans="1:8" ht="23.25">
      <c r="A2" s="1027" t="str">
        <f>Scholership!A1</f>
        <v>iz/kkukpk;Z egkRek xka/kh jktdh; fo|ky; ¼vaxzsth ek/;e½ cj ] C;koj</v>
      </c>
      <c r="B2" s="1027"/>
      <c r="C2" s="1027"/>
      <c r="D2" s="1027"/>
      <c r="E2" s="1027"/>
      <c r="F2" s="1027"/>
      <c r="G2" s="1027"/>
      <c r="H2" s="1027"/>
    </row>
    <row r="3" spans="1:8" ht="19.5">
      <c r="A3" s="1028" t="s">
        <v>645</v>
      </c>
      <c r="B3" s="1028"/>
      <c r="C3" s="1028"/>
      <c r="D3" s="1028"/>
      <c r="E3" s="1028"/>
      <c r="F3" s="1028"/>
      <c r="G3" s="1028"/>
      <c r="H3" s="1028"/>
    </row>
    <row r="4" spans="1:8" ht="18.75">
      <c r="A4" s="1029" t="s">
        <v>663</v>
      </c>
      <c r="B4" s="1029"/>
      <c r="C4" s="1029"/>
      <c r="D4" s="1029"/>
      <c r="E4" s="1029"/>
      <c r="F4" s="1029"/>
      <c r="G4" s="1029"/>
      <c r="H4" s="1029"/>
    </row>
    <row r="5" spans="1:8" ht="18.95" customHeight="1">
      <c r="A5" s="1030" t="s">
        <v>381</v>
      </c>
      <c r="B5" s="1032" t="s">
        <v>39</v>
      </c>
      <c r="C5" s="1032" t="s">
        <v>646</v>
      </c>
      <c r="D5" s="1032" t="s">
        <v>746</v>
      </c>
      <c r="E5" s="1032" t="s">
        <v>790</v>
      </c>
      <c r="F5" s="1033" t="s">
        <v>647</v>
      </c>
      <c r="G5" s="1034"/>
      <c r="H5" s="1035"/>
    </row>
    <row r="6" spans="1:8" ht="18.95" customHeight="1">
      <c r="A6" s="1031"/>
      <c r="B6" s="1032"/>
      <c r="C6" s="1032"/>
      <c r="D6" s="1032"/>
      <c r="E6" s="1032"/>
      <c r="F6" s="327" t="s">
        <v>384</v>
      </c>
      <c r="G6" s="327" t="s">
        <v>40</v>
      </c>
      <c r="H6" s="327" t="s">
        <v>424</v>
      </c>
    </row>
    <row r="7" spans="1:8" ht="15" customHeight="1">
      <c r="A7" s="675" t="s">
        <v>648</v>
      </c>
      <c r="B7" s="644">
        <f>Scholership!C7</f>
        <v>8</v>
      </c>
      <c r="C7" s="644">
        <v>75</v>
      </c>
      <c r="D7" s="644">
        <f>B7*C7*10</f>
        <v>6000</v>
      </c>
      <c r="E7" s="644">
        <f>(B7+3)*C7*10</f>
        <v>8250</v>
      </c>
      <c r="F7" s="630" t="s">
        <v>671</v>
      </c>
      <c r="G7" s="630"/>
      <c r="H7" s="630"/>
    </row>
    <row r="8" spans="1:8" ht="15" customHeight="1">
      <c r="A8" s="675" t="s">
        <v>649</v>
      </c>
      <c r="B8" s="644">
        <f>Scholership!C8</f>
        <v>5</v>
      </c>
      <c r="C8" s="644">
        <v>125</v>
      </c>
      <c r="D8" s="644">
        <f>B8*C8*10</f>
        <v>6250</v>
      </c>
      <c r="E8" s="644">
        <f t="shared" ref="E8:E10" si="0">(B8+3)*C8*10</f>
        <v>10000</v>
      </c>
      <c r="F8" s="630" t="s">
        <v>690</v>
      </c>
      <c r="G8" s="630"/>
      <c r="H8" s="630"/>
    </row>
    <row r="9" spans="1:8" ht="15" customHeight="1">
      <c r="A9" s="675" t="s">
        <v>650</v>
      </c>
      <c r="B9" s="644">
        <f>Scholership!C9</f>
        <v>10</v>
      </c>
      <c r="C9" s="644">
        <v>300</v>
      </c>
      <c r="D9" s="644">
        <f>B9*C9*10</f>
        <v>30000</v>
      </c>
      <c r="E9" s="644">
        <f t="shared" si="0"/>
        <v>39000</v>
      </c>
      <c r="F9" s="630" t="s">
        <v>694</v>
      </c>
      <c r="G9" s="630"/>
      <c r="H9" s="630"/>
    </row>
    <row r="10" spans="1:8" ht="15" customHeight="1">
      <c r="A10" s="675" t="s">
        <v>651</v>
      </c>
      <c r="B10" s="644">
        <f>Scholership!C10</f>
        <v>3</v>
      </c>
      <c r="C10" s="644">
        <v>300</v>
      </c>
      <c r="D10" s="644">
        <f>B10*C10*10</f>
        <v>9000</v>
      </c>
      <c r="E10" s="644">
        <f t="shared" si="0"/>
        <v>18000</v>
      </c>
      <c r="F10" s="630"/>
      <c r="G10" s="630"/>
      <c r="H10" s="630"/>
    </row>
    <row r="11" spans="1:8" ht="15" customHeight="1">
      <c r="A11" s="673" t="s">
        <v>347</v>
      </c>
      <c r="B11" s="633">
        <f>SUM(B7:B10)</f>
        <v>26</v>
      </c>
      <c r="C11" s="633"/>
      <c r="D11" s="633">
        <v>0</v>
      </c>
      <c r="E11" s="633">
        <v>0</v>
      </c>
      <c r="F11" s="633"/>
      <c r="G11" s="633"/>
      <c r="H11" s="633"/>
    </row>
    <row r="12" spans="1:8" ht="18.75">
      <c r="A12" s="1036" t="s">
        <v>652</v>
      </c>
      <c r="B12" s="1036"/>
      <c r="C12" s="1036"/>
      <c r="D12" s="1036"/>
      <c r="E12" s="1036"/>
      <c r="F12" s="1036"/>
      <c r="G12" s="1036"/>
      <c r="H12" s="1036"/>
    </row>
    <row r="13" spans="1:8" ht="18" customHeight="1">
      <c r="A13" s="1030" t="s">
        <v>381</v>
      </c>
      <c r="B13" s="1032" t="s">
        <v>39</v>
      </c>
      <c r="C13" s="1032" t="s">
        <v>646</v>
      </c>
      <c r="D13" s="1032" t="str">
        <f>D5</f>
        <v>2025&amp;26 ds fy,</v>
      </c>
      <c r="E13" s="1032" t="str">
        <f>E5</f>
        <v>2026&amp;27 ds fy,</v>
      </c>
      <c r="F13" s="1033" t="s">
        <v>647</v>
      </c>
      <c r="G13" s="1034"/>
      <c r="H13" s="1035"/>
    </row>
    <row r="14" spans="1:8" ht="18.75">
      <c r="A14" s="1031"/>
      <c r="B14" s="1032"/>
      <c r="C14" s="1032"/>
      <c r="D14" s="1032"/>
      <c r="E14" s="1032"/>
      <c r="F14" s="327" t="s">
        <v>384</v>
      </c>
      <c r="G14" s="327" t="s">
        <v>40</v>
      </c>
      <c r="H14" s="327" t="s">
        <v>424</v>
      </c>
    </row>
    <row r="15" spans="1:8" ht="15" customHeight="1">
      <c r="A15" s="675" t="s">
        <v>648</v>
      </c>
      <c r="B15" s="630">
        <f>Scholership!C20</f>
        <v>0</v>
      </c>
      <c r="C15" s="630">
        <v>75</v>
      </c>
      <c r="D15" s="630">
        <f>B15*C15*10</f>
        <v>0</v>
      </c>
      <c r="E15" s="630">
        <f>D15</f>
        <v>0</v>
      </c>
      <c r="F15" s="630" t="str">
        <f>F7</f>
        <v>2022-23</v>
      </c>
      <c r="G15" s="630"/>
      <c r="H15" s="630"/>
    </row>
    <row r="16" spans="1:8" ht="15" customHeight="1">
      <c r="A16" s="675" t="s">
        <v>649</v>
      </c>
      <c r="B16" s="630">
        <f>Scholership!C21</f>
        <v>0</v>
      </c>
      <c r="C16" s="630">
        <v>125</v>
      </c>
      <c r="D16" s="630">
        <f t="shared" ref="D16:D18" si="1">B16*C16*10</f>
        <v>0</v>
      </c>
      <c r="E16" s="630">
        <f t="shared" ref="E16:E18" si="2">D16</f>
        <v>0</v>
      </c>
      <c r="F16" s="630" t="str">
        <f>F8</f>
        <v>2023-24</v>
      </c>
      <c r="G16" s="630"/>
      <c r="H16" s="630"/>
    </row>
    <row r="17" spans="1:8" ht="15" customHeight="1">
      <c r="A17" s="675" t="s">
        <v>650</v>
      </c>
      <c r="B17" s="630">
        <f>Scholership!C22</f>
        <v>0</v>
      </c>
      <c r="C17" s="630">
        <v>300</v>
      </c>
      <c r="D17" s="630">
        <f t="shared" si="1"/>
        <v>0</v>
      </c>
      <c r="E17" s="630">
        <f t="shared" si="2"/>
        <v>0</v>
      </c>
      <c r="F17" s="630" t="str">
        <f>F9</f>
        <v>2024-25</v>
      </c>
      <c r="G17" s="630"/>
      <c r="H17" s="630"/>
    </row>
    <row r="18" spans="1:8" ht="15" customHeight="1">
      <c r="A18" s="675" t="s">
        <v>651</v>
      </c>
      <c r="B18" s="630">
        <f>Scholership!C23</f>
        <v>0</v>
      </c>
      <c r="C18" s="630">
        <v>300</v>
      </c>
      <c r="D18" s="630">
        <f t="shared" si="1"/>
        <v>0</v>
      </c>
      <c r="E18" s="630">
        <f t="shared" si="2"/>
        <v>0</v>
      </c>
      <c r="F18" s="630"/>
      <c r="G18" s="630"/>
      <c r="H18" s="630"/>
    </row>
    <row r="19" spans="1:8" ht="15" customHeight="1">
      <c r="A19" s="673" t="s">
        <v>347</v>
      </c>
      <c r="B19" s="633">
        <v>0</v>
      </c>
      <c r="C19" s="633"/>
      <c r="D19" s="633">
        <v>0</v>
      </c>
      <c r="E19" s="633">
        <v>0</v>
      </c>
      <c r="F19" s="633"/>
      <c r="G19" s="633"/>
      <c r="H19" s="633"/>
    </row>
    <row r="20" spans="1:8" ht="18.75">
      <c r="A20" s="1037" t="s">
        <v>653</v>
      </c>
      <c r="B20" s="1037"/>
      <c r="C20" s="1037"/>
      <c r="D20" s="1037"/>
      <c r="E20" s="1037"/>
      <c r="F20" s="1037"/>
      <c r="G20" s="1037"/>
      <c r="H20" s="1037"/>
    </row>
    <row r="21" spans="1:8" ht="18" customHeight="1">
      <c r="A21" s="1030" t="s">
        <v>381</v>
      </c>
      <c r="B21" s="1032" t="s">
        <v>39</v>
      </c>
      <c r="C21" s="1032" t="s">
        <v>646</v>
      </c>
      <c r="D21" s="1032" t="str">
        <f>D13</f>
        <v>2025&amp;26 ds fy,</v>
      </c>
      <c r="E21" s="1032" t="str">
        <f>E13</f>
        <v>2026&amp;27 ds fy,</v>
      </c>
      <c r="F21" s="1033" t="s">
        <v>647</v>
      </c>
      <c r="G21" s="1034"/>
      <c r="H21" s="1035"/>
    </row>
    <row r="22" spans="1:8" ht="18.75">
      <c r="A22" s="1031"/>
      <c r="B22" s="1032"/>
      <c r="C22" s="1032"/>
      <c r="D22" s="1032"/>
      <c r="E22" s="1032"/>
      <c r="F22" s="327" t="s">
        <v>384</v>
      </c>
      <c r="G22" s="327" t="s">
        <v>40</v>
      </c>
      <c r="H22" s="327" t="s">
        <v>424</v>
      </c>
    </row>
    <row r="23" spans="1:8" ht="15" customHeight="1">
      <c r="A23" s="675" t="s">
        <v>654</v>
      </c>
      <c r="B23" s="644">
        <f>Namankan!L15+Namankan!L16</f>
        <v>158</v>
      </c>
      <c r="C23" s="644">
        <v>100</v>
      </c>
      <c r="D23" s="644">
        <f>B23*C23*10</f>
        <v>158000</v>
      </c>
      <c r="E23" s="644">
        <f>(B23+3)*C23*10</f>
        <v>161000</v>
      </c>
      <c r="F23" s="630"/>
      <c r="G23" s="630"/>
      <c r="H23" s="630"/>
    </row>
    <row r="24" spans="1:8" ht="15" customHeight="1">
      <c r="A24" s="675" t="s">
        <v>655</v>
      </c>
      <c r="B24" s="644">
        <f>Namankan!M15+Namankan!M16</f>
        <v>116</v>
      </c>
      <c r="C24" s="644">
        <v>100</v>
      </c>
      <c r="D24" s="644">
        <f>B24*C24*10</f>
        <v>116000</v>
      </c>
      <c r="E24" s="644">
        <f>(B24+3)*C24*10</f>
        <v>119000</v>
      </c>
      <c r="F24" s="630"/>
      <c r="G24" s="630"/>
      <c r="H24" s="630"/>
    </row>
    <row r="25" spans="1:8" ht="15" customHeight="1">
      <c r="A25" s="673" t="s">
        <v>347</v>
      </c>
      <c r="B25" s="633">
        <f>SUM(B23:B24)</f>
        <v>274</v>
      </c>
      <c r="C25" s="633"/>
      <c r="D25" s="633">
        <f>SUM(D23:D24)</f>
        <v>274000</v>
      </c>
      <c r="E25" s="633">
        <f>SUM(E23:E24)</f>
        <v>280000</v>
      </c>
      <c r="F25" s="630"/>
      <c r="G25" s="630"/>
      <c r="H25" s="633"/>
    </row>
    <row r="26" spans="1:8" ht="18.75">
      <c r="A26" s="1037" t="s">
        <v>656</v>
      </c>
      <c r="B26" s="1037"/>
      <c r="C26" s="1037"/>
      <c r="D26" s="1037"/>
      <c r="E26" s="1037"/>
      <c r="F26" s="1037"/>
      <c r="G26" s="1037"/>
      <c r="H26" s="1037"/>
    </row>
    <row r="27" spans="1:8" ht="18" customHeight="1">
      <c r="A27" s="1030" t="s">
        <v>381</v>
      </c>
      <c r="B27" s="1032" t="s">
        <v>39</v>
      </c>
      <c r="C27" s="1032" t="s">
        <v>646</v>
      </c>
      <c r="D27" s="1032" t="str">
        <f>D21</f>
        <v>2025&amp;26 ds fy,</v>
      </c>
      <c r="E27" s="1032" t="str">
        <f>E21</f>
        <v>2026&amp;27 ds fy,</v>
      </c>
      <c r="F27" s="1033" t="s">
        <v>647</v>
      </c>
      <c r="G27" s="1034"/>
      <c r="H27" s="1035"/>
    </row>
    <row r="28" spans="1:8" ht="18.75">
      <c r="A28" s="1031"/>
      <c r="B28" s="1032"/>
      <c r="C28" s="1032"/>
      <c r="D28" s="1032"/>
      <c r="E28" s="1032"/>
      <c r="F28" s="327" t="s">
        <v>384</v>
      </c>
      <c r="G28" s="327" t="s">
        <v>40</v>
      </c>
      <c r="H28" s="327" t="s">
        <v>424</v>
      </c>
    </row>
    <row r="29" spans="1:8" ht="15" customHeight="1">
      <c r="A29" s="675" t="s">
        <v>654</v>
      </c>
      <c r="B29" s="644">
        <f>Namankan!O15+Namankan!O16</f>
        <v>2</v>
      </c>
      <c r="C29" s="644">
        <v>100</v>
      </c>
      <c r="D29" s="644">
        <f>B29*C29*10</f>
        <v>2000</v>
      </c>
      <c r="E29" s="644">
        <f>(B29+3)*C29*10</f>
        <v>5000</v>
      </c>
      <c r="F29" s="630"/>
      <c r="G29" s="630"/>
      <c r="H29" s="630"/>
    </row>
    <row r="30" spans="1:8" ht="15" customHeight="1">
      <c r="A30" s="675" t="s">
        <v>655</v>
      </c>
      <c r="B30" s="644">
        <f>Namankan!P15+Namankan!P16</f>
        <v>3</v>
      </c>
      <c r="C30" s="644">
        <v>100</v>
      </c>
      <c r="D30" s="644">
        <f>B30*C30*10</f>
        <v>3000</v>
      </c>
      <c r="E30" s="644">
        <f>(B30+3)*C30*10</f>
        <v>6000</v>
      </c>
      <c r="F30" s="630"/>
      <c r="G30" s="630"/>
      <c r="H30" s="630"/>
    </row>
    <row r="31" spans="1:8" ht="15" customHeight="1">
      <c r="A31" s="673" t="s">
        <v>347</v>
      </c>
      <c r="B31" s="633">
        <f>SUM(B29:B30)</f>
        <v>5</v>
      </c>
      <c r="C31" s="633"/>
      <c r="D31" s="633">
        <f>SUM(D29:D30)</f>
        <v>5000</v>
      </c>
      <c r="E31" s="633">
        <f>SUM(E29:E30)</f>
        <v>11000</v>
      </c>
      <c r="F31" s="630"/>
      <c r="G31" s="630"/>
      <c r="H31" s="633"/>
    </row>
    <row r="32" spans="1:8" ht="18.75">
      <c r="A32" s="1037" t="s">
        <v>657</v>
      </c>
      <c r="B32" s="1037"/>
      <c r="C32" s="1037"/>
      <c r="D32" s="1037"/>
      <c r="E32" s="1037"/>
      <c r="F32" s="1037"/>
      <c r="G32" s="1037"/>
      <c r="H32" s="1037"/>
    </row>
    <row r="33" spans="1:8" ht="18" customHeight="1">
      <c r="A33" s="1030" t="s">
        <v>381</v>
      </c>
      <c r="B33" s="1032" t="s">
        <v>39</v>
      </c>
      <c r="C33" s="1032" t="s">
        <v>646</v>
      </c>
      <c r="D33" s="1032" t="str">
        <f>D27</f>
        <v>2025&amp;26 ds fy,</v>
      </c>
      <c r="E33" s="1032" t="str">
        <f>E27</f>
        <v>2026&amp;27 ds fy,</v>
      </c>
      <c r="F33" s="1033" t="s">
        <v>647</v>
      </c>
      <c r="G33" s="1034"/>
      <c r="H33" s="1035"/>
    </row>
    <row r="34" spans="1:8" ht="18.75">
      <c r="A34" s="1031"/>
      <c r="B34" s="1032"/>
      <c r="C34" s="1032"/>
      <c r="D34" s="1032"/>
      <c r="E34" s="1032"/>
      <c r="F34" s="327" t="s">
        <v>384</v>
      </c>
      <c r="G34" s="327" t="s">
        <v>40</v>
      </c>
      <c r="H34" s="327" t="s">
        <v>424</v>
      </c>
    </row>
    <row r="35" spans="1:8" ht="15" customHeight="1">
      <c r="A35" s="675" t="s">
        <v>658</v>
      </c>
      <c r="B35" s="630">
        <f>Namankan!I17+Namankan!I18</f>
        <v>2</v>
      </c>
      <c r="C35" s="630">
        <v>300</v>
      </c>
      <c r="D35" s="630">
        <f>B35*C35*10</f>
        <v>6000</v>
      </c>
      <c r="E35" s="630">
        <f>(B35+3)*C35*10</f>
        <v>15000</v>
      </c>
      <c r="F35" s="630"/>
      <c r="G35" s="630"/>
      <c r="H35" s="630"/>
    </row>
    <row r="36" spans="1:8" ht="15" customHeight="1">
      <c r="A36" s="675" t="s">
        <v>659</v>
      </c>
      <c r="B36" s="630">
        <f>Namankan!J17+Namankan!J18</f>
        <v>4</v>
      </c>
      <c r="C36" s="630">
        <v>300</v>
      </c>
      <c r="D36" s="630">
        <f>B36*C36*10</f>
        <v>12000</v>
      </c>
      <c r="E36" s="630">
        <f>(B36+3)*C36*10</f>
        <v>21000</v>
      </c>
      <c r="F36" s="630"/>
      <c r="G36" s="630"/>
      <c r="H36" s="630"/>
    </row>
    <row r="37" spans="1:8" ht="15" customHeight="1">
      <c r="A37" s="673" t="s">
        <v>347</v>
      </c>
      <c r="B37" s="633">
        <f>SUM(B35:B36)</f>
        <v>6</v>
      </c>
      <c r="C37" s="633"/>
      <c r="D37" s="633">
        <f>SUM(D35:D36)</f>
        <v>18000</v>
      </c>
      <c r="E37" s="633">
        <f>SUM(E35:E36)</f>
        <v>36000</v>
      </c>
      <c r="F37" s="633"/>
      <c r="G37" s="633"/>
      <c r="H37" s="633"/>
    </row>
    <row r="38" spans="1:8" ht="18.75">
      <c r="A38" s="1037" t="s">
        <v>660</v>
      </c>
      <c r="B38" s="1037"/>
      <c r="C38" s="1037"/>
      <c r="D38" s="1037"/>
      <c r="E38" s="1037"/>
      <c r="F38" s="1037"/>
      <c r="G38" s="1037"/>
      <c r="H38" s="1037"/>
    </row>
    <row r="39" spans="1:8" ht="18" customHeight="1">
      <c r="A39" s="1030" t="s">
        <v>381</v>
      </c>
      <c r="B39" s="1032" t="s">
        <v>39</v>
      </c>
      <c r="C39" s="1032" t="s">
        <v>646</v>
      </c>
      <c r="D39" s="1032" t="str">
        <f>D27</f>
        <v>2025&amp;26 ds fy,</v>
      </c>
      <c r="E39" s="1032" t="str">
        <f>E27</f>
        <v>2026&amp;27 ds fy,</v>
      </c>
      <c r="F39" s="1033" t="s">
        <v>647</v>
      </c>
      <c r="G39" s="1034"/>
      <c r="H39" s="1035"/>
    </row>
    <row r="40" spans="1:8" ht="18.75">
      <c r="A40" s="1031"/>
      <c r="B40" s="1032"/>
      <c r="C40" s="1032"/>
      <c r="D40" s="1032"/>
      <c r="E40" s="1032"/>
      <c r="F40" s="327" t="s">
        <v>384</v>
      </c>
      <c r="G40" s="327" t="s">
        <v>40</v>
      </c>
      <c r="H40" s="327" t="s">
        <v>424</v>
      </c>
    </row>
    <row r="41" spans="1:8" ht="15" customHeight="1">
      <c r="A41" s="675" t="s">
        <v>658</v>
      </c>
      <c r="B41" s="630">
        <f>Namankan!F17+Namankan!F18</f>
        <v>0</v>
      </c>
      <c r="C41" s="630">
        <v>300</v>
      </c>
      <c r="D41" s="630"/>
      <c r="E41" s="630"/>
      <c r="F41" s="630"/>
      <c r="G41" s="630"/>
      <c r="H41" s="630"/>
    </row>
    <row r="42" spans="1:8" ht="15" customHeight="1">
      <c r="A42" s="675" t="s">
        <v>659</v>
      </c>
      <c r="B42" s="630">
        <f>Namankan!G17+Namankan!G18</f>
        <v>1</v>
      </c>
      <c r="C42" s="630">
        <v>300</v>
      </c>
      <c r="D42" s="630"/>
      <c r="E42" s="630"/>
      <c r="F42" s="630"/>
      <c r="G42" s="630"/>
      <c r="H42" s="630"/>
    </row>
    <row r="43" spans="1:8" ht="15" customHeight="1">
      <c r="A43" s="673" t="s">
        <v>347</v>
      </c>
      <c r="B43" s="633">
        <f>SUM(B41:B42)</f>
        <v>1</v>
      </c>
      <c r="C43" s="633"/>
      <c r="D43" s="633">
        <f t="shared" ref="D43:E43" si="3">SUM(D41:D42)</f>
        <v>0</v>
      </c>
      <c r="E43" s="633">
        <f t="shared" si="3"/>
        <v>0</v>
      </c>
      <c r="F43" s="633"/>
      <c r="G43" s="633"/>
      <c r="H43" s="633"/>
    </row>
    <row r="44" spans="1:8" ht="18.75">
      <c r="A44" s="1037" t="s">
        <v>661</v>
      </c>
      <c r="B44" s="1037"/>
      <c r="C44" s="1037"/>
      <c r="D44" s="1037"/>
      <c r="E44" s="1037"/>
      <c r="F44" s="1037"/>
      <c r="G44" s="1037"/>
      <c r="H44" s="1037"/>
    </row>
    <row r="45" spans="1:8" ht="18" customHeight="1">
      <c r="A45" s="1030" t="s">
        <v>381</v>
      </c>
      <c r="B45" s="1032" t="s">
        <v>39</v>
      </c>
      <c r="C45" s="1032" t="s">
        <v>646</v>
      </c>
      <c r="D45" s="1032" t="str">
        <f>D39</f>
        <v>2025&amp;26 ds fy,</v>
      </c>
      <c r="E45" s="1032" t="str">
        <f>E39</f>
        <v>2026&amp;27 ds fy,</v>
      </c>
      <c r="F45" s="1033" t="s">
        <v>647</v>
      </c>
      <c r="G45" s="1034"/>
      <c r="H45" s="1035"/>
    </row>
    <row r="46" spans="1:8" ht="18.75">
      <c r="A46" s="1031"/>
      <c r="B46" s="1032"/>
      <c r="C46" s="1032"/>
      <c r="D46" s="1032"/>
      <c r="E46" s="1032"/>
      <c r="F46" s="327" t="s">
        <v>384</v>
      </c>
      <c r="G46" s="327" t="s">
        <v>40</v>
      </c>
      <c r="H46" s="327" t="s">
        <v>424</v>
      </c>
    </row>
    <row r="47" spans="1:8" ht="15" customHeight="1">
      <c r="A47" s="675" t="s">
        <v>658</v>
      </c>
      <c r="B47" s="644">
        <f>Namankan!L17+Namankan!L18</f>
        <v>48</v>
      </c>
      <c r="C47" s="644">
        <v>160</v>
      </c>
      <c r="D47" s="644">
        <f>B47*C47*10</f>
        <v>76800</v>
      </c>
      <c r="E47" s="644">
        <f>(B47+3)*C47*10</f>
        <v>81600</v>
      </c>
      <c r="F47" s="630"/>
      <c r="G47" s="630"/>
      <c r="H47" s="630"/>
    </row>
    <row r="48" spans="1:8" ht="15" customHeight="1">
      <c r="A48" s="675" t="s">
        <v>659</v>
      </c>
      <c r="B48" s="644">
        <f>Namankan!M17+Namankan!M18</f>
        <v>55</v>
      </c>
      <c r="C48" s="644">
        <v>160</v>
      </c>
      <c r="D48" s="644">
        <f>B48*C48*10</f>
        <v>88000</v>
      </c>
      <c r="E48" s="644">
        <f>(B48+3)*C48*10</f>
        <v>92800</v>
      </c>
      <c r="F48" s="630"/>
      <c r="G48" s="630"/>
      <c r="H48" s="630"/>
    </row>
    <row r="49" spans="1:8" ht="15" customHeight="1">
      <c r="A49" s="673" t="s">
        <v>347</v>
      </c>
      <c r="B49" s="633">
        <f>SUM(B47:B48)</f>
        <v>103</v>
      </c>
      <c r="C49" s="633"/>
      <c r="D49" s="633">
        <f>SUM(D47:D48)</f>
        <v>164800</v>
      </c>
      <c r="E49" s="633">
        <f>SUM(E47:E48)</f>
        <v>174400</v>
      </c>
      <c r="F49" s="630"/>
      <c r="G49" s="630"/>
      <c r="H49" s="633"/>
    </row>
    <row r="50" spans="1:8" ht="18.75">
      <c r="A50" s="1037" t="s">
        <v>662</v>
      </c>
      <c r="B50" s="1037"/>
      <c r="C50" s="1037"/>
      <c r="D50" s="1037"/>
      <c r="E50" s="1037"/>
      <c r="F50" s="1037"/>
      <c r="G50" s="1037"/>
      <c r="H50" s="1037"/>
    </row>
    <row r="51" spans="1:8" ht="18" customHeight="1">
      <c r="A51" s="1030" t="s">
        <v>381</v>
      </c>
      <c r="B51" s="1032" t="s">
        <v>39</v>
      </c>
      <c r="C51" s="1032" t="s">
        <v>646</v>
      </c>
      <c r="D51" s="1032" t="str">
        <f>D45</f>
        <v>2025&amp;26 ds fy,</v>
      </c>
      <c r="E51" s="1032" t="str">
        <f>E45</f>
        <v>2026&amp;27 ds fy,</v>
      </c>
      <c r="F51" s="1033" t="s">
        <v>647</v>
      </c>
      <c r="G51" s="1034"/>
      <c r="H51" s="1035"/>
    </row>
    <row r="52" spans="1:8" ht="18.75">
      <c r="A52" s="1031"/>
      <c r="B52" s="1032"/>
      <c r="C52" s="1032"/>
      <c r="D52" s="1032"/>
      <c r="E52" s="1032"/>
      <c r="F52" s="327" t="s">
        <v>384</v>
      </c>
      <c r="G52" s="327" t="s">
        <v>40</v>
      </c>
      <c r="H52" s="327" t="s">
        <v>424</v>
      </c>
    </row>
    <row r="53" spans="1:8" ht="15" customHeight="1">
      <c r="A53" s="675" t="s">
        <v>658</v>
      </c>
      <c r="B53" s="644">
        <f>Namankan!O17+Namankan!O18</f>
        <v>1</v>
      </c>
      <c r="C53" s="644">
        <v>160</v>
      </c>
      <c r="D53" s="644">
        <f>B53*C53*10</f>
        <v>1600</v>
      </c>
      <c r="E53" s="644">
        <f>(B53+3)*C53*10</f>
        <v>6400</v>
      </c>
      <c r="F53" s="630"/>
      <c r="G53" s="630"/>
      <c r="H53" s="630"/>
    </row>
    <row r="54" spans="1:8" ht="15" customHeight="1">
      <c r="A54" s="675" t="s">
        <v>659</v>
      </c>
      <c r="B54" s="644">
        <f>Namankan!P17+Namankan!P18</f>
        <v>1</v>
      </c>
      <c r="C54" s="644">
        <v>160</v>
      </c>
      <c r="D54" s="644">
        <f>B54*C54*10</f>
        <v>1600</v>
      </c>
      <c r="E54" s="644">
        <f>(B54+3)*C54*10</f>
        <v>6400</v>
      </c>
      <c r="F54" s="630"/>
      <c r="G54" s="630"/>
      <c r="H54" s="630"/>
    </row>
    <row r="55" spans="1:8" ht="15" customHeight="1">
      <c r="A55" s="673" t="s">
        <v>347</v>
      </c>
      <c r="B55" s="633">
        <f>SUM(B53:B54)</f>
        <v>2</v>
      </c>
      <c r="C55" s="633"/>
      <c r="D55" s="633">
        <f>SUM(D53:D54)</f>
        <v>3200</v>
      </c>
      <c r="E55" s="633">
        <f>SUM(E53:E54)</f>
        <v>12800</v>
      </c>
      <c r="F55" s="630"/>
      <c r="G55" s="630"/>
      <c r="H55" s="633"/>
    </row>
    <row r="56" spans="1:8">
      <c r="A56" s="674" t="s">
        <v>550</v>
      </c>
    </row>
    <row r="59" spans="1:8">
      <c r="E59" s="1025" t="str">
        <f>CONCATENATE("¼ ",Master!G3,"½")</f>
        <v>¼ m"kk ikfy;k½</v>
      </c>
      <c r="F59" s="1025"/>
      <c r="G59" s="1025"/>
      <c r="H59" s="1025"/>
    </row>
    <row r="60" spans="1:8" ht="18.75">
      <c r="E60" s="1002" t="str">
        <f>Master!C2</f>
        <v>iz/kkukpk;Z</v>
      </c>
      <c r="F60" s="1002"/>
      <c r="G60" s="1002"/>
      <c r="H60" s="1002"/>
    </row>
    <row r="61" spans="1:8">
      <c r="E61" s="904" t="str">
        <f>Master!D2</f>
        <v>egkRek xka/kh jktdh; fo|ky; ¼vaxzsth ek/;e½ cj ] C;koj</v>
      </c>
      <c r="F61" s="904"/>
      <c r="G61" s="904"/>
      <c r="H61" s="904"/>
    </row>
    <row r="62" spans="1:8">
      <c r="E62" s="904"/>
      <c r="F62" s="904"/>
      <c r="G62" s="904"/>
      <c r="H62" s="904"/>
    </row>
  </sheetData>
  <mergeCells count="62">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 ref="E45:E46"/>
    <mergeCell ref="F45:H45"/>
    <mergeCell ref="A38:H38"/>
    <mergeCell ref="A39:A40"/>
    <mergeCell ref="B39:B40"/>
    <mergeCell ref="C39:C40"/>
    <mergeCell ref="D39:D40"/>
    <mergeCell ref="E39:E40"/>
    <mergeCell ref="F39:H39"/>
    <mergeCell ref="A32:H32"/>
    <mergeCell ref="A33:A34"/>
    <mergeCell ref="B33:B34"/>
    <mergeCell ref="C33:C34"/>
    <mergeCell ref="D33:D34"/>
    <mergeCell ref="E33:E34"/>
    <mergeCell ref="F33:H33"/>
    <mergeCell ref="A26:H26"/>
    <mergeCell ref="A27:A28"/>
    <mergeCell ref="B27:B28"/>
    <mergeCell ref="C27:C28"/>
    <mergeCell ref="D27:D28"/>
    <mergeCell ref="E27:E28"/>
    <mergeCell ref="F27:H27"/>
    <mergeCell ref="A20:H20"/>
    <mergeCell ref="A21:A22"/>
    <mergeCell ref="B21:B22"/>
    <mergeCell ref="C21:C22"/>
    <mergeCell ref="D21:D22"/>
    <mergeCell ref="E21:E22"/>
    <mergeCell ref="F21:H21"/>
    <mergeCell ref="A12:H12"/>
    <mergeCell ref="A13:A14"/>
    <mergeCell ref="B13:B14"/>
    <mergeCell ref="C13:C14"/>
    <mergeCell ref="D13:D14"/>
    <mergeCell ref="E13:E14"/>
    <mergeCell ref="F13:H13"/>
    <mergeCell ref="A2:H2"/>
    <mergeCell ref="A3:H3"/>
    <mergeCell ref="A4:H4"/>
    <mergeCell ref="A5:A6"/>
    <mergeCell ref="B5:B6"/>
    <mergeCell ref="C5:C6"/>
    <mergeCell ref="D5:D6"/>
    <mergeCell ref="E5:E6"/>
    <mergeCell ref="F5:H5"/>
  </mergeCells>
  <conditionalFormatting sqref="A56">
    <cfRule type="containsText" dxfId="26"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8.xml><?xml version="1.0" encoding="utf-8"?>
<worksheet xmlns="http://schemas.openxmlformats.org/spreadsheetml/2006/main" xmlns:r="http://schemas.openxmlformats.org/officeDocument/2006/relationships">
  <sheetPr codeName="Sheet16">
    <tabColor rgb="FF00B050"/>
  </sheetPr>
  <dimension ref="A1:H19"/>
  <sheetViews>
    <sheetView view="pageBreakPreview" zoomScale="110" zoomScaleSheetLayoutView="110" workbookViewId="0">
      <selection activeCell="J14" sqref="J14"/>
    </sheetView>
  </sheetViews>
  <sheetFormatPr defaultColWidth="9.125" defaultRowHeight="15"/>
  <cols>
    <col min="1" max="1" width="6.625" style="56" customWidth="1"/>
    <col min="2" max="3" width="19.625" style="56" customWidth="1"/>
    <col min="4" max="4" width="14.75" style="56" customWidth="1"/>
    <col min="5" max="5" width="15.125" style="56" customWidth="1"/>
    <col min="6" max="6" width="16.25" style="56" customWidth="1"/>
    <col min="7" max="7" width="15.25" style="56" customWidth="1"/>
    <col min="8" max="8" width="15" style="51" customWidth="1"/>
    <col min="9" max="16384" width="9.125" style="51"/>
  </cols>
  <sheetData>
    <row r="1" spans="1:8" ht="15.75">
      <c r="A1" s="198"/>
      <c r="B1" s="198"/>
      <c r="C1" s="198"/>
      <c r="D1" s="198"/>
      <c r="E1" s="198"/>
      <c r="F1" s="949">
        <f>Summary!$C$1</f>
        <v>30695</v>
      </c>
      <c r="G1" s="949"/>
      <c r="H1" s="147"/>
    </row>
    <row r="2" spans="1:8" ht="20.25">
      <c r="A2" s="1038" t="str">
        <f>Summary!$A$2</f>
        <v>iz/kkukpk;Z egkRek xka/kh jktdh; fo|ky; ¼vaxzsth ek/;e½ cj ] C;koj</v>
      </c>
      <c r="B2" s="1038"/>
      <c r="C2" s="1038"/>
      <c r="D2" s="1038"/>
      <c r="E2" s="1038"/>
      <c r="F2" s="1038"/>
      <c r="G2" s="1038"/>
      <c r="H2" s="147"/>
    </row>
    <row r="3" spans="1:8" ht="20.25">
      <c r="A3" s="1038" t="s">
        <v>409</v>
      </c>
      <c r="B3" s="1038"/>
      <c r="C3" s="1038"/>
      <c r="D3" s="1038"/>
      <c r="E3" s="1038"/>
      <c r="F3" s="1038"/>
      <c r="G3" s="1038"/>
      <c r="H3" s="147"/>
    </row>
    <row r="4" spans="1:8" ht="16.5" customHeight="1">
      <c r="A4" s="1039" t="s">
        <v>410</v>
      </c>
      <c r="B4" s="1039"/>
      <c r="C4" s="1039"/>
      <c r="D4" s="1039"/>
      <c r="E4" s="1039"/>
      <c r="F4" s="1039"/>
      <c r="G4" s="1039"/>
      <c r="H4" s="147"/>
    </row>
    <row r="5" spans="1:8" ht="37.5">
      <c r="A5" s="213" t="s">
        <v>325</v>
      </c>
      <c r="B5" s="213" t="s">
        <v>45</v>
      </c>
      <c r="C5" s="213" t="s">
        <v>66</v>
      </c>
      <c r="D5" s="213" t="s">
        <v>411</v>
      </c>
      <c r="E5" s="213" t="s">
        <v>412</v>
      </c>
      <c r="F5" s="213" t="s">
        <v>413</v>
      </c>
      <c r="G5" s="213" t="s">
        <v>414</v>
      </c>
      <c r="H5" s="1154">
        <f>'Formet 8'!E76</f>
        <v>0.59</v>
      </c>
    </row>
    <row r="6" spans="1:8" ht="15.75">
      <c r="A6" s="212">
        <v>1</v>
      </c>
      <c r="B6" s="212">
        <v>2</v>
      </c>
      <c r="C6" s="212">
        <v>3</v>
      </c>
      <c r="D6" s="212">
        <v>4</v>
      </c>
      <c r="E6" s="212">
        <v>5</v>
      </c>
      <c r="F6" s="212">
        <v>6</v>
      </c>
      <c r="G6" s="212">
        <v>7</v>
      </c>
      <c r="H6" s="265"/>
    </row>
    <row r="7" spans="1:8" ht="64.5" customHeight="1">
      <c r="A7" s="266">
        <v>1</v>
      </c>
      <c r="B7" s="267" t="s">
        <v>415</v>
      </c>
      <c r="C7" s="267" t="s">
        <v>415</v>
      </c>
      <c r="D7" s="268" t="s">
        <v>373</v>
      </c>
      <c r="E7" s="269">
        <v>0</v>
      </c>
      <c r="F7" s="270">
        <v>0</v>
      </c>
      <c r="G7" s="270">
        <f>ROUND(E7/30*F7,0)+ROUND(E7/30*H7,0)</f>
        <v>0</v>
      </c>
      <c r="H7" s="271">
        <f>ROUND(F7*H5,0)</f>
        <v>0</v>
      </c>
    </row>
    <row r="8" spans="1:8">
      <c r="A8" s="198"/>
      <c r="B8" s="198"/>
      <c r="C8" s="198"/>
      <c r="D8" s="198"/>
      <c r="E8" s="198"/>
      <c r="F8" s="198"/>
      <c r="G8" s="198"/>
      <c r="H8" s="147"/>
    </row>
    <row r="9" spans="1:8">
      <c r="A9" s="562" t="s">
        <v>550</v>
      </c>
      <c r="B9" s="198"/>
      <c r="C9" s="198"/>
      <c r="D9" s="198"/>
      <c r="E9" s="198"/>
      <c r="F9" s="198"/>
      <c r="G9" s="198"/>
      <c r="H9" s="147"/>
    </row>
    <row r="10" spans="1:8">
      <c r="A10" s="562"/>
      <c r="B10" s="198"/>
      <c r="C10" s="198"/>
      <c r="D10" s="198"/>
      <c r="E10" s="198"/>
      <c r="F10" s="198"/>
      <c r="G10" s="198"/>
      <c r="H10" s="147"/>
    </row>
    <row r="11" spans="1:8">
      <c r="A11" s="198"/>
      <c r="B11" s="198"/>
      <c r="C11" s="198"/>
      <c r="D11" s="198"/>
      <c r="E11" s="198"/>
      <c r="F11" s="563"/>
      <c r="G11" s="563"/>
      <c r="H11" s="147"/>
    </row>
    <row r="12" spans="1:8">
      <c r="A12" s="198"/>
      <c r="B12" s="198"/>
      <c r="C12" s="198"/>
      <c r="D12" s="198"/>
      <c r="E12" s="198"/>
      <c r="F12" s="954" t="str">
        <f>CONCATENATE("¼ ",Master!G3,"½")</f>
        <v>¼ m"kk ikfy;k½</v>
      </c>
      <c r="G12" s="954"/>
      <c r="H12" s="147"/>
    </row>
    <row r="13" spans="1:8" ht="18.75">
      <c r="A13" s="198"/>
      <c r="B13" s="198"/>
      <c r="C13" s="198"/>
      <c r="D13" s="198"/>
      <c r="E13" s="198"/>
      <c r="F13" s="911" t="str">
        <f>Master!C2</f>
        <v>iz/kkukpk;Z</v>
      </c>
      <c r="G13" s="911"/>
      <c r="H13" s="209"/>
    </row>
    <row r="14" spans="1:8" ht="15" customHeight="1">
      <c r="A14" s="198"/>
      <c r="B14" s="198"/>
      <c r="C14" s="198"/>
      <c r="D14" s="198"/>
      <c r="E14" s="272"/>
      <c r="F14" s="904" t="str">
        <f>Master!D2</f>
        <v>egkRek xka/kh jktdh; fo|ky; ¼vaxzsth ek/;e½ cj ] C;koj</v>
      </c>
      <c r="G14" s="904"/>
      <c r="H14" s="210"/>
    </row>
    <row r="15" spans="1:8" ht="15" customHeight="1">
      <c r="A15" s="198"/>
      <c r="B15" s="198"/>
      <c r="C15" s="198"/>
      <c r="D15" s="198"/>
      <c r="E15" s="210"/>
      <c r="F15" s="904"/>
      <c r="G15" s="904"/>
      <c r="H15" s="210"/>
    </row>
    <row r="16" spans="1:8" ht="15" customHeight="1">
      <c r="A16" s="198"/>
      <c r="B16" s="198"/>
      <c r="C16" s="198"/>
      <c r="D16" s="198"/>
      <c r="E16" s="210"/>
      <c r="F16" s="904"/>
      <c r="G16" s="904"/>
      <c r="H16" s="210"/>
    </row>
    <row r="17" spans="1:8" ht="15" customHeight="1">
      <c r="A17" s="272"/>
      <c r="B17" s="272"/>
      <c r="C17" s="272"/>
      <c r="D17" s="272"/>
      <c r="E17" s="272"/>
      <c r="F17" s="210"/>
      <c r="G17" s="210"/>
      <c r="H17" s="210"/>
    </row>
    <row r="18" spans="1:8">
      <c r="A18" s="272"/>
      <c r="B18" s="272"/>
      <c r="C18" s="272"/>
      <c r="D18" s="272"/>
      <c r="E18" s="272"/>
      <c r="F18" s="272"/>
      <c r="G18" s="272"/>
      <c r="H18" s="147"/>
    </row>
    <row r="19" spans="1:8">
      <c r="A19" s="272"/>
      <c r="B19" s="272"/>
      <c r="C19" s="272"/>
      <c r="D19" s="272"/>
      <c r="E19" s="272"/>
      <c r="F19" s="272"/>
      <c r="G19" s="272"/>
      <c r="H19" s="147"/>
    </row>
  </sheetData>
  <mergeCells count="7">
    <mergeCell ref="F1:G1"/>
    <mergeCell ref="A2:G2"/>
    <mergeCell ref="A3:G3"/>
    <mergeCell ref="F13:G13"/>
    <mergeCell ref="F14:G16"/>
    <mergeCell ref="A4:G4"/>
    <mergeCell ref="F12:G12"/>
  </mergeCells>
  <conditionalFormatting sqref="A9:A10">
    <cfRule type="containsText" dxfId="25"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codeName="Sheet17">
    <tabColor rgb="FF00B050"/>
  </sheetPr>
  <dimension ref="A1:K72"/>
  <sheetViews>
    <sheetView showGridLines="0" view="pageBreakPreview" topLeftCell="B1" zoomScaleSheetLayoutView="100" workbookViewId="0">
      <selection activeCell="K14" sqref="K14"/>
    </sheetView>
  </sheetViews>
  <sheetFormatPr defaultColWidth="9.125" defaultRowHeight="15"/>
  <cols>
    <col min="1" max="1" width="0" style="253" hidden="1" customWidth="1"/>
    <col min="2" max="2" width="6.375" style="253" customWidth="1"/>
    <col min="3" max="3" width="18" style="253" bestFit="1" customWidth="1"/>
    <col min="4" max="4" width="17.375" style="253" customWidth="1"/>
    <col min="5" max="5" width="11" style="253" customWidth="1"/>
    <col min="6" max="6" width="9" style="253" customWidth="1"/>
    <col min="7" max="7" width="13.125" style="253" customWidth="1"/>
    <col min="8" max="8" width="13.625" style="253" customWidth="1"/>
    <col min="9" max="9" width="0" style="253" hidden="1" customWidth="1"/>
    <col min="10" max="16384" width="9.125" style="253"/>
  </cols>
  <sheetData>
    <row r="1" spans="1:11" ht="20.25">
      <c r="B1" s="1012" t="str">
        <f>Summary!$A$2</f>
        <v>iz/kkukpk;Z egkRek xka/kh jktdh; fo|ky; ¼vaxzsth ek/;e½ cj ] C;koj</v>
      </c>
      <c r="C1" s="1012"/>
      <c r="D1" s="1012"/>
      <c r="E1" s="1012"/>
      <c r="F1" s="1012"/>
      <c r="G1" s="1012"/>
      <c r="H1" s="1012"/>
    </row>
    <row r="2" spans="1:11" ht="20.25">
      <c r="B2" s="528"/>
      <c r="C2" s="528"/>
      <c r="D2" s="1045" t="s">
        <v>323</v>
      </c>
      <c r="E2" s="1045"/>
      <c r="F2" s="1045"/>
      <c r="G2" s="949">
        <f>Summary!$C$1</f>
        <v>30695</v>
      </c>
      <c r="H2" s="949"/>
    </row>
    <row r="3" spans="1:11" ht="20.25">
      <c r="B3" s="1040" t="s">
        <v>396</v>
      </c>
      <c r="C3" s="1040"/>
      <c r="D3" s="1040"/>
      <c r="E3" s="1040"/>
      <c r="F3" s="1040"/>
      <c r="G3" s="1040"/>
      <c r="H3" s="1040"/>
    </row>
    <row r="4" spans="1:11">
      <c r="B4" s="1041" t="str">
        <f>'Formet 9'!A7</f>
        <v>BUDGET HEAD : 2202-GENERAL EDUCATION, 02-SECONDARY EDUCATION, 109-GOVT. SEC. SCHOOL, (02)-GIRLS SCHOOL (STATE FUND)</v>
      </c>
      <c r="C4" s="1041"/>
      <c r="D4" s="1041"/>
      <c r="E4" s="1041"/>
      <c r="F4" s="1041"/>
      <c r="G4" s="1041"/>
      <c r="H4" s="1041"/>
    </row>
    <row r="5" spans="1:11" s="254" customFormat="1" ht="47.25" customHeight="1">
      <c r="B5" s="757" t="s">
        <v>6</v>
      </c>
      <c r="C5" s="757" t="s">
        <v>397</v>
      </c>
      <c r="D5" s="757" t="s">
        <v>398</v>
      </c>
      <c r="E5" s="757" t="s">
        <v>399</v>
      </c>
      <c r="F5" s="756" t="s">
        <v>400</v>
      </c>
      <c r="G5" s="706" t="s">
        <v>791</v>
      </c>
      <c r="H5" s="706" t="s">
        <v>792</v>
      </c>
    </row>
    <row r="6" spans="1:11">
      <c r="B6" s="255" t="s">
        <v>401</v>
      </c>
      <c r="C6" s="256" t="s">
        <v>402</v>
      </c>
      <c r="D6" s="256" t="s">
        <v>403</v>
      </c>
      <c r="E6" s="256" t="s">
        <v>404</v>
      </c>
      <c r="F6" s="256" t="s">
        <v>405</v>
      </c>
      <c r="G6" s="211" t="s">
        <v>406</v>
      </c>
      <c r="H6" s="211" t="s">
        <v>407</v>
      </c>
      <c r="I6" s="256" t="s">
        <v>562</v>
      </c>
    </row>
    <row r="7" spans="1:11" ht="16.5">
      <c r="A7" s="253">
        <f>IF(I7&gt;=1,1,0)</f>
        <v>1</v>
      </c>
      <c r="B7" s="505">
        <f t="shared" ref="B7:B38" si="0">IF(I7&gt;0,A7,"")</f>
        <v>1</v>
      </c>
      <c r="C7" s="507" t="str">
        <f>'Formet 8'!B12</f>
        <v>Jherh m"kk ikfy;k</v>
      </c>
      <c r="D7" s="257" t="str">
        <f>'Formet 8'!E12</f>
        <v>PRINCIPAL</v>
      </c>
      <c r="E7" s="258">
        <f>'Formet 8'!H12</f>
        <v>872400</v>
      </c>
      <c r="F7" s="259">
        <f>IF(AND(E7=""),"",'Formet 8'!$C$77)</f>
        <v>0.04</v>
      </c>
      <c r="G7" s="508">
        <f t="shared" ref="G7:G38" si="1">IF(AND(E7=""),"",ROUND((E7*F7)*2,0))</f>
        <v>69792</v>
      </c>
      <c r="H7" s="509">
        <v>0</v>
      </c>
      <c r="I7" s="525">
        <f t="shared" ref="I7:I38" si="2">IF(E7="",0,1)</f>
        <v>1</v>
      </c>
      <c r="K7" s="253" t="str">
        <f>IF(I7&gt;1,SUBTOTAL(3,$I$7:I7),"")</f>
        <v/>
      </c>
    </row>
    <row r="8" spans="1:11" ht="16.5">
      <c r="A8" s="253">
        <f>IF(I8&gt;=1,1,0)+A7</f>
        <v>2</v>
      </c>
      <c r="B8" s="505">
        <f t="shared" si="0"/>
        <v>2</v>
      </c>
      <c r="C8" s="507" t="str">
        <f>'Formet 8'!B13</f>
        <v>Jh nsokuUn</v>
      </c>
      <c r="D8" s="257" t="str">
        <f>'Formet 8'!E13</f>
        <v>VICE-PRINCIPAL</v>
      </c>
      <c r="E8" s="258">
        <f>'Formet 8'!H13</f>
        <v>1139600</v>
      </c>
      <c r="F8" s="259">
        <f>IF(AND(E8=""),"",'Formet 8'!$C$77)</f>
        <v>0.04</v>
      </c>
      <c r="G8" s="508">
        <f t="shared" si="1"/>
        <v>91168</v>
      </c>
      <c r="H8" s="509">
        <v>0</v>
      </c>
      <c r="I8" s="525">
        <f t="shared" si="2"/>
        <v>1</v>
      </c>
    </row>
    <row r="9" spans="1:11" ht="16.5">
      <c r="A9" s="253">
        <f t="shared" ref="A9:A66" si="3">IF(I9&gt;=1,1,0)+A8</f>
        <v>3</v>
      </c>
      <c r="B9" s="505">
        <f t="shared" si="0"/>
        <v>3</v>
      </c>
      <c r="C9" s="507" t="str">
        <f>'Formet 8'!B14</f>
        <v>Jherh lhek</v>
      </c>
      <c r="D9" s="257" t="str">
        <f>'Formet 8'!E14</f>
        <v>LECTURER</v>
      </c>
      <c r="E9" s="258">
        <f>'Formet 8'!H14</f>
        <v>564400</v>
      </c>
      <c r="F9" s="259">
        <f>IF(AND(E9=""),"",'Formet 8'!$C$77)</f>
        <v>0.04</v>
      </c>
      <c r="G9" s="508">
        <f t="shared" si="1"/>
        <v>45152</v>
      </c>
      <c r="H9" s="509">
        <v>0</v>
      </c>
      <c r="I9" s="525">
        <f t="shared" si="2"/>
        <v>1</v>
      </c>
    </row>
    <row r="10" spans="1:11" ht="16.5">
      <c r="A10" s="253">
        <f t="shared" si="3"/>
        <v>3</v>
      </c>
      <c r="B10" s="505" t="str">
        <f t="shared" si="0"/>
        <v/>
      </c>
      <c r="C10" s="507" t="str">
        <f>'Formet 8'!B15</f>
        <v/>
      </c>
      <c r="D10" s="257" t="str">
        <f>'Formet 8'!E15</f>
        <v/>
      </c>
      <c r="E10" s="258" t="str">
        <f>'Formet 8'!H15</f>
        <v/>
      </c>
      <c r="F10" s="259" t="str">
        <f>IF(AND(E10=""),"",'Formet 8'!$C$77)</f>
        <v/>
      </c>
      <c r="G10" s="508" t="str">
        <f t="shared" si="1"/>
        <v/>
      </c>
      <c r="H10" s="509">
        <v>0</v>
      </c>
      <c r="I10" s="525">
        <f t="shared" si="2"/>
        <v>0</v>
      </c>
    </row>
    <row r="11" spans="1:11" ht="16.5">
      <c r="A11" s="253">
        <f t="shared" si="3"/>
        <v>3</v>
      </c>
      <c r="B11" s="505" t="str">
        <f t="shared" si="0"/>
        <v/>
      </c>
      <c r="C11" s="507" t="str">
        <f>'Formet 8'!B16</f>
        <v/>
      </c>
      <c r="D11" s="257" t="str">
        <f>'Formet 8'!E16</f>
        <v/>
      </c>
      <c r="E11" s="258" t="str">
        <f>'Formet 8'!H16</f>
        <v/>
      </c>
      <c r="F11" s="259" t="str">
        <f>IF(AND(E11=""),"",'Formet 8'!$C$77)</f>
        <v/>
      </c>
      <c r="G11" s="508" t="str">
        <f t="shared" si="1"/>
        <v/>
      </c>
      <c r="H11" s="509">
        <v>0</v>
      </c>
      <c r="I11" s="525">
        <f t="shared" si="2"/>
        <v>0</v>
      </c>
    </row>
    <row r="12" spans="1:11" ht="16.5">
      <c r="A12" s="253">
        <f t="shared" si="3"/>
        <v>3</v>
      </c>
      <c r="B12" s="505" t="str">
        <f t="shared" si="0"/>
        <v/>
      </c>
      <c r="C12" s="507" t="str">
        <f>'Formet 8'!B17</f>
        <v/>
      </c>
      <c r="D12" s="257" t="str">
        <f>'Formet 8'!E17</f>
        <v/>
      </c>
      <c r="E12" s="258" t="str">
        <f>'Formet 8'!H17</f>
        <v/>
      </c>
      <c r="F12" s="259" t="str">
        <f>IF(AND(E12=""),"",'Formet 8'!$C$77)</f>
        <v/>
      </c>
      <c r="G12" s="508" t="str">
        <f t="shared" si="1"/>
        <v/>
      </c>
      <c r="H12" s="509">
        <v>0</v>
      </c>
      <c r="I12" s="525">
        <f t="shared" si="2"/>
        <v>0</v>
      </c>
    </row>
    <row r="13" spans="1:11" ht="16.5">
      <c r="A13" s="253">
        <f t="shared" si="3"/>
        <v>3</v>
      </c>
      <c r="B13" s="505" t="str">
        <f t="shared" si="0"/>
        <v/>
      </c>
      <c r="C13" s="507" t="str">
        <f>'Formet 8'!B18</f>
        <v/>
      </c>
      <c r="D13" s="257" t="str">
        <f>'Formet 8'!E18</f>
        <v/>
      </c>
      <c r="E13" s="258" t="str">
        <f>'Formet 8'!H18</f>
        <v/>
      </c>
      <c r="F13" s="259" t="str">
        <f>IF(AND(E13=""),"",'Formet 8'!$C$77)</f>
        <v/>
      </c>
      <c r="G13" s="508" t="str">
        <f t="shared" si="1"/>
        <v/>
      </c>
      <c r="H13" s="509">
        <v>0</v>
      </c>
      <c r="I13" s="525">
        <f t="shared" si="2"/>
        <v>0</v>
      </c>
    </row>
    <row r="14" spans="1:11" ht="16.5">
      <c r="A14" s="253">
        <f t="shared" si="3"/>
        <v>3</v>
      </c>
      <c r="B14" s="505" t="str">
        <f t="shared" si="0"/>
        <v/>
      </c>
      <c r="C14" s="507" t="str">
        <f>'Formet 8'!B19</f>
        <v/>
      </c>
      <c r="D14" s="257" t="str">
        <f>'Formet 8'!E19</f>
        <v/>
      </c>
      <c r="E14" s="258" t="str">
        <f>'Formet 8'!H19</f>
        <v/>
      </c>
      <c r="F14" s="259" t="str">
        <f>IF(AND(E14=""),"",'Formet 8'!$C$77)</f>
        <v/>
      </c>
      <c r="G14" s="508" t="str">
        <f t="shared" si="1"/>
        <v/>
      </c>
      <c r="H14" s="509">
        <v>0</v>
      </c>
      <c r="I14" s="525">
        <f t="shared" si="2"/>
        <v>0</v>
      </c>
    </row>
    <row r="15" spans="1:11" ht="16.5">
      <c r="A15" s="253">
        <f t="shared" si="3"/>
        <v>3</v>
      </c>
      <c r="B15" s="505" t="str">
        <f t="shared" si="0"/>
        <v/>
      </c>
      <c r="C15" s="507" t="str">
        <f>'Formet 8'!B20</f>
        <v/>
      </c>
      <c r="D15" s="257" t="str">
        <f>'Formet 8'!E20</f>
        <v/>
      </c>
      <c r="E15" s="258" t="str">
        <f>'Formet 8'!H20</f>
        <v/>
      </c>
      <c r="F15" s="259" t="str">
        <f>IF(AND(E15=""),"",'Formet 8'!$C$77)</f>
        <v/>
      </c>
      <c r="G15" s="508" t="str">
        <f t="shared" si="1"/>
        <v/>
      </c>
      <c r="H15" s="509">
        <v>0</v>
      </c>
      <c r="I15" s="525">
        <f t="shared" si="2"/>
        <v>0</v>
      </c>
    </row>
    <row r="16" spans="1:11" ht="16.5">
      <c r="A16" s="253">
        <f t="shared" si="3"/>
        <v>3</v>
      </c>
      <c r="B16" s="505" t="str">
        <f t="shared" si="0"/>
        <v/>
      </c>
      <c r="C16" s="507" t="str">
        <f>'Formet 8'!B21</f>
        <v/>
      </c>
      <c r="D16" s="257" t="str">
        <f>'Formet 8'!E21</f>
        <v/>
      </c>
      <c r="E16" s="258" t="str">
        <f>'Formet 8'!H21</f>
        <v/>
      </c>
      <c r="F16" s="259" t="str">
        <f>IF(AND(E16=""),"",'Formet 8'!$C$77)</f>
        <v/>
      </c>
      <c r="G16" s="508" t="str">
        <f t="shared" si="1"/>
        <v/>
      </c>
      <c r="H16" s="509">
        <v>0</v>
      </c>
      <c r="I16" s="525">
        <f t="shared" si="2"/>
        <v>0</v>
      </c>
    </row>
    <row r="17" spans="1:9" ht="16.5">
      <c r="A17" s="253">
        <f t="shared" si="3"/>
        <v>3</v>
      </c>
      <c r="B17" s="505" t="str">
        <f t="shared" si="0"/>
        <v/>
      </c>
      <c r="C17" s="507" t="str">
        <f>'Formet 8'!B22</f>
        <v/>
      </c>
      <c r="D17" s="257" t="str">
        <f>'Formet 8'!E22</f>
        <v/>
      </c>
      <c r="E17" s="258" t="str">
        <f>'Formet 8'!H22</f>
        <v/>
      </c>
      <c r="F17" s="259" t="str">
        <f>IF(AND(E17=""),"",'Formet 8'!$C$77)</f>
        <v/>
      </c>
      <c r="G17" s="508" t="str">
        <f t="shared" si="1"/>
        <v/>
      </c>
      <c r="H17" s="509">
        <v>0</v>
      </c>
      <c r="I17" s="525">
        <f t="shared" si="2"/>
        <v>0</v>
      </c>
    </row>
    <row r="18" spans="1:9" ht="16.5">
      <c r="A18" s="253">
        <f t="shared" si="3"/>
        <v>3</v>
      </c>
      <c r="B18" s="505" t="str">
        <f t="shared" si="0"/>
        <v/>
      </c>
      <c r="C18" s="507" t="str">
        <f>'Formet 8'!B23</f>
        <v/>
      </c>
      <c r="D18" s="257" t="str">
        <f>'Formet 8'!E23</f>
        <v/>
      </c>
      <c r="E18" s="258" t="str">
        <f>'Formet 8'!H23</f>
        <v/>
      </c>
      <c r="F18" s="259" t="str">
        <f>IF(AND(E18=""),"",'Formet 8'!$C$77)</f>
        <v/>
      </c>
      <c r="G18" s="508" t="str">
        <f t="shared" si="1"/>
        <v/>
      </c>
      <c r="H18" s="509">
        <v>0</v>
      </c>
      <c r="I18" s="525">
        <f t="shared" si="2"/>
        <v>0</v>
      </c>
    </row>
    <row r="19" spans="1:9" ht="16.5">
      <c r="A19" s="253">
        <f t="shared" si="3"/>
        <v>3</v>
      </c>
      <c r="B19" s="505" t="str">
        <f t="shared" si="0"/>
        <v/>
      </c>
      <c r="C19" s="507" t="str">
        <f>'Formet 8'!B24</f>
        <v/>
      </c>
      <c r="D19" s="257" t="str">
        <f>'Formet 8'!E24</f>
        <v/>
      </c>
      <c r="E19" s="258" t="str">
        <f>'Formet 8'!H24</f>
        <v/>
      </c>
      <c r="F19" s="259" t="str">
        <f>IF(AND(E19=""),"",'Formet 8'!$C$77)</f>
        <v/>
      </c>
      <c r="G19" s="508" t="str">
        <f t="shared" si="1"/>
        <v/>
      </c>
      <c r="H19" s="509">
        <v>0</v>
      </c>
      <c r="I19" s="525">
        <f t="shared" si="2"/>
        <v>0</v>
      </c>
    </row>
    <row r="20" spans="1:9" ht="16.5">
      <c r="A20" s="253">
        <f t="shared" si="3"/>
        <v>3</v>
      </c>
      <c r="B20" s="505" t="str">
        <f t="shared" si="0"/>
        <v/>
      </c>
      <c r="C20" s="507" t="str">
        <f>'Formet 8'!B25</f>
        <v/>
      </c>
      <c r="D20" s="257" t="str">
        <f>'Formet 8'!E25</f>
        <v/>
      </c>
      <c r="E20" s="258" t="str">
        <f>'Formet 8'!H25</f>
        <v/>
      </c>
      <c r="F20" s="259" t="str">
        <f>IF(AND(E20=""),"",'Formet 8'!$C$77)</f>
        <v/>
      </c>
      <c r="G20" s="508" t="str">
        <f t="shared" si="1"/>
        <v/>
      </c>
      <c r="H20" s="509">
        <v>0</v>
      </c>
      <c r="I20" s="525">
        <f t="shared" si="2"/>
        <v>0</v>
      </c>
    </row>
    <row r="21" spans="1:9" ht="16.5">
      <c r="A21" s="253">
        <f t="shared" si="3"/>
        <v>3</v>
      </c>
      <c r="B21" s="505" t="str">
        <f t="shared" si="0"/>
        <v/>
      </c>
      <c r="C21" s="507"/>
      <c r="D21" s="257"/>
      <c r="E21" s="258"/>
      <c r="F21" s="259" t="str">
        <f>IF(AND(E21=""),"",'Formet 8'!$C$77)</f>
        <v/>
      </c>
      <c r="G21" s="508" t="str">
        <f t="shared" si="1"/>
        <v/>
      </c>
      <c r="H21" s="509">
        <v>0</v>
      </c>
      <c r="I21" s="525">
        <f t="shared" si="2"/>
        <v>0</v>
      </c>
    </row>
    <row r="22" spans="1:9" ht="16.5">
      <c r="A22" s="253">
        <f t="shared" si="3"/>
        <v>4</v>
      </c>
      <c r="B22" s="505">
        <f t="shared" si="0"/>
        <v>4</v>
      </c>
      <c r="C22" s="507" t="str">
        <f>'Formet 8'!B28</f>
        <v>Jh lqjs'k pUn flaxkfM+;k</v>
      </c>
      <c r="D22" s="257" t="str">
        <f>'Formet 8'!E28</f>
        <v>TEACHER-II</v>
      </c>
      <c r="E22" s="258">
        <f>'Formet 8'!H28</f>
        <v>659600</v>
      </c>
      <c r="F22" s="259">
        <f>IF(AND(E22=""),"",'Formet 8'!$C$77)</f>
        <v>0.04</v>
      </c>
      <c r="G22" s="508">
        <f>IF(AND(E22=""),"",ROUND((E22*F22)*2,0))</f>
        <v>52768</v>
      </c>
      <c r="H22" s="509">
        <v>0</v>
      </c>
      <c r="I22" s="525">
        <f t="shared" si="2"/>
        <v>1</v>
      </c>
    </row>
    <row r="23" spans="1:9" ht="16.5">
      <c r="A23" s="253">
        <f t="shared" si="3"/>
        <v>5</v>
      </c>
      <c r="B23" s="505">
        <f t="shared" si="0"/>
        <v>5</v>
      </c>
      <c r="C23" s="507" t="str">
        <f>'Formet 8'!B29</f>
        <v>Jh jkds'k dqekj 'kekZ</v>
      </c>
      <c r="D23" s="257" t="str">
        <f>'Formet 8'!E29</f>
        <v>TEACHER-II</v>
      </c>
      <c r="E23" s="258">
        <f>'Formet 8'!H29</f>
        <v>558400</v>
      </c>
      <c r="F23" s="259">
        <f>IF(AND(E23=""),"",'Formet 8'!$C$77)</f>
        <v>0.04</v>
      </c>
      <c r="G23" s="508">
        <f t="shared" si="1"/>
        <v>44672</v>
      </c>
      <c r="H23" s="509">
        <v>0</v>
      </c>
      <c r="I23" s="525">
        <f t="shared" si="2"/>
        <v>1</v>
      </c>
    </row>
    <row r="24" spans="1:9" ht="16.5">
      <c r="A24" s="253">
        <f t="shared" si="3"/>
        <v>6</v>
      </c>
      <c r="B24" s="505">
        <f t="shared" si="0"/>
        <v>6</v>
      </c>
      <c r="C24" s="507" t="str">
        <f>'Formet 8'!B30</f>
        <v>Jh ghjkyky tkV</v>
      </c>
      <c r="D24" s="257" t="str">
        <f>'Formet 8'!E30</f>
        <v>TEACHER-II</v>
      </c>
      <c r="E24" s="258">
        <f>'Formet 8'!H30</f>
        <v>750000</v>
      </c>
      <c r="F24" s="259">
        <f>IF(AND(E24=""),"",'Formet 8'!$C$77)</f>
        <v>0.04</v>
      </c>
      <c r="G24" s="508">
        <f t="shared" si="1"/>
        <v>60000</v>
      </c>
      <c r="H24" s="509">
        <v>0</v>
      </c>
      <c r="I24" s="525">
        <f t="shared" si="2"/>
        <v>1</v>
      </c>
    </row>
    <row r="25" spans="1:9" ht="16.5">
      <c r="A25" s="253">
        <f t="shared" si="3"/>
        <v>7</v>
      </c>
      <c r="B25" s="505">
        <f t="shared" si="0"/>
        <v>7</v>
      </c>
      <c r="C25" s="507" t="str">
        <f>'Formet 8'!B31</f>
        <v>Jh 'kjn 'kekZ</v>
      </c>
      <c r="D25" s="257" t="str">
        <f>'Formet 8'!E31</f>
        <v>TEACHER-II</v>
      </c>
      <c r="E25" s="258">
        <f>'Formet 8'!H31</f>
        <v>505200</v>
      </c>
      <c r="F25" s="259">
        <f>IF(AND(E25=""),"",'Formet 8'!$C$77)</f>
        <v>0.04</v>
      </c>
      <c r="G25" s="508">
        <f t="shared" si="1"/>
        <v>40416</v>
      </c>
      <c r="H25" s="509">
        <v>0</v>
      </c>
      <c r="I25" s="525">
        <f t="shared" si="2"/>
        <v>1</v>
      </c>
    </row>
    <row r="26" spans="1:9" ht="16.5">
      <c r="A26" s="253">
        <f t="shared" si="3"/>
        <v>8</v>
      </c>
      <c r="B26" s="505">
        <f t="shared" si="0"/>
        <v>8</v>
      </c>
      <c r="C26" s="507" t="str">
        <f>'Formet 8'!B32</f>
        <v>Jh jk/ks';ke</v>
      </c>
      <c r="D26" s="257" t="str">
        <f>'Formet 8'!E32</f>
        <v>TEACHER-II</v>
      </c>
      <c r="E26" s="258">
        <f>'Formet 8'!H32</f>
        <v>848400</v>
      </c>
      <c r="F26" s="259">
        <f>IF(AND(E26=""),"",'Formet 8'!$C$77)</f>
        <v>0.04</v>
      </c>
      <c r="G26" s="508">
        <f t="shared" si="1"/>
        <v>67872</v>
      </c>
      <c r="H26" s="509">
        <v>0</v>
      </c>
      <c r="I26" s="525">
        <f t="shared" si="2"/>
        <v>1</v>
      </c>
    </row>
    <row r="27" spans="1:9" ht="16.5">
      <c r="A27" s="253">
        <f t="shared" si="3"/>
        <v>9</v>
      </c>
      <c r="B27" s="505">
        <f t="shared" si="0"/>
        <v>9</v>
      </c>
      <c r="C27" s="507" t="str">
        <f>'Formet 8'!B33</f>
        <v>Jh izdk'k pUn</v>
      </c>
      <c r="D27" s="257" t="str">
        <f>'Formet 8'!E33</f>
        <v>TEACHER-III</v>
      </c>
      <c r="E27" s="258">
        <f>'Formet 8'!H33</f>
        <v>502800</v>
      </c>
      <c r="F27" s="259">
        <f>IF(AND(E27=""),"",'Formet 8'!$C$77)</f>
        <v>0.04</v>
      </c>
      <c r="G27" s="508">
        <f t="shared" si="1"/>
        <v>40224</v>
      </c>
      <c r="H27" s="509">
        <v>0</v>
      </c>
      <c r="I27" s="525">
        <f t="shared" si="2"/>
        <v>1</v>
      </c>
    </row>
    <row r="28" spans="1:9" ht="16.5">
      <c r="A28" s="253">
        <f t="shared" si="3"/>
        <v>10</v>
      </c>
      <c r="B28" s="505">
        <f t="shared" si="0"/>
        <v>10</v>
      </c>
      <c r="C28" s="507" t="str">
        <f>'Formet 8'!B34</f>
        <v>Jherh eerk yokfu;k</v>
      </c>
      <c r="D28" s="257" t="str">
        <f>'Formet 8'!E34</f>
        <v>TEACHER-III</v>
      </c>
      <c r="E28" s="258">
        <f>'Formet 8'!H34</f>
        <v>502800</v>
      </c>
      <c r="F28" s="259">
        <f>IF(AND(E28=""),"",'Formet 8'!$C$77)</f>
        <v>0.04</v>
      </c>
      <c r="G28" s="508">
        <f t="shared" si="1"/>
        <v>40224</v>
      </c>
      <c r="H28" s="509">
        <v>0</v>
      </c>
      <c r="I28" s="525">
        <f t="shared" si="2"/>
        <v>1</v>
      </c>
    </row>
    <row r="29" spans="1:9" ht="16.5">
      <c r="A29" s="253">
        <f t="shared" si="3"/>
        <v>11</v>
      </c>
      <c r="B29" s="505">
        <f t="shared" si="0"/>
        <v>11</v>
      </c>
      <c r="C29" s="507" t="str">
        <f>'Formet 8'!B35</f>
        <v>Jh lEirjkt</v>
      </c>
      <c r="D29" s="257" t="str">
        <f>'Formet 8'!E35</f>
        <v>TEACHER-III</v>
      </c>
      <c r="E29" s="258">
        <f>'Formet 8'!H35</f>
        <v>502800</v>
      </c>
      <c r="F29" s="259">
        <f>IF(AND(E29=""),"",'Formet 8'!$C$77)</f>
        <v>0.04</v>
      </c>
      <c r="G29" s="508">
        <f t="shared" si="1"/>
        <v>40224</v>
      </c>
      <c r="H29" s="509">
        <v>0</v>
      </c>
      <c r="I29" s="525">
        <f t="shared" si="2"/>
        <v>1</v>
      </c>
    </row>
    <row r="30" spans="1:9" ht="16.5">
      <c r="A30" s="253">
        <f t="shared" si="3"/>
        <v>12</v>
      </c>
      <c r="B30" s="505">
        <f t="shared" si="0"/>
        <v>12</v>
      </c>
      <c r="C30" s="507" t="str">
        <f>'Formet 8'!B36</f>
        <v>Jh eukst ikpksjh</v>
      </c>
      <c r="D30" s="257" t="str">
        <f>'Formet 8'!E36</f>
        <v>TEACHER-III</v>
      </c>
      <c r="E30" s="258">
        <f>'Formet 8'!H36</f>
        <v>502800</v>
      </c>
      <c r="F30" s="259">
        <f>IF(AND(E30=""),"",'Formet 8'!$C$77)</f>
        <v>0.04</v>
      </c>
      <c r="G30" s="508">
        <f t="shared" si="1"/>
        <v>40224</v>
      </c>
      <c r="H30" s="509">
        <v>0</v>
      </c>
      <c r="I30" s="525">
        <f t="shared" si="2"/>
        <v>1</v>
      </c>
    </row>
    <row r="31" spans="1:9" ht="16.5">
      <c r="A31" s="253">
        <f t="shared" si="3"/>
        <v>13</v>
      </c>
      <c r="B31" s="505">
        <f t="shared" si="0"/>
        <v>13</v>
      </c>
      <c r="C31" s="507" t="str">
        <f>'Formet 8'!B37</f>
        <v>Jh iznhiflag</v>
      </c>
      <c r="D31" s="257" t="str">
        <f>'Formet 8'!E37</f>
        <v>TEACHER-III</v>
      </c>
      <c r="E31" s="258">
        <f>'Formet 8'!H37</f>
        <v>502800</v>
      </c>
      <c r="F31" s="259">
        <f>IF(AND(E31=""),"",'Formet 8'!$C$77)</f>
        <v>0.04</v>
      </c>
      <c r="G31" s="508">
        <f t="shared" si="1"/>
        <v>40224</v>
      </c>
      <c r="H31" s="509">
        <v>0</v>
      </c>
      <c r="I31" s="525">
        <f t="shared" si="2"/>
        <v>1</v>
      </c>
    </row>
    <row r="32" spans="1:9" ht="16.5">
      <c r="A32" s="253">
        <f t="shared" si="3"/>
        <v>14</v>
      </c>
      <c r="B32" s="505">
        <f t="shared" si="0"/>
        <v>14</v>
      </c>
      <c r="C32" s="507" t="str">
        <f>'Formet 8'!B38</f>
        <v>Jh vfHkeU;q flag</v>
      </c>
      <c r="D32" s="257" t="str">
        <f>'Formet 8'!E38</f>
        <v>TEACHER-III</v>
      </c>
      <c r="E32" s="258">
        <f>'Formet 8'!H38</f>
        <v>502800</v>
      </c>
      <c r="F32" s="259">
        <f>IF(AND(E32=""),"",'Formet 8'!$C$77)</f>
        <v>0.04</v>
      </c>
      <c r="G32" s="508">
        <f t="shared" si="1"/>
        <v>40224</v>
      </c>
      <c r="H32" s="509">
        <v>0</v>
      </c>
      <c r="I32" s="525">
        <f t="shared" si="2"/>
        <v>1</v>
      </c>
    </row>
    <row r="33" spans="1:9" ht="16.5">
      <c r="A33" s="253">
        <f t="shared" si="3"/>
        <v>15</v>
      </c>
      <c r="B33" s="505">
        <f t="shared" si="0"/>
        <v>15</v>
      </c>
      <c r="C33" s="507" t="str">
        <f>'Formet 8'!B39</f>
        <v>Jh iq"isUn toM+k</v>
      </c>
      <c r="D33" s="257" t="str">
        <f>'Formet 8'!E39</f>
        <v>TEACHER-III</v>
      </c>
      <c r="E33" s="258">
        <f>'Formet 8'!H39</f>
        <v>502800</v>
      </c>
      <c r="F33" s="259">
        <f>IF(AND(E33=""),"",'Formet 8'!$C$77)</f>
        <v>0.04</v>
      </c>
      <c r="G33" s="508">
        <f t="shared" si="1"/>
        <v>40224</v>
      </c>
      <c r="H33" s="509">
        <v>0</v>
      </c>
      <c r="I33" s="525">
        <f t="shared" si="2"/>
        <v>1</v>
      </c>
    </row>
    <row r="34" spans="1:9" ht="16.5">
      <c r="A34" s="253">
        <f t="shared" si="3"/>
        <v>16</v>
      </c>
      <c r="B34" s="505">
        <f t="shared" si="0"/>
        <v>16</v>
      </c>
      <c r="C34" s="507" t="str">
        <f>'Formet 8'!B40</f>
        <v>Jherh 'kkjnk pkS/kjh</v>
      </c>
      <c r="D34" s="257" t="str">
        <f>'Formet 8'!E40</f>
        <v>PTI  III</v>
      </c>
      <c r="E34" s="258">
        <f>'Formet 8'!H40</f>
        <v>423200</v>
      </c>
      <c r="F34" s="259">
        <f>IF(AND(E34=""),"",'Formet 8'!$C$77)</f>
        <v>0.04</v>
      </c>
      <c r="G34" s="508">
        <f t="shared" si="1"/>
        <v>33856</v>
      </c>
      <c r="H34" s="509">
        <v>0</v>
      </c>
      <c r="I34" s="525">
        <f t="shared" si="2"/>
        <v>1</v>
      </c>
    </row>
    <row r="35" spans="1:9" ht="16.5">
      <c r="A35" s="253">
        <f t="shared" si="3"/>
        <v>17</v>
      </c>
      <c r="B35" s="505">
        <f t="shared" si="0"/>
        <v>17</v>
      </c>
      <c r="C35" s="507" t="str">
        <f>'Formet 8'!B41</f>
        <v>Jh eqds'k dqekj</v>
      </c>
      <c r="D35" s="257" t="str">
        <f>'Formet 8'!E41</f>
        <v>LAB ASST</v>
      </c>
      <c r="E35" s="258">
        <f>'Formet 8'!H41</f>
        <v>423200</v>
      </c>
      <c r="F35" s="259">
        <f>IF(AND(E35=""),"",'Formet 8'!$C$77)</f>
        <v>0.04</v>
      </c>
      <c r="G35" s="508">
        <f t="shared" si="1"/>
        <v>33856</v>
      </c>
      <c r="H35" s="509">
        <v>0</v>
      </c>
      <c r="I35" s="525">
        <f t="shared" si="2"/>
        <v>1</v>
      </c>
    </row>
    <row r="36" spans="1:9" ht="16.5">
      <c r="A36" s="253">
        <f t="shared" si="3"/>
        <v>18</v>
      </c>
      <c r="B36" s="505">
        <f t="shared" si="0"/>
        <v>18</v>
      </c>
      <c r="C36" s="507" t="str">
        <f>'Formet 8'!B42</f>
        <v xml:space="preserve">Jh cgknqj jke </v>
      </c>
      <c r="D36" s="257" t="str">
        <f>'Formet 8'!E42</f>
        <v>CLERK GRADE II</v>
      </c>
      <c r="E36" s="258">
        <f>'Formet 8'!H42</f>
        <v>423200</v>
      </c>
      <c r="F36" s="259">
        <f>IF(AND(E36=""),"",'Formet 8'!$C$77)</f>
        <v>0.04</v>
      </c>
      <c r="G36" s="508">
        <f t="shared" si="1"/>
        <v>33856</v>
      </c>
      <c r="H36" s="509">
        <v>0</v>
      </c>
      <c r="I36" s="525">
        <f t="shared" si="2"/>
        <v>1</v>
      </c>
    </row>
    <row r="37" spans="1:9" ht="16.5">
      <c r="A37" s="253">
        <f t="shared" si="3"/>
        <v>19</v>
      </c>
      <c r="B37" s="505">
        <f t="shared" si="0"/>
        <v>19</v>
      </c>
      <c r="C37" s="507" t="str">
        <f>'Formet 8'!B43</f>
        <v xml:space="preserve">Jh gseUr vkgqtk </v>
      </c>
      <c r="D37" s="257" t="str">
        <f>'Formet 8'!E43</f>
        <v>CLERK GRADE III</v>
      </c>
      <c r="E37" s="258">
        <f>'Formet 8'!H43</f>
        <v>423200</v>
      </c>
      <c r="F37" s="259">
        <f>IF(AND(E37=""),"",'Formet 8'!$C$77)</f>
        <v>0.04</v>
      </c>
      <c r="G37" s="508">
        <f t="shared" si="1"/>
        <v>33856</v>
      </c>
      <c r="H37" s="509">
        <v>0</v>
      </c>
      <c r="I37" s="525">
        <f t="shared" si="2"/>
        <v>1</v>
      </c>
    </row>
    <row r="38" spans="1:9" ht="16.5">
      <c r="A38" s="253">
        <f t="shared" si="3"/>
        <v>19</v>
      </c>
      <c r="B38" s="505" t="str">
        <f t="shared" si="0"/>
        <v/>
      </c>
      <c r="C38" s="507" t="str">
        <f>'Formet 8'!B44</f>
        <v/>
      </c>
      <c r="D38" s="257" t="str">
        <f>'Formet 8'!E44</f>
        <v/>
      </c>
      <c r="E38" s="258" t="str">
        <f>'Formet 8'!H44</f>
        <v/>
      </c>
      <c r="F38" s="259" t="str">
        <f>IF(AND(E38=""),"",'Formet 8'!$C$77)</f>
        <v/>
      </c>
      <c r="G38" s="508" t="str">
        <f t="shared" si="1"/>
        <v/>
      </c>
      <c r="H38" s="509">
        <v>0</v>
      </c>
      <c r="I38" s="525">
        <f t="shared" si="2"/>
        <v>0</v>
      </c>
    </row>
    <row r="39" spans="1:9" ht="16.5">
      <c r="A39" s="253">
        <f t="shared" si="3"/>
        <v>19</v>
      </c>
      <c r="B39" s="505" t="str">
        <f t="shared" ref="B39:B65" si="4">IF(I39&gt;0,A39,"")</f>
        <v/>
      </c>
      <c r="C39" s="507" t="str">
        <f>'Formet 8'!B45</f>
        <v/>
      </c>
      <c r="D39" s="257" t="str">
        <f>'Formet 8'!E45</f>
        <v/>
      </c>
      <c r="E39" s="258" t="str">
        <f>'Formet 8'!H45</f>
        <v/>
      </c>
      <c r="F39" s="259" t="str">
        <f>IF(AND(E39=""),"",'Formet 8'!$C$77)</f>
        <v/>
      </c>
      <c r="G39" s="508" t="str">
        <f t="shared" ref="G39:G65" si="5">IF(AND(E39=""),"",ROUND((E39*F39)*2,0))</f>
        <v/>
      </c>
      <c r="H39" s="509">
        <v>0</v>
      </c>
      <c r="I39" s="525">
        <f t="shared" ref="I39:I65" si="6">IF(E39="",0,1)</f>
        <v>0</v>
      </c>
    </row>
    <row r="40" spans="1:9" ht="16.5">
      <c r="A40" s="253">
        <f t="shared" si="3"/>
        <v>19</v>
      </c>
      <c r="B40" s="505" t="str">
        <f t="shared" si="4"/>
        <v/>
      </c>
      <c r="C40" s="507" t="str">
        <f>'Formet 8'!B46</f>
        <v/>
      </c>
      <c r="D40" s="257" t="str">
        <f>'Formet 8'!E46</f>
        <v/>
      </c>
      <c r="E40" s="258" t="str">
        <f>'Formet 8'!H46</f>
        <v/>
      </c>
      <c r="F40" s="259" t="str">
        <f>IF(AND(E40=""),"",'Formet 8'!$C$77)</f>
        <v/>
      </c>
      <c r="G40" s="508" t="str">
        <f t="shared" si="5"/>
        <v/>
      </c>
      <c r="H40" s="509">
        <v>0</v>
      </c>
      <c r="I40" s="525">
        <f t="shared" si="6"/>
        <v>0</v>
      </c>
    </row>
    <row r="41" spans="1:9" ht="16.5">
      <c r="A41" s="253">
        <f t="shared" si="3"/>
        <v>19</v>
      </c>
      <c r="B41" s="505" t="str">
        <f t="shared" si="4"/>
        <v/>
      </c>
      <c r="C41" s="507" t="str">
        <f>'Formet 8'!B47</f>
        <v/>
      </c>
      <c r="D41" s="257" t="str">
        <f>'Formet 8'!E47</f>
        <v/>
      </c>
      <c r="E41" s="258" t="str">
        <f>'Formet 8'!H47</f>
        <v/>
      </c>
      <c r="F41" s="259" t="str">
        <f>IF(AND(E41=""),"",'Formet 8'!$C$77)</f>
        <v/>
      </c>
      <c r="G41" s="508" t="str">
        <f t="shared" si="5"/>
        <v/>
      </c>
      <c r="H41" s="509">
        <v>0</v>
      </c>
      <c r="I41" s="525">
        <f t="shared" si="6"/>
        <v>0</v>
      </c>
    </row>
    <row r="42" spans="1:9" ht="16.5">
      <c r="A42" s="253">
        <f t="shared" si="3"/>
        <v>19</v>
      </c>
      <c r="B42" s="505" t="str">
        <f t="shared" si="4"/>
        <v/>
      </c>
      <c r="C42" s="507" t="str">
        <f>'Formet 8'!B48</f>
        <v/>
      </c>
      <c r="D42" s="257" t="str">
        <f>'Formet 8'!E48</f>
        <v/>
      </c>
      <c r="E42" s="258" t="str">
        <f>'Formet 8'!H48</f>
        <v/>
      </c>
      <c r="F42" s="259" t="str">
        <f>IF(AND(E42=""),"",'Formet 8'!$C$77)</f>
        <v/>
      </c>
      <c r="G42" s="508" t="str">
        <f t="shared" si="5"/>
        <v/>
      </c>
      <c r="H42" s="509">
        <v>0</v>
      </c>
      <c r="I42" s="525">
        <f t="shared" si="6"/>
        <v>0</v>
      </c>
    </row>
    <row r="43" spans="1:9" ht="16.5">
      <c r="A43" s="253">
        <f t="shared" si="3"/>
        <v>19</v>
      </c>
      <c r="B43" s="505" t="str">
        <f t="shared" si="4"/>
        <v/>
      </c>
      <c r="C43" s="507" t="str">
        <f>'Formet 8'!B49</f>
        <v/>
      </c>
      <c r="D43" s="257" t="str">
        <f>'Formet 8'!E49</f>
        <v/>
      </c>
      <c r="E43" s="258" t="str">
        <f>'Formet 8'!H49</f>
        <v/>
      </c>
      <c r="F43" s="259" t="str">
        <f>IF(AND(E43=""),"",'Formet 8'!$C$77)</f>
        <v/>
      </c>
      <c r="G43" s="508" t="str">
        <f t="shared" si="5"/>
        <v/>
      </c>
      <c r="H43" s="509">
        <v>0</v>
      </c>
      <c r="I43" s="525">
        <f t="shared" si="6"/>
        <v>0</v>
      </c>
    </row>
    <row r="44" spans="1:9" ht="16.5">
      <c r="A44" s="253">
        <f t="shared" si="3"/>
        <v>19</v>
      </c>
      <c r="B44" s="505" t="str">
        <f t="shared" si="4"/>
        <v/>
      </c>
      <c r="C44" s="507" t="str">
        <f>'Formet 8'!B50</f>
        <v/>
      </c>
      <c r="D44" s="257" t="str">
        <f>'Formet 8'!E50</f>
        <v/>
      </c>
      <c r="E44" s="258" t="str">
        <f>'Formet 8'!H50</f>
        <v/>
      </c>
      <c r="F44" s="259" t="str">
        <f>IF(AND(E44=""),"",'Formet 8'!$C$77)</f>
        <v/>
      </c>
      <c r="G44" s="508" t="str">
        <f t="shared" si="5"/>
        <v/>
      </c>
      <c r="H44" s="509">
        <v>0</v>
      </c>
      <c r="I44" s="525">
        <f t="shared" si="6"/>
        <v>0</v>
      </c>
    </row>
    <row r="45" spans="1:9" ht="16.5">
      <c r="A45" s="253">
        <f t="shared" si="3"/>
        <v>19</v>
      </c>
      <c r="B45" s="505" t="str">
        <f t="shared" si="4"/>
        <v/>
      </c>
      <c r="C45" s="507" t="str">
        <f>'Formet 8'!B51</f>
        <v/>
      </c>
      <c r="D45" s="257" t="str">
        <f>'Formet 8'!E51</f>
        <v/>
      </c>
      <c r="E45" s="258" t="str">
        <f>'Formet 8'!H51</f>
        <v/>
      </c>
      <c r="F45" s="259" t="str">
        <f>IF(AND(E45=""),"",'Formet 8'!$C$77)</f>
        <v/>
      </c>
      <c r="G45" s="508" t="str">
        <f t="shared" si="5"/>
        <v/>
      </c>
      <c r="H45" s="509">
        <v>0</v>
      </c>
      <c r="I45" s="525">
        <f t="shared" si="6"/>
        <v>0</v>
      </c>
    </row>
    <row r="46" spans="1:9" ht="16.5">
      <c r="A46" s="253">
        <f t="shared" si="3"/>
        <v>19</v>
      </c>
      <c r="B46" s="505" t="str">
        <f t="shared" si="4"/>
        <v/>
      </c>
      <c r="C46" s="507" t="str">
        <f>'Formet 8'!B52</f>
        <v/>
      </c>
      <c r="D46" s="257" t="str">
        <f>'Formet 8'!E52</f>
        <v/>
      </c>
      <c r="E46" s="258" t="str">
        <f>'Formet 8'!H52</f>
        <v/>
      </c>
      <c r="F46" s="259" t="str">
        <f>IF(AND(E46=""),"",'Formet 8'!$C$77)</f>
        <v/>
      </c>
      <c r="G46" s="508" t="str">
        <f t="shared" si="5"/>
        <v/>
      </c>
      <c r="H46" s="509">
        <v>0</v>
      </c>
      <c r="I46" s="525">
        <f t="shared" si="6"/>
        <v>0</v>
      </c>
    </row>
    <row r="47" spans="1:9" ht="16.5">
      <c r="A47" s="253">
        <f t="shared" si="3"/>
        <v>19</v>
      </c>
      <c r="B47" s="505" t="str">
        <f t="shared" si="4"/>
        <v/>
      </c>
      <c r="C47" s="507" t="str">
        <f>'Formet 8'!B53</f>
        <v/>
      </c>
      <c r="D47" s="257" t="str">
        <f>'Formet 8'!E53</f>
        <v/>
      </c>
      <c r="E47" s="258" t="str">
        <f>'Formet 8'!H53</f>
        <v/>
      </c>
      <c r="F47" s="259" t="str">
        <f>IF(AND(E47=""),"",'Formet 8'!$C$77)</f>
        <v/>
      </c>
      <c r="G47" s="508" t="str">
        <f t="shared" si="5"/>
        <v/>
      </c>
      <c r="H47" s="509">
        <v>0</v>
      </c>
      <c r="I47" s="525">
        <f t="shared" si="6"/>
        <v>0</v>
      </c>
    </row>
    <row r="48" spans="1:9" ht="16.5">
      <c r="A48" s="253">
        <f t="shared" si="3"/>
        <v>19</v>
      </c>
      <c r="B48" s="505" t="str">
        <f t="shared" si="4"/>
        <v/>
      </c>
      <c r="C48" s="507" t="str">
        <f>'Formet 8'!B54</f>
        <v/>
      </c>
      <c r="D48" s="257" t="str">
        <f>'Formet 8'!E54</f>
        <v/>
      </c>
      <c r="E48" s="258" t="str">
        <f>'Formet 8'!H54</f>
        <v/>
      </c>
      <c r="F48" s="259" t="str">
        <f>IF(AND(E48=""),"",'Formet 8'!$C$77)</f>
        <v/>
      </c>
      <c r="G48" s="508" t="str">
        <f t="shared" si="5"/>
        <v/>
      </c>
      <c r="H48" s="509">
        <v>0</v>
      </c>
      <c r="I48" s="525">
        <f t="shared" si="6"/>
        <v>0</v>
      </c>
    </row>
    <row r="49" spans="1:9" ht="16.5">
      <c r="A49" s="253">
        <f t="shared" si="3"/>
        <v>19</v>
      </c>
      <c r="B49" s="505" t="str">
        <f t="shared" si="4"/>
        <v/>
      </c>
      <c r="C49" s="507" t="str">
        <f>'Formet 8'!B55</f>
        <v/>
      </c>
      <c r="D49" s="257" t="str">
        <f>'Formet 8'!E55</f>
        <v/>
      </c>
      <c r="E49" s="258" t="str">
        <f>'Formet 8'!H55</f>
        <v/>
      </c>
      <c r="F49" s="259" t="str">
        <f>IF(AND(E49=""),"",'Formet 8'!$C$77)</f>
        <v/>
      </c>
      <c r="G49" s="508" t="str">
        <f t="shared" si="5"/>
        <v/>
      </c>
      <c r="H49" s="509">
        <v>0</v>
      </c>
      <c r="I49" s="525">
        <f t="shared" si="6"/>
        <v>0</v>
      </c>
    </row>
    <row r="50" spans="1:9" ht="16.5">
      <c r="A50" s="253">
        <f t="shared" si="3"/>
        <v>19</v>
      </c>
      <c r="B50" s="505" t="str">
        <f t="shared" si="4"/>
        <v/>
      </c>
      <c r="C50" s="507" t="str">
        <f>'Formet 8'!B56</f>
        <v/>
      </c>
      <c r="D50" s="257" t="str">
        <f>'Formet 8'!E56</f>
        <v/>
      </c>
      <c r="E50" s="258" t="str">
        <f>'Formet 8'!H56</f>
        <v/>
      </c>
      <c r="F50" s="259" t="str">
        <f>IF(AND(E50=""),"",'Formet 8'!$C$77)</f>
        <v/>
      </c>
      <c r="G50" s="508" t="str">
        <f t="shared" si="5"/>
        <v/>
      </c>
      <c r="H50" s="509">
        <v>0</v>
      </c>
      <c r="I50" s="525">
        <f t="shared" si="6"/>
        <v>0</v>
      </c>
    </row>
    <row r="51" spans="1:9" ht="16.5">
      <c r="A51" s="253">
        <f t="shared" si="3"/>
        <v>19</v>
      </c>
      <c r="B51" s="505" t="str">
        <f t="shared" si="4"/>
        <v/>
      </c>
      <c r="C51" s="507" t="str">
        <f>'Formet 8'!B57</f>
        <v/>
      </c>
      <c r="D51" s="257" t="str">
        <f>'Formet 8'!E57</f>
        <v/>
      </c>
      <c r="E51" s="258" t="str">
        <f>'Formet 8'!H57</f>
        <v/>
      </c>
      <c r="F51" s="259" t="str">
        <f>IF(AND(E51=""),"",'Formet 8'!$C$77)</f>
        <v/>
      </c>
      <c r="G51" s="508" t="str">
        <f t="shared" si="5"/>
        <v/>
      </c>
      <c r="H51" s="509">
        <v>0</v>
      </c>
      <c r="I51" s="525">
        <f t="shared" si="6"/>
        <v>0</v>
      </c>
    </row>
    <row r="52" spans="1:9" ht="16.5">
      <c r="A52" s="253">
        <f t="shared" si="3"/>
        <v>19</v>
      </c>
      <c r="B52" s="505" t="str">
        <f t="shared" si="4"/>
        <v/>
      </c>
      <c r="C52" s="507" t="str">
        <f>'Formet 8'!B58</f>
        <v/>
      </c>
      <c r="D52" s="257" t="str">
        <f>'Formet 8'!E58</f>
        <v/>
      </c>
      <c r="E52" s="258" t="str">
        <f>'Formet 8'!H58</f>
        <v/>
      </c>
      <c r="F52" s="259" t="str">
        <f>IF(AND(E52=""),"",'Formet 8'!$C$77)</f>
        <v/>
      </c>
      <c r="G52" s="508" t="str">
        <f t="shared" si="5"/>
        <v/>
      </c>
      <c r="H52" s="509">
        <v>0</v>
      </c>
      <c r="I52" s="525">
        <f t="shared" si="6"/>
        <v>0</v>
      </c>
    </row>
    <row r="53" spans="1:9" ht="16.5">
      <c r="A53" s="253">
        <f t="shared" si="3"/>
        <v>19</v>
      </c>
      <c r="B53" s="505" t="str">
        <f t="shared" si="4"/>
        <v/>
      </c>
      <c r="C53" s="507" t="str">
        <f>'Formet 8'!B59</f>
        <v/>
      </c>
      <c r="D53" s="257" t="str">
        <f>'Formet 8'!E59</f>
        <v/>
      </c>
      <c r="E53" s="258" t="str">
        <f>'Formet 8'!H59</f>
        <v/>
      </c>
      <c r="F53" s="259" t="str">
        <f>IF(AND(E53=""),"",'Formet 8'!$C$77)</f>
        <v/>
      </c>
      <c r="G53" s="508" t="str">
        <f t="shared" si="5"/>
        <v/>
      </c>
      <c r="H53" s="509">
        <v>0</v>
      </c>
      <c r="I53" s="525">
        <f t="shared" si="6"/>
        <v>0</v>
      </c>
    </row>
    <row r="54" spans="1:9" ht="16.5">
      <c r="A54" s="253">
        <f t="shared" si="3"/>
        <v>19</v>
      </c>
      <c r="B54" s="505" t="str">
        <f t="shared" si="4"/>
        <v/>
      </c>
      <c r="C54" s="507" t="str">
        <f>'Formet 8'!B60</f>
        <v/>
      </c>
      <c r="D54" s="257" t="str">
        <f>'Formet 8'!E60</f>
        <v/>
      </c>
      <c r="E54" s="258" t="str">
        <f>'Formet 8'!H60</f>
        <v/>
      </c>
      <c r="F54" s="259" t="str">
        <f>IF(AND(E54=""),"",'Formet 8'!$C$77)</f>
        <v/>
      </c>
      <c r="G54" s="508" t="str">
        <f t="shared" si="5"/>
        <v/>
      </c>
      <c r="H54" s="509">
        <v>0</v>
      </c>
      <c r="I54" s="525">
        <f t="shared" si="6"/>
        <v>0</v>
      </c>
    </row>
    <row r="55" spans="1:9" ht="16.5">
      <c r="A55" s="253">
        <f t="shared" si="3"/>
        <v>19</v>
      </c>
      <c r="B55" s="505" t="str">
        <f t="shared" si="4"/>
        <v/>
      </c>
      <c r="C55" s="507" t="str">
        <f>'Formet 8'!B61</f>
        <v/>
      </c>
      <c r="D55" s="257" t="str">
        <f>'Formet 8'!E61</f>
        <v/>
      </c>
      <c r="E55" s="258" t="str">
        <f>'Formet 8'!H61</f>
        <v/>
      </c>
      <c r="F55" s="259" t="str">
        <f>IF(AND(E55=""),"",'Formet 8'!$C$77)</f>
        <v/>
      </c>
      <c r="G55" s="508" t="str">
        <f t="shared" si="5"/>
        <v/>
      </c>
      <c r="H55" s="509">
        <v>0</v>
      </c>
      <c r="I55" s="525">
        <f t="shared" si="6"/>
        <v>0</v>
      </c>
    </row>
    <row r="56" spans="1:9" ht="16.5">
      <c r="A56" s="253">
        <f t="shared" si="3"/>
        <v>19</v>
      </c>
      <c r="B56" s="505" t="str">
        <f t="shared" si="4"/>
        <v/>
      </c>
      <c r="C56" s="507" t="str">
        <f>'Formet 8'!B62</f>
        <v/>
      </c>
      <c r="D56" s="257" t="str">
        <f>'Formet 8'!E62</f>
        <v/>
      </c>
      <c r="E56" s="258" t="str">
        <f>'Formet 8'!H62</f>
        <v/>
      </c>
      <c r="F56" s="259" t="str">
        <f>IF(AND(E56=""),"",'Formet 8'!$C$77)</f>
        <v/>
      </c>
      <c r="G56" s="508" t="str">
        <f t="shared" si="5"/>
        <v/>
      </c>
      <c r="H56" s="509">
        <v>0</v>
      </c>
      <c r="I56" s="525">
        <f t="shared" si="6"/>
        <v>0</v>
      </c>
    </row>
    <row r="57" spans="1:9" ht="16.5">
      <c r="A57" s="253">
        <f t="shared" si="3"/>
        <v>19</v>
      </c>
      <c r="B57" s="505" t="str">
        <f t="shared" si="4"/>
        <v/>
      </c>
      <c r="C57" s="507" t="str">
        <f>'Formet 8'!B63</f>
        <v/>
      </c>
      <c r="D57" s="257" t="str">
        <f>'Formet 8'!E63</f>
        <v/>
      </c>
      <c r="E57" s="258" t="str">
        <f>'Formet 8'!H63</f>
        <v/>
      </c>
      <c r="F57" s="259" t="str">
        <f>IF(AND(E57=""),"",'Formet 8'!$C$77)</f>
        <v/>
      </c>
      <c r="G57" s="508" t="str">
        <f t="shared" si="5"/>
        <v/>
      </c>
      <c r="H57" s="509">
        <v>0</v>
      </c>
      <c r="I57" s="525">
        <f t="shared" si="6"/>
        <v>0</v>
      </c>
    </row>
    <row r="58" spans="1:9" ht="16.5">
      <c r="A58" s="253">
        <f t="shared" si="3"/>
        <v>19</v>
      </c>
      <c r="B58" s="505" t="str">
        <f t="shared" si="4"/>
        <v/>
      </c>
      <c r="C58" s="507" t="str">
        <f>'Formet 8'!B64</f>
        <v/>
      </c>
      <c r="D58" s="257" t="str">
        <f>'Formet 8'!E64</f>
        <v/>
      </c>
      <c r="E58" s="258" t="str">
        <f>'Formet 8'!H64</f>
        <v/>
      </c>
      <c r="F58" s="259" t="str">
        <f>IF(AND(E58=""),"",'Formet 8'!$C$77)</f>
        <v/>
      </c>
      <c r="G58" s="508" t="str">
        <f t="shared" si="5"/>
        <v/>
      </c>
      <c r="H58" s="509">
        <v>0</v>
      </c>
      <c r="I58" s="525">
        <f t="shared" si="6"/>
        <v>0</v>
      </c>
    </row>
    <row r="59" spans="1:9" ht="16.5">
      <c r="A59" s="253">
        <f t="shared" si="3"/>
        <v>19</v>
      </c>
      <c r="B59" s="505" t="str">
        <f t="shared" si="4"/>
        <v/>
      </c>
      <c r="C59" s="507" t="str">
        <f>'Formet 8'!B65</f>
        <v/>
      </c>
      <c r="D59" s="257" t="str">
        <f>'Formet 8'!E65</f>
        <v/>
      </c>
      <c r="E59" s="258" t="str">
        <f>'Formet 8'!H65</f>
        <v/>
      </c>
      <c r="F59" s="259" t="str">
        <f>IF(AND(E59=""),"",'Formet 8'!$C$77)</f>
        <v/>
      </c>
      <c r="G59" s="508" t="str">
        <f t="shared" si="5"/>
        <v/>
      </c>
      <c r="H59" s="509">
        <v>0</v>
      </c>
      <c r="I59" s="525">
        <f t="shared" si="6"/>
        <v>0</v>
      </c>
    </row>
    <row r="60" spans="1:9" ht="16.5">
      <c r="A60" s="253">
        <f t="shared" si="3"/>
        <v>19</v>
      </c>
      <c r="B60" s="505" t="str">
        <f t="shared" si="4"/>
        <v/>
      </c>
      <c r="C60" s="507" t="str">
        <f>'Formet 8'!B66</f>
        <v/>
      </c>
      <c r="D60" s="257" t="str">
        <f>'Formet 8'!E66</f>
        <v/>
      </c>
      <c r="E60" s="258" t="str">
        <f>'Formet 8'!H66</f>
        <v/>
      </c>
      <c r="F60" s="259" t="str">
        <f>IF(AND(E60=""),"",'Formet 8'!$C$77)</f>
        <v/>
      </c>
      <c r="G60" s="508" t="str">
        <f t="shared" ref="G60:G61" si="7">IF(AND(E60=""),"",ROUND((E60*F60)*2,0))</f>
        <v/>
      </c>
      <c r="H60" s="509">
        <v>0</v>
      </c>
      <c r="I60" s="525">
        <f t="shared" si="6"/>
        <v>0</v>
      </c>
    </row>
    <row r="61" spans="1:9" ht="16.5">
      <c r="A61" s="253">
        <f t="shared" si="3"/>
        <v>19</v>
      </c>
      <c r="B61" s="505" t="str">
        <f t="shared" si="4"/>
        <v/>
      </c>
      <c r="C61" s="507" t="str">
        <f>'Formet 8'!B67</f>
        <v/>
      </c>
      <c r="D61" s="257" t="str">
        <f>'Formet 8'!E67</f>
        <v/>
      </c>
      <c r="E61" s="258" t="str">
        <f>'Formet 8'!H67</f>
        <v/>
      </c>
      <c r="F61" s="259" t="str">
        <f>IF(AND(E61=""),"",'Formet 8'!$C$77)</f>
        <v/>
      </c>
      <c r="G61" s="508" t="str">
        <f t="shared" si="7"/>
        <v/>
      </c>
      <c r="H61" s="509">
        <v>0</v>
      </c>
      <c r="I61" s="525">
        <f t="shared" si="6"/>
        <v>0</v>
      </c>
    </row>
    <row r="62" spans="1:9" ht="16.5">
      <c r="A62" s="253">
        <f t="shared" si="3"/>
        <v>19</v>
      </c>
      <c r="B62" s="505" t="str">
        <f t="shared" si="4"/>
        <v/>
      </c>
      <c r="C62" s="507" t="str">
        <f>'Formet 8'!B68</f>
        <v/>
      </c>
      <c r="D62" s="257" t="str">
        <f>'Formet 8'!E68</f>
        <v/>
      </c>
      <c r="E62" s="258" t="str">
        <f>'Formet 8'!H68</f>
        <v/>
      </c>
      <c r="F62" s="259" t="str">
        <f>IF(AND(E62=""),"",'Formet 8'!$C$77)</f>
        <v/>
      </c>
      <c r="G62" s="508" t="str">
        <f t="shared" si="5"/>
        <v/>
      </c>
      <c r="H62" s="509">
        <v>0</v>
      </c>
      <c r="I62" s="525">
        <f t="shared" si="6"/>
        <v>0</v>
      </c>
    </row>
    <row r="63" spans="1:9" ht="16.5">
      <c r="A63" s="253">
        <f t="shared" si="3"/>
        <v>19</v>
      </c>
      <c r="B63" s="505" t="str">
        <f t="shared" si="4"/>
        <v/>
      </c>
      <c r="C63" s="507" t="str">
        <f>'Formet 8'!B69</f>
        <v/>
      </c>
      <c r="D63" s="257" t="str">
        <f>'Formet 8'!E69</f>
        <v/>
      </c>
      <c r="E63" s="258" t="str">
        <f>'Formet 8'!H69</f>
        <v/>
      </c>
      <c r="F63" s="259" t="str">
        <f>IF(AND(E63=""),"",'Formet 8'!$C$77)</f>
        <v/>
      </c>
      <c r="G63" s="508" t="str">
        <f t="shared" si="5"/>
        <v/>
      </c>
      <c r="H63" s="509">
        <v>0</v>
      </c>
      <c r="I63" s="525">
        <f t="shared" si="6"/>
        <v>0</v>
      </c>
    </row>
    <row r="64" spans="1:9" ht="16.5">
      <c r="A64" s="253">
        <f t="shared" si="3"/>
        <v>19</v>
      </c>
      <c r="B64" s="505" t="str">
        <f t="shared" si="4"/>
        <v/>
      </c>
      <c r="C64" s="507" t="str">
        <f>'Formet 8'!B70</f>
        <v/>
      </c>
      <c r="D64" s="257" t="str">
        <f>'Formet 8'!E70</f>
        <v/>
      </c>
      <c r="E64" s="258" t="str">
        <f>'Formet 8'!H70</f>
        <v/>
      </c>
      <c r="F64" s="259" t="str">
        <f>IF(AND(E64=""),"",'Formet 8'!$C$77)</f>
        <v/>
      </c>
      <c r="G64" s="508" t="str">
        <f t="shared" si="5"/>
        <v/>
      </c>
      <c r="H64" s="509">
        <v>0</v>
      </c>
      <c r="I64" s="525">
        <f t="shared" si="6"/>
        <v>0</v>
      </c>
    </row>
    <row r="65" spans="1:9" ht="16.5">
      <c r="A65" s="253">
        <f t="shared" si="3"/>
        <v>19</v>
      </c>
      <c r="B65" s="505" t="str">
        <f t="shared" si="4"/>
        <v/>
      </c>
      <c r="C65" s="507" t="str">
        <f>'Formet 8'!B71</f>
        <v/>
      </c>
      <c r="D65" s="257" t="str">
        <f>'Formet 8'!E71</f>
        <v/>
      </c>
      <c r="E65" s="258" t="str">
        <f>'Formet 8'!H71</f>
        <v/>
      </c>
      <c r="F65" s="259" t="str">
        <f>IF(AND(E65=""),"",'Formet 8'!$C$77)</f>
        <v/>
      </c>
      <c r="G65" s="508" t="str">
        <f t="shared" si="5"/>
        <v/>
      </c>
      <c r="H65" s="509">
        <v>0</v>
      </c>
      <c r="I65" s="525">
        <f t="shared" si="6"/>
        <v>0</v>
      </c>
    </row>
    <row r="66" spans="1:9" ht="18.75">
      <c r="A66" s="253">
        <f t="shared" si="3"/>
        <v>19</v>
      </c>
      <c r="B66" s="260"/>
      <c r="C66" s="261" t="s">
        <v>408</v>
      </c>
      <c r="D66" s="261"/>
      <c r="E66" s="261"/>
      <c r="F66" s="261"/>
      <c r="G66" s="262">
        <f>SUM(G7:G65)</f>
        <v>888832</v>
      </c>
      <c r="H66" s="262">
        <f>SUM(H7:H65)</f>
        <v>0</v>
      </c>
    </row>
    <row r="67" spans="1:9">
      <c r="B67" s="1043" t="s">
        <v>550</v>
      </c>
      <c r="C67" s="1043"/>
      <c r="D67" s="1043"/>
      <c r="E67" s="1043"/>
    </row>
    <row r="68" spans="1:9">
      <c r="B68" s="1044"/>
      <c r="C68" s="1044"/>
      <c r="D68" s="1044"/>
      <c r="E68" s="1044"/>
    </row>
    <row r="69" spans="1:9" ht="15.75">
      <c r="B69" s="1044"/>
      <c r="C69" s="1044"/>
      <c r="D69" s="1044"/>
      <c r="E69" s="1044"/>
      <c r="F69" s="1046" t="str">
        <f>CONCATENATE("¼ ",Master!G3,"½")</f>
        <v>¼ m"kk ikfy;k½</v>
      </c>
      <c r="G69" s="1046"/>
      <c r="H69" s="1046"/>
    </row>
    <row r="70" spans="1:9" ht="18.75">
      <c r="B70" s="1044"/>
      <c r="C70" s="1044"/>
      <c r="D70" s="1044"/>
      <c r="E70" s="1044"/>
      <c r="F70" s="1042" t="str">
        <f>Master!C2</f>
        <v>iz/kkukpk;Z</v>
      </c>
      <c r="G70" s="1042"/>
      <c r="H70" s="1042"/>
      <c r="I70" s="264"/>
    </row>
    <row r="71" spans="1:9" ht="15" customHeight="1">
      <c r="F71" s="923" t="str">
        <f>Master!D2</f>
        <v>egkRek xka/kh jktdh; fo|ky; ¼vaxzsth ek/;e½ cj ] C;koj</v>
      </c>
      <c r="G71" s="923"/>
      <c r="H71" s="923"/>
      <c r="I71" s="109"/>
    </row>
    <row r="72" spans="1:9" ht="23.25" customHeight="1">
      <c r="F72" s="923"/>
      <c r="G72" s="923"/>
      <c r="H72" s="923"/>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4"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showGridLines="0" showRowColHeaders="0" workbookViewId="0">
      <selection activeCell="D72" sqref="D72"/>
    </sheetView>
  </sheetViews>
  <sheetFormatPr defaultColWidth="0" defaultRowHeight="15" zeroHeight="1"/>
  <cols>
    <col min="1" max="1" width="9.375" customWidth="1"/>
    <col min="2" max="2" width="28.75" customWidth="1"/>
    <col min="3" max="3" width="16.375" customWidth="1"/>
    <col min="4" max="4" width="18" customWidth="1"/>
    <col min="5" max="5" width="12.75" customWidth="1"/>
    <col min="6" max="6" width="20.125" customWidth="1"/>
    <col min="7" max="7" width="14.625" customWidth="1"/>
    <col min="8" max="8" width="13.625" customWidth="1"/>
    <col min="9" max="9" width="14.25" customWidth="1"/>
    <col min="10" max="10" width="19.125" customWidth="1"/>
    <col min="11" max="11" width="27.75" customWidth="1"/>
    <col min="12" max="12" width="27.75" style="326" customWidth="1"/>
    <col min="13" max="16" width="9.125" customWidth="1"/>
    <col min="17" max="17" width="27.625" bestFit="1" customWidth="1"/>
    <col min="18" max="18" width="30.25" bestFit="1" customWidth="1"/>
    <col min="19" max="19" width="116.375" bestFit="1" customWidth="1"/>
    <col min="20" max="22" width="9.125" customWidth="1"/>
    <col min="23" max="32" width="9.125" hidden="1" customWidth="1"/>
    <col min="33" max="33" width="18.75" hidden="1" customWidth="1"/>
    <col min="34" max="34" width="15.125" hidden="1" customWidth="1"/>
    <col min="35" max="35" width="9.125" hidden="1" customWidth="1"/>
    <col min="36" max="36" width="17.75" hidden="1" customWidth="1"/>
    <col min="37" max="37" width="19.125" hidden="1" customWidth="1"/>
    <col min="38" max="38" width="17.875" hidden="1" customWidth="1"/>
    <col min="39" max="45" width="9.125" hidden="1" customWidth="1"/>
    <col min="46" max="46" width="16" hidden="1" customWidth="1"/>
    <col min="47" max="49" width="9.125" hidden="1" customWidth="1"/>
    <col min="50" max="50" width="24.875" hidden="1" customWidth="1"/>
    <col min="51" max="51" width="10.75" hidden="1" customWidth="1"/>
    <col min="52" max="58" width="9.125" hidden="1" customWidth="1"/>
    <col min="59" max="59" width="18" hidden="1" customWidth="1"/>
    <col min="60" max="71" width="9.125" hidden="1" customWidth="1"/>
    <col min="72" max="72" width="14" hidden="1" customWidth="1"/>
    <col min="73" max="73" width="12.375" hidden="1" customWidth="1"/>
    <col min="74" max="74" width="9.875" hidden="1" customWidth="1"/>
    <col min="75" max="75" width="9.125" hidden="1" customWidth="1"/>
    <col min="76" max="77" width="14.125" hidden="1" customWidth="1"/>
    <col min="78" max="84" width="9.125" hidden="1" customWidth="1"/>
    <col min="85" max="85" width="17.75" hidden="1" customWidth="1"/>
    <col min="86" max="86" width="12.125" hidden="1" customWidth="1"/>
    <col min="87" max="97" width="9.125" hidden="1" customWidth="1"/>
    <col min="98" max="98" width="16.875" hidden="1" customWidth="1"/>
    <col min="99" max="16384" width="9.125" hidden="1"/>
  </cols>
  <sheetData>
    <row r="1" spans="1:76" ht="20.25">
      <c r="A1" s="811" t="s">
        <v>0</v>
      </c>
      <c r="B1" s="812"/>
      <c r="C1" s="554" t="s">
        <v>1</v>
      </c>
      <c r="D1" s="827" t="s">
        <v>785</v>
      </c>
      <c r="E1" s="827"/>
      <c r="F1" s="827"/>
      <c r="G1" s="827"/>
      <c r="H1" s="827"/>
      <c r="I1" s="828"/>
      <c r="J1" s="20"/>
      <c r="K1" s="20"/>
      <c r="L1" s="20"/>
      <c r="M1" s="32"/>
      <c r="N1" s="32"/>
      <c r="O1" s="32"/>
    </row>
    <row r="2" spans="1:76" ht="21">
      <c r="A2" s="813" t="s">
        <v>2</v>
      </c>
      <c r="B2" s="814"/>
      <c r="C2" s="552" t="str">
        <f>IF(C1="Principal","iz/kkukpk;Z","iz/kkuk/;kid")</f>
        <v>iz/kkukpk;Z</v>
      </c>
      <c r="D2" s="786" t="s">
        <v>784</v>
      </c>
      <c r="E2" s="786"/>
      <c r="F2" s="786"/>
      <c r="G2" s="786"/>
      <c r="H2" s="786"/>
      <c r="I2" s="787"/>
      <c r="J2" s="20"/>
      <c r="K2" s="20"/>
      <c r="L2" s="20"/>
      <c r="M2" s="32"/>
      <c r="N2" s="32"/>
      <c r="O2" s="32"/>
      <c r="S2" s="376" t="s">
        <v>543</v>
      </c>
    </row>
    <row r="3" spans="1:76" ht="20.25">
      <c r="A3" s="815" t="s">
        <v>563</v>
      </c>
      <c r="B3" s="816"/>
      <c r="C3" s="821">
        <v>30695</v>
      </c>
      <c r="D3" s="821"/>
      <c r="E3" s="377"/>
      <c r="F3" s="553" t="s">
        <v>606</v>
      </c>
      <c r="G3" s="823" t="s">
        <v>670</v>
      </c>
      <c r="H3" s="823"/>
      <c r="I3" s="824"/>
      <c r="J3" s="20"/>
      <c r="K3" s="20"/>
      <c r="L3" s="20"/>
      <c r="M3" s="32"/>
      <c r="N3" s="32"/>
      <c r="O3" s="32"/>
      <c r="Q3" s="829" t="s">
        <v>232</v>
      </c>
      <c r="R3" s="829"/>
      <c r="S3" s="829"/>
      <c r="T3" s="829"/>
      <c r="U3" s="829"/>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817" t="s">
        <v>3</v>
      </c>
      <c r="B4" s="818"/>
      <c r="C4" s="822" t="s">
        <v>750</v>
      </c>
      <c r="D4" s="822"/>
      <c r="E4" s="551"/>
      <c r="F4" s="553" t="s">
        <v>607</v>
      </c>
      <c r="G4" s="825">
        <v>9999999999</v>
      </c>
      <c r="H4" s="825"/>
      <c r="I4" s="826"/>
      <c r="J4" s="20"/>
      <c r="K4" s="20"/>
      <c r="L4" s="20"/>
      <c r="M4" s="32"/>
      <c r="N4" s="32"/>
      <c r="O4" s="32"/>
      <c r="Q4" s="459" t="s">
        <v>235</v>
      </c>
      <c r="R4" s="459" t="s">
        <v>236</v>
      </c>
      <c r="S4" s="459" t="s">
        <v>237</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819" t="s">
        <v>4</v>
      </c>
      <c r="B5" s="820"/>
      <c r="C5" s="788" t="s">
        <v>247</v>
      </c>
      <c r="D5" s="788"/>
      <c r="E5" s="789" t="str">
        <f>VLOOKUP(C5,Q4:T25,2,FALSE)</f>
        <v>2202-02-109-(02) (STATE FUND)</v>
      </c>
      <c r="F5" s="789"/>
      <c r="G5" s="789"/>
      <c r="H5" s="789"/>
      <c r="I5" s="790"/>
      <c r="J5" s="20"/>
      <c r="K5" s="20"/>
      <c r="L5" s="20"/>
      <c r="M5" s="32"/>
      <c r="N5" s="32"/>
      <c r="O5" s="32"/>
      <c r="Q5" s="459" t="s">
        <v>5</v>
      </c>
      <c r="R5" s="459" t="s">
        <v>233</v>
      </c>
      <c r="S5" s="459" t="s">
        <v>234</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91" t="s">
        <v>73</v>
      </c>
      <c r="B6" s="791"/>
      <c r="C6" s="791"/>
      <c r="D6" s="791"/>
      <c r="E6" s="791"/>
      <c r="F6" s="791"/>
      <c r="G6" s="791"/>
      <c r="H6" s="791"/>
      <c r="I6" s="791"/>
      <c r="J6" s="21"/>
      <c r="K6" s="21"/>
      <c r="L6" s="21"/>
      <c r="M6" s="32"/>
      <c r="N6" s="32"/>
      <c r="O6" s="32"/>
      <c r="Q6" s="459" t="s">
        <v>238</v>
      </c>
      <c r="R6" s="459" t="s">
        <v>239</v>
      </c>
      <c r="S6" s="459" t="s">
        <v>240</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800" t="s">
        <v>6</v>
      </c>
      <c r="B7" s="802" t="s">
        <v>7</v>
      </c>
      <c r="C7" s="802" t="s">
        <v>8</v>
      </c>
      <c r="D7" s="804" t="s">
        <v>9</v>
      </c>
      <c r="E7" s="804"/>
      <c r="F7" s="804"/>
      <c r="G7" s="804"/>
      <c r="H7" s="804"/>
      <c r="I7" s="771"/>
      <c r="J7" s="771" t="s">
        <v>751</v>
      </c>
      <c r="K7" s="769" t="s">
        <v>752</v>
      </c>
      <c r="L7" s="20"/>
      <c r="M7" s="32"/>
      <c r="N7" s="32"/>
      <c r="O7" s="32"/>
      <c r="Q7" s="459" t="s">
        <v>241</v>
      </c>
      <c r="R7" s="459" t="s">
        <v>242</v>
      </c>
      <c r="S7" s="459" t="s">
        <v>243</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801"/>
      <c r="B8" s="803"/>
      <c r="C8" s="803"/>
      <c r="D8" s="26" t="str">
        <f>CONCATENATE((MID(Master!C4,1,4)-4),"-",(MID(Master!C4,6,2)-4))</f>
        <v>2022-23</v>
      </c>
      <c r="E8" s="26" t="str">
        <f>CONCATENATE((MID(Master!C4,1,4)-3),"-",(MID(Master!C4,6,2)-3))</f>
        <v>2023-24</v>
      </c>
      <c r="F8" s="810" t="str">
        <f>CONCATENATE((MID(Master!C4,1,4)-2),"-",(MID(Master!C4,6,2)-2))</f>
        <v>2024-25</v>
      </c>
      <c r="G8" s="810"/>
      <c r="H8" s="810"/>
      <c r="I8" s="378" t="str">
        <f>CONCATENATE((MID(Master!C4,1,4)-1),"-",(MID(Master!C4,6,2)-1))</f>
        <v>2025-26</v>
      </c>
      <c r="J8" s="772"/>
      <c r="K8" s="770"/>
      <c r="L8" s="22"/>
      <c r="M8" s="762" t="s">
        <v>638</v>
      </c>
      <c r="N8" s="762"/>
      <c r="O8" s="762"/>
      <c r="Q8" s="459" t="s">
        <v>244</v>
      </c>
      <c r="R8" s="459" t="s">
        <v>245</v>
      </c>
      <c r="S8" s="459" t="s">
        <v>246</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801"/>
      <c r="B9" s="803"/>
      <c r="C9" s="26" t="str">
        <f>CONCATENATE((MID(Master!C4,1,4))-1,"-",(MID(Master!C4,6,2)-1))</f>
        <v>2025-26</v>
      </c>
      <c r="D9" s="11" t="str">
        <f>CONCATENATE("vizSy ",(MID(D8,3,2))," ls ekpZ ",(MID(D8,3,2)+1)," rd")</f>
        <v>vizSy 22 ls ekpZ 23 rd</v>
      </c>
      <c r="E9" s="11" t="str">
        <f>CONCATENATE("vizSy ",(MID(E8,3,2))," ls ekpZ ",(MID(E8,3,2)+1)," rd")</f>
        <v>vizSy 23 ls ekpZ 24 rd</v>
      </c>
      <c r="F9" s="11" t="str">
        <f>CONCATENATE("vizSy ",(MID(F8,3,2))," ls tqykbZZ ",(MID(F8,3,2))," rd")</f>
        <v>vizSy 24 ls tqykbZZ 24 rd</v>
      </c>
      <c r="G9" s="11" t="str">
        <f>CONCATENATE("vxLr ",(MID(F8,3,2))," ls ekpZ ",(MID(F8,3,2)+1)," rd")</f>
        <v>vxLr 24 ls ekpZ 25 rd</v>
      </c>
      <c r="H9" s="11" t="str">
        <f>CONCATENATE("vizSy ",(MID(F8,3,2))," ls ekpZ ",(MID(F8,3,2)+1)," rd")</f>
        <v>vizSy 24 ls ekpZ 25 rd</v>
      </c>
      <c r="I9" s="12" t="str">
        <f>CONCATENATE("vizSy ",(MID(I8,3,2))," ls tqykbZ ",(MID(I8,3,2))," rd")</f>
        <v>vizSy 25 ls tqykbZ 25 rd</v>
      </c>
      <c r="J9" s="772"/>
      <c r="K9" s="770"/>
      <c r="L9" s="22"/>
      <c r="M9" s="762"/>
      <c r="N9" s="762"/>
      <c r="O9" s="762"/>
      <c r="Q9" s="459" t="s">
        <v>247</v>
      </c>
      <c r="R9" s="459" t="s">
        <v>248</v>
      </c>
      <c r="S9" s="459" t="s">
        <v>249</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2">
        <v>1</v>
      </c>
      <c r="B10" s="353">
        <v>2</v>
      </c>
      <c r="C10" s="353">
        <v>3</v>
      </c>
      <c r="D10" s="353">
        <v>4</v>
      </c>
      <c r="E10" s="353">
        <v>5</v>
      </c>
      <c r="F10" s="353">
        <v>6</v>
      </c>
      <c r="G10" s="353">
        <v>7</v>
      </c>
      <c r="H10" s="353">
        <v>8</v>
      </c>
      <c r="I10" s="354">
        <v>9</v>
      </c>
      <c r="J10" s="354">
        <v>10</v>
      </c>
      <c r="K10" s="354">
        <v>10</v>
      </c>
      <c r="L10" s="22"/>
      <c r="M10" s="32"/>
      <c r="N10" s="32"/>
      <c r="O10" s="32"/>
      <c r="Q10" s="459" t="s">
        <v>250</v>
      </c>
      <c r="R10" s="459" t="s">
        <v>251</v>
      </c>
      <c r="S10" s="459" t="s">
        <v>252</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10</v>
      </c>
      <c r="C11" s="363">
        <v>9820000</v>
      </c>
      <c r="D11" s="363">
        <v>8513603</v>
      </c>
      <c r="E11" s="363">
        <v>7033738</v>
      </c>
      <c r="F11" s="363">
        <v>2643267</v>
      </c>
      <c r="G11" s="363">
        <v>6705337</v>
      </c>
      <c r="H11" s="355">
        <f>SUM(F11:G11)</f>
        <v>9348604</v>
      </c>
      <c r="I11" s="364">
        <v>3407270</v>
      </c>
      <c r="J11" s="364">
        <v>6407270</v>
      </c>
      <c r="K11" s="364">
        <v>10407270</v>
      </c>
      <c r="L11" s="22"/>
      <c r="M11" s="32"/>
      <c r="N11" s="32"/>
      <c r="O11" s="32"/>
      <c r="Q11" s="459" t="s">
        <v>253</v>
      </c>
      <c r="R11" s="459" t="s">
        <v>254</v>
      </c>
      <c r="S11" s="459" t="s">
        <v>255</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11</v>
      </c>
      <c r="C12" s="363">
        <v>0</v>
      </c>
      <c r="D12" s="363">
        <v>0</v>
      </c>
      <c r="E12" s="363">
        <v>0</v>
      </c>
      <c r="F12" s="363">
        <v>0</v>
      </c>
      <c r="G12" s="363">
        <v>0</v>
      </c>
      <c r="H12" s="355">
        <f>SUM(F12:G12)</f>
        <v>0</v>
      </c>
      <c r="I12" s="364">
        <v>0</v>
      </c>
      <c r="J12" s="364">
        <v>0</v>
      </c>
      <c r="K12" s="364">
        <v>0</v>
      </c>
      <c r="L12" s="22"/>
      <c r="M12" s="32"/>
      <c r="N12" s="32"/>
      <c r="O12" s="32"/>
      <c r="Q12" s="459" t="s">
        <v>256</v>
      </c>
      <c r="R12" s="459" t="s">
        <v>257</v>
      </c>
      <c r="S12" s="459" t="s">
        <v>258</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12</v>
      </c>
      <c r="C13" s="363">
        <v>0</v>
      </c>
      <c r="D13" s="363">
        <v>0</v>
      </c>
      <c r="E13" s="363">
        <v>201175</v>
      </c>
      <c r="F13" s="363">
        <v>0</v>
      </c>
      <c r="G13" s="363">
        <v>0</v>
      </c>
      <c r="H13" s="355">
        <f>SUM(F13:G13)</f>
        <v>0</v>
      </c>
      <c r="I13" s="364">
        <v>0</v>
      </c>
      <c r="J13" s="364">
        <v>0</v>
      </c>
      <c r="K13" s="364">
        <v>0</v>
      </c>
      <c r="L13" s="183"/>
      <c r="M13" s="32"/>
      <c r="N13" s="32"/>
      <c r="O13" s="32"/>
      <c r="Q13" s="459" t="s">
        <v>259</v>
      </c>
      <c r="R13" s="459" t="s">
        <v>260</v>
      </c>
      <c r="S13" s="459" t="s">
        <v>261</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13</v>
      </c>
      <c r="C14" s="356">
        <f>SUM(C11:C13)</f>
        <v>9820000</v>
      </c>
      <c r="D14" s="356">
        <f t="shared" ref="D14:I14" si="0">SUM(D11:D13)</f>
        <v>8513603</v>
      </c>
      <c r="E14" s="356">
        <f t="shared" si="0"/>
        <v>7234913</v>
      </c>
      <c r="F14" s="356">
        <f t="shared" si="0"/>
        <v>2643267</v>
      </c>
      <c r="G14" s="356">
        <f t="shared" si="0"/>
        <v>6705337</v>
      </c>
      <c r="H14" s="356">
        <f t="shared" si="0"/>
        <v>9348604</v>
      </c>
      <c r="I14" s="357">
        <f t="shared" si="0"/>
        <v>3407270</v>
      </c>
      <c r="J14" s="357">
        <f>SUM(J11:J13)</f>
        <v>6407270</v>
      </c>
      <c r="K14" s="357">
        <f>SUM(K11:K13)</f>
        <v>10407270</v>
      </c>
      <c r="L14" s="20"/>
      <c r="M14" s="32"/>
      <c r="N14" s="32"/>
      <c r="O14" s="32"/>
      <c r="Q14" s="459" t="s">
        <v>262</v>
      </c>
      <c r="R14" s="459" t="s">
        <v>263</v>
      </c>
      <c r="S14" s="459" t="s">
        <v>264</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14</v>
      </c>
      <c r="C15" s="365"/>
      <c r="D15" s="365"/>
      <c r="E15" s="365"/>
      <c r="F15" s="365"/>
      <c r="G15" s="365"/>
      <c r="H15" s="358"/>
      <c r="I15" s="366"/>
      <c r="J15" s="366"/>
      <c r="K15" s="366"/>
      <c r="L15" s="20"/>
      <c r="M15" s="32"/>
      <c r="N15" s="32"/>
      <c r="O15" s="32"/>
      <c r="Q15" s="459" t="s">
        <v>265</v>
      </c>
      <c r="R15" s="459" t="s">
        <v>266</v>
      </c>
      <c r="S15" s="459" t="s">
        <v>267</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15</v>
      </c>
      <c r="C16" s="367">
        <v>0</v>
      </c>
      <c r="D16" s="368">
        <v>0</v>
      </c>
      <c r="E16" s="369">
        <v>0</v>
      </c>
      <c r="F16" s="369">
        <v>0</v>
      </c>
      <c r="G16" s="369">
        <v>0</v>
      </c>
      <c r="H16" s="359">
        <f t="shared" ref="H16:H23" si="1">SUM(F16:G16)</f>
        <v>0</v>
      </c>
      <c r="I16" s="364">
        <v>0</v>
      </c>
      <c r="J16" s="364">
        <v>0</v>
      </c>
      <c r="K16" s="364">
        <v>0</v>
      </c>
      <c r="L16" s="20"/>
      <c r="M16" s="32"/>
      <c r="N16" s="32"/>
      <c r="O16" s="32"/>
      <c r="Q16" s="460"/>
      <c r="R16" s="460"/>
      <c r="S16" s="460"/>
      <c r="AJ16" s="7"/>
      <c r="AK16" s="7"/>
      <c r="AL16" s="7"/>
    </row>
    <row r="17" spans="1:19" ht="18.75">
      <c r="A17" s="15">
        <v>2</v>
      </c>
      <c r="B17" s="13" t="s">
        <v>16</v>
      </c>
      <c r="C17" s="367">
        <v>0</v>
      </c>
      <c r="D17" s="368">
        <v>0</v>
      </c>
      <c r="E17" s="369">
        <v>0</v>
      </c>
      <c r="F17" s="369">
        <v>0</v>
      </c>
      <c r="G17" s="369">
        <v>0</v>
      </c>
      <c r="H17" s="359">
        <f t="shared" si="1"/>
        <v>0</v>
      </c>
      <c r="I17" s="364">
        <v>0</v>
      </c>
      <c r="J17" s="364">
        <v>0</v>
      </c>
      <c r="K17" s="364">
        <v>0</v>
      </c>
      <c r="L17" s="20"/>
      <c r="M17" s="32"/>
      <c r="N17" s="32"/>
      <c r="O17" s="32"/>
      <c r="Q17" s="460"/>
      <c r="R17" s="460"/>
      <c r="S17" s="460"/>
    </row>
    <row r="18" spans="1:19" ht="18.75">
      <c r="A18" s="15">
        <v>3</v>
      </c>
      <c r="B18" s="13" t="s">
        <v>17</v>
      </c>
      <c r="C18" s="367">
        <v>0</v>
      </c>
      <c r="D18" s="368">
        <v>0</v>
      </c>
      <c r="E18" s="369">
        <v>0</v>
      </c>
      <c r="F18" s="369">
        <v>0</v>
      </c>
      <c r="G18" s="369">
        <v>0</v>
      </c>
      <c r="H18" s="359">
        <f t="shared" si="1"/>
        <v>0</v>
      </c>
      <c r="I18" s="364">
        <v>0</v>
      </c>
      <c r="J18" s="364">
        <v>0</v>
      </c>
      <c r="K18" s="364">
        <v>0</v>
      </c>
      <c r="L18" s="20"/>
      <c r="M18" s="32"/>
      <c r="N18" s="32"/>
      <c r="O18" s="32"/>
      <c r="Q18" s="460"/>
      <c r="R18" s="460"/>
      <c r="S18" s="460"/>
    </row>
    <row r="19" spans="1:19" ht="18.75">
      <c r="A19" s="15">
        <v>4</v>
      </c>
      <c r="B19" s="13" t="s">
        <v>18</v>
      </c>
      <c r="C19" s="367">
        <v>0</v>
      </c>
      <c r="D19" s="368">
        <v>0</v>
      </c>
      <c r="E19" s="369">
        <v>0</v>
      </c>
      <c r="F19" s="369">
        <v>0</v>
      </c>
      <c r="G19" s="369">
        <v>0</v>
      </c>
      <c r="H19" s="359">
        <f t="shared" si="1"/>
        <v>0</v>
      </c>
      <c r="I19" s="364">
        <v>0</v>
      </c>
      <c r="J19" s="364">
        <v>0</v>
      </c>
      <c r="K19" s="364">
        <v>0</v>
      </c>
      <c r="L19" s="20"/>
      <c r="M19" s="32"/>
      <c r="N19" s="32"/>
      <c r="O19" s="32"/>
      <c r="Q19" s="460"/>
      <c r="R19" s="460"/>
      <c r="S19" s="460"/>
    </row>
    <row r="20" spans="1:19" ht="18.75">
      <c r="A20" s="15">
        <v>5</v>
      </c>
      <c r="B20" s="13" t="s">
        <v>19</v>
      </c>
      <c r="C20" s="367">
        <v>0</v>
      </c>
      <c r="D20" s="368">
        <v>0</v>
      </c>
      <c r="E20" s="369">
        <v>0</v>
      </c>
      <c r="F20" s="369">
        <v>0</v>
      </c>
      <c r="G20" s="369">
        <v>0</v>
      </c>
      <c r="H20" s="359">
        <f t="shared" si="1"/>
        <v>0</v>
      </c>
      <c r="I20" s="364">
        <v>0</v>
      </c>
      <c r="J20" s="364">
        <v>0</v>
      </c>
      <c r="K20" s="364">
        <v>0</v>
      </c>
      <c r="L20" s="20"/>
      <c r="M20" s="32"/>
      <c r="N20" s="32"/>
      <c r="O20" s="32"/>
      <c r="Q20" s="460"/>
      <c r="R20" s="460"/>
      <c r="S20" s="460"/>
    </row>
    <row r="21" spans="1:19" ht="18.75">
      <c r="A21" s="15">
        <v>6</v>
      </c>
      <c r="B21" s="13" t="s">
        <v>20</v>
      </c>
      <c r="C21" s="367">
        <v>2500</v>
      </c>
      <c r="D21" s="368">
        <v>2485</v>
      </c>
      <c r="E21" s="369">
        <v>2500</v>
      </c>
      <c r="F21" s="369">
        <v>0</v>
      </c>
      <c r="G21" s="369">
        <v>2500</v>
      </c>
      <c r="H21" s="359">
        <f t="shared" si="1"/>
        <v>2500</v>
      </c>
      <c r="I21" s="364">
        <v>0</v>
      </c>
      <c r="J21" s="364">
        <v>0</v>
      </c>
      <c r="K21" s="364">
        <v>0</v>
      </c>
      <c r="L21" s="20"/>
      <c r="M21" s="32"/>
      <c r="N21" s="32"/>
      <c r="O21" s="32"/>
      <c r="Q21" s="460"/>
      <c r="R21" s="460"/>
      <c r="S21" s="460"/>
    </row>
    <row r="22" spans="1:19" ht="18.75">
      <c r="A22" s="15">
        <v>7</v>
      </c>
      <c r="B22" s="13" t="s">
        <v>21</v>
      </c>
      <c r="C22" s="367">
        <v>0</v>
      </c>
      <c r="D22" s="368">
        <v>0</v>
      </c>
      <c r="E22" s="369">
        <v>0</v>
      </c>
      <c r="F22" s="369">
        <v>0</v>
      </c>
      <c r="G22" s="369">
        <v>0</v>
      </c>
      <c r="H22" s="359">
        <f t="shared" si="1"/>
        <v>0</v>
      </c>
      <c r="I22" s="364">
        <v>0</v>
      </c>
      <c r="J22" s="364">
        <v>0</v>
      </c>
      <c r="K22" s="364">
        <v>0</v>
      </c>
      <c r="L22" s="20"/>
      <c r="M22" s="32"/>
      <c r="N22" s="32"/>
      <c r="O22" s="32"/>
      <c r="Q22" s="460"/>
      <c r="R22" s="460"/>
      <c r="S22" s="460"/>
    </row>
    <row r="23" spans="1:19" ht="18.75">
      <c r="A23" s="15">
        <v>8</v>
      </c>
      <c r="B23" s="13" t="s">
        <v>22</v>
      </c>
      <c r="C23" s="367">
        <v>0</v>
      </c>
      <c r="D23" s="368">
        <v>0</v>
      </c>
      <c r="E23" s="369">
        <v>0</v>
      </c>
      <c r="F23" s="369">
        <v>0</v>
      </c>
      <c r="G23" s="369">
        <v>0</v>
      </c>
      <c r="H23" s="359">
        <f t="shared" si="1"/>
        <v>0</v>
      </c>
      <c r="I23" s="364">
        <v>0</v>
      </c>
      <c r="J23" s="364">
        <v>0</v>
      </c>
      <c r="K23" s="364">
        <v>0</v>
      </c>
      <c r="L23" s="22"/>
      <c r="M23" s="32"/>
      <c r="N23" s="32"/>
      <c r="O23" s="32"/>
      <c r="Q23" s="460"/>
      <c r="R23" s="460"/>
      <c r="S23" s="460"/>
    </row>
    <row r="24" spans="1:19" ht="18.75">
      <c r="A24" s="4"/>
      <c r="B24" s="16" t="s">
        <v>23</v>
      </c>
      <c r="C24" s="358">
        <f>SUM(C16:C23)</f>
        <v>2500</v>
      </c>
      <c r="D24" s="358">
        <f t="shared" ref="D24:K24" si="2">SUM(D16:D23)</f>
        <v>2485</v>
      </c>
      <c r="E24" s="358">
        <f t="shared" si="2"/>
        <v>2500</v>
      </c>
      <c r="F24" s="358">
        <f t="shared" si="2"/>
        <v>0</v>
      </c>
      <c r="G24" s="358">
        <f t="shared" si="2"/>
        <v>2500</v>
      </c>
      <c r="H24" s="358">
        <f t="shared" si="2"/>
        <v>2500</v>
      </c>
      <c r="I24" s="358">
        <f t="shared" si="2"/>
        <v>0</v>
      </c>
      <c r="J24" s="358">
        <f t="shared" si="2"/>
        <v>0</v>
      </c>
      <c r="K24" s="358">
        <f t="shared" si="2"/>
        <v>0</v>
      </c>
      <c r="L24" s="22"/>
      <c r="M24" s="32"/>
      <c r="N24" s="32"/>
      <c r="O24" s="32"/>
      <c r="Q24" s="460"/>
      <c r="R24" s="460"/>
      <c r="S24" s="460"/>
    </row>
    <row r="25" spans="1:19" ht="18.75">
      <c r="A25" s="14">
        <v>1</v>
      </c>
      <c r="B25" s="13" t="s">
        <v>24</v>
      </c>
      <c r="C25" s="363">
        <v>0</v>
      </c>
      <c r="D25" s="363">
        <v>0</v>
      </c>
      <c r="E25" s="363">
        <v>0</v>
      </c>
      <c r="F25" s="363">
        <v>0</v>
      </c>
      <c r="G25" s="363">
        <v>0</v>
      </c>
      <c r="H25" s="359">
        <f>SUM(F25:G25)</f>
        <v>0</v>
      </c>
      <c r="I25" s="364">
        <v>0</v>
      </c>
      <c r="J25" s="364">
        <v>0</v>
      </c>
      <c r="K25" s="364">
        <v>0</v>
      </c>
      <c r="L25" s="22"/>
      <c r="M25" s="32"/>
      <c r="N25" s="32"/>
      <c r="O25" s="32"/>
    </row>
    <row r="26" spans="1:19" ht="18.75">
      <c r="A26" s="14">
        <v>2</v>
      </c>
      <c r="B26" s="13" t="s">
        <v>25</v>
      </c>
      <c r="C26" s="363">
        <v>2000</v>
      </c>
      <c r="D26" s="363">
        <v>1200</v>
      </c>
      <c r="E26" s="363">
        <v>1198</v>
      </c>
      <c r="F26" s="363">
        <v>0</v>
      </c>
      <c r="G26" s="363">
        <v>2500</v>
      </c>
      <c r="H26" s="359">
        <f>SUM(F26:G26)</f>
        <v>2500</v>
      </c>
      <c r="I26" s="364">
        <v>0</v>
      </c>
      <c r="J26" s="364">
        <v>0</v>
      </c>
      <c r="K26" s="364">
        <v>0</v>
      </c>
      <c r="L26" s="22"/>
      <c r="M26" s="32"/>
      <c r="N26" s="32"/>
      <c r="O26" s="32"/>
    </row>
    <row r="27" spans="1:19" ht="18.75">
      <c r="A27" s="14">
        <v>3</v>
      </c>
      <c r="B27" s="13" t="s">
        <v>26</v>
      </c>
      <c r="C27" s="363">
        <v>0</v>
      </c>
      <c r="D27" s="363">
        <v>0</v>
      </c>
      <c r="E27" s="363">
        <v>0</v>
      </c>
      <c r="F27" s="363">
        <v>0</v>
      </c>
      <c r="G27" s="363">
        <v>0</v>
      </c>
      <c r="H27" s="359">
        <f>SUM(F27:G27)</f>
        <v>0</v>
      </c>
      <c r="I27" s="364">
        <v>0</v>
      </c>
      <c r="J27" s="364">
        <v>0</v>
      </c>
      <c r="K27" s="364">
        <v>0</v>
      </c>
      <c r="L27" s="22"/>
      <c r="M27" s="32"/>
      <c r="N27" s="32"/>
      <c r="O27" s="32"/>
    </row>
    <row r="28" spans="1:19" ht="18.75">
      <c r="A28" s="14">
        <v>4</v>
      </c>
      <c r="B28" s="13" t="s">
        <v>27</v>
      </c>
      <c r="C28" s="363">
        <v>0</v>
      </c>
      <c r="D28" s="363">
        <v>1100</v>
      </c>
      <c r="E28" s="363">
        <v>0</v>
      </c>
      <c r="F28" s="363">
        <v>0</v>
      </c>
      <c r="G28" s="363">
        <v>0</v>
      </c>
      <c r="H28" s="359">
        <f>SUM(F28:G28)</f>
        <v>0</v>
      </c>
      <c r="I28" s="364">
        <v>0</v>
      </c>
      <c r="J28" s="364">
        <v>0</v>
      </c>
      <c r="K28" s="364">
        <v>0</v>
      </c>
      <c r="L28" s="22"/>
      <c r="M28" s="32"/>
      <c r="N28" s="32"/>
      <c r="O28" s="32"/>
    </row>
    <row r="29" spans="1:19" ht="18.75">
      <c r="A29" s="14">
        <v>5</v>
      </c>
      <c r="B29" s="13" t="s">
        <v>28</v>
      </c>
      <c r="C29" s="363">
        <v>3300</v>
      </c>
      <c r="D29" s="363">
        <v>3300</v>
      </c>
      <c r="E29" s="363">
        <v>3300</v>
      </c>
      <c r="F29" s="363">
        <v>0</v>
      </c>
      <c r="G29" s="363">
        <v>3300</v>
      </c>
      <c r="H29" s="359">
        <f>SUM(F29:G29)</f>
        <v>3300</v>
      </c>
      <c r="I29" s="364">
        <v>0</v>
      </c>
      <c r="J29" s="364">
        <v>0</v>
      </c>
      <c r="K29" s="364">
        <v>0</v>
      </c>
      <c r="L29" s="22"/>
      <c r="M29" s="32"/>
      <c r="N29" s="32"/>
      <c r="O29" s="32"/>
    </row>
    <row r="30" spans="1:19" s="326" customFormat="1" ht="18.75">
      <c r="A30" s="14">
        <v>6</v>
      </c>
      <c r="B30" s="13" t="s">
        <v>557</v>
      </c>
      <c r="C30" s="363"/>
      <c r="D30" s="363"/>
      <c r="E30" s="363"/>
      <c r="F30" s="363"/>
      <c r="G30" s="363"/>
      <c r="H30" s="359"/>
      <c r="I30" s="364"/>
      <c r="J30" s="364"/>
      <c r="K30" s="364"/>
      <c r="L30" s="22"/>
      <c r="M30" s="32"/>
      <c r="N30" s="32"/>
      <c r="O30" s="32"/>
    </row>
    <row r="31" spans="1:19" ht="18.75">
      <c r="A31" s="4"/>
      <c r="B31" s="16" t="s">
        <v>665</v>
      </c>
      <c r="C31" s="358">
        <f>SUM(C25:C30)</f>
        <v>5300</v>
      </c>
      <c r="D31" s="358">
        <f t="shared" ref="D31:I31" si="3">SUM(D25:D30)</f>
        <v>5600</v>
      </c>
      <c r="E31" s="358">
        <f t="shared" si="3"/>
        <v>4498</v>
      </c>
      <c r="F31" s="358">
        <f t="shared" si="3"/>
        <v>0</v>
      </c>
      <c r="G31" s="358">
        <f t="shared" si="3"/>
        <v>5800</v>
      </c>
      <c r="H31" s="358">
        <f t="shared" si="3"/>
        <v>5800</v>
      </c>
      <c r="I31" s="358">
        <f t="shared" si="3"/>
        <v>0</v>
      </c>
      <c r="J31" s="358">
        <f t="shared" ref="J31:K31" si="4">SUM(J25:J30)</f>
        <v>0</v>
      </c>
      <c r="K31" s="358">
        <f t="shared" si="4"/>
        <v>0</v>
      </c>
      <c r="L31" s="22"/>
      <c r="M31" s="32"/>
      <c r="N31" s="32"/>
      <c r="O31" s="32"/>
    </row>
    <row r="32" spans="1:19" ht="18.75">
      <c r="A32" s="4"/>
      <c r="B32" s="16" t="s">
        <v>29</v>
      </c>
      <c r="C32" s="358">
        <f>SUM(C31,C24)</f>
        <v>7800</v>
      </c>
      <c r="D32" s="358">
        <f t="shared" ref="D32:I32" si="5">SUM(D31,D24)</f>
        <v>8085</v>
      </c>
      <c r="E32" s="358">
        <f t="shared" si="5"/>
        <v>6998</v>
      </c>
      <c r="F32" s="358">
        <f t="shared" si="5"/>
        <v>0</v>
      </c>
      <c r="G32" s="358">
        <f t="shared" si="5"/>
        <v>8300</v>
      </c>
      <c r="H32" s="358">
        <f>SUM(H31,H24)</f>
        <v>8300</v>
      </c>
      <c r="I32" s="360">
        <f t="shared" si="5"/>
        <v>0</v>
      </c>
      <c r="J32" s="360">
        <f t="shared" ref="J32:K32" si="6">SUM(J31,J24)</f>
        <v>0</v>
      </c>
      <c r="K32" s="360">
        <f t="shared" si="6"/>
        <v>0</v>
      </c>
      <c r="L32" s="22"/>
      <c r="M32" s="32"/>
      <c r="N32" s="32"/>
      <c r="O32" s="32"/>
    </row>
    <row r="33" spans="1:15" ht="19.5" thickBot="1">
      <c r="A33" s="5"/>
      <c r="B33" s="17" t="s">
        <v>30</v>
      </c>
      <c r="C33" s="361">
        <f>SUM(C14,C32)</f>
        <v>9827800</v>
      </c>
      <c r="D33" s="361">
        <f t="shared" ref="D33:I33" si="7">SUM(D14,D32)</f>
        <v>8521688</v>
      </c>
      <c r="E33" s="361">
        <f t="shared" si="7"/>
        <v>7241911</v>
      </c>
      <c r="F33" s="361">
        <f t="shared" si="7"/>
        <v>2643267</v>
      </c>
      <c r="G33" s="361">
        <f t="shared" si="7"/>
        <v>6713637</v>
      </c>
      <c r="H33" s="361">
        <f>SUM(H14,H32)</f>
        <v>9356904</v>
      </c>
      <c r="I33" s="362">
        <f t="shared" si="7"/>
        <v>3407270</v>
      </c>
      <c r="J33" s="362">
        <f t="shared" ref="J33:K33" si="8">SUM(J14,J32)</f>
        <v>6407270</v>
      </c>
      <c r="K33" s="362">
        <f t="shared" si="8"/>
        <v>10407270</v>
      </c>
      <c r="L33" s="22"/>
      <c r="M33" s="32"/>
      <c r="N33" s="32"/>
      <c r="O33" s="32"/>
    </row>
    <row r="34" spans="1:15" ht="29.25" thickTop="1" thickBot="1">
      <c r="A34" s="791" t="s">
        <v>72</v>
      </c>
      <c r="B34" s="791"/>
      <c r="C34" s="791"/>
      <c r="D34" s="791"/>
      <c r="E34" s="791"/>
      <c r="F34" s="791"/>
      <c r="G34" s="791"/>
      <c r="H34" s="791"/>
      <c r="I34" s="791"/>
      <c r="J34" s="22"/>
      <c r="K34" s="22"/>
      <c r="L34" s="22"/>
      <c r="M34" s="32"/>
      <c r="N34" s="32"/>
      <c r="O34" s="32"/>
    </row>
    <row r="35" spans="1:15" ht="19.5" thickTop="1">
      <c r="A35" s="800" t="s">
        <v>6</v>
      </c>
      <c r="B35" s="802" t="s">
        <v>7</v>
      </c>
      <c r="C35" s="804" t="s">
        <v>31</v>
      </c>
      <c r="D35" s="804"/>
      <c r="E35" s="804"/>
      <c r="F35" s="804"/>
      <c r="G35" s="804"/>
      <c r="H35" s="804"/>
      <c r="I35" s="771"/>
      <c r="J35" s="771" t="str">
        <f>J7</f>
        <v>vxLr 2025 ls ekpZ 2026 rd dk lEHkkfor O;;</v>
      </c>
      <c r="K35" s="769" t="str">
        <f>K7</f>
        <v>o"kZ 2026&amp;27 dk vuqekfur O;;</v>
      </c>
      <c r="L35" s="22"/>
      <c r="M35" s="32"/>
      <c r="N35" s="32"/>
      <c r="O35" s="32"/>
    </row>
    <row r="36" spans="1:15" ht="30" customHeight="1">
      <c r="A36" s="801"/>
      <c r="B36" s="803"/>
      <c r="C36" s="26" t="str">
        <f>CONCATENATE((MID(Master!C4,1,4)-4),"-",(MID(Master!C4,6,2)-4))</f>
        <v>2022-23</v>
      </c>
      <c r="D36" s="26" t="str">
        <f>CONCATENATE((MID(Master!C4,1,4)-3),"-",(MID(Master!C4,6,2)-3))</f>
        <v>2023-24</v>
      </c>
      <c r="E36" s="805" t="str">
        <f>CONCATENATE((MID(Master!C4,1,4)-2),"-",(MID(Master!C4,6,2)-2))</f>
        <v>2024-25</v>
      </c>
      <c r="F36" s="806"/>
      <c r="G36" s="807"/>
      <c r="H36" s="664" t="str">
        <f>CONCATENATE((MID(Master!C4,1,4)-1),"-",(MID(Master!C4,6,2)-1))</f>
        <v>2025-26</v>
      </c>
      <c r="I36" s="808" t="s">
        <v>741</v>
      </c>
      <c r="J36" s="772"/>
      <c r="K36" s="770"/>
      <c r="L36" s="22"/>
      <c r="M36" s="32"/>
      <c r="N36" s="32"/>
      <c r="O36" s="32"/>
    </row>
    <row r="37" spans="1:15" ht="31.5" customHeight="1">
      <c r="A37" s="801"/>
      <c r="B37" s="803"/>
      <c r="C37" s="11" t="str">
        <f>CONCATENATE("vizSy ",(MID(C36,3,2))," ls ekpZ ",(MID(C36,3,2)+1)," rd")</f>
        <v>vizSy 22 ls ekpZ 23 rd</v>
      </c>
      <c r="D37" s="11" t="str">
        <f>CONCATENATE("vizSy ",(MID(D36,3,2))," ls ekpZ ",(MID(D36,3,2)+1)," rd")</f>
        <v>vizSy 23 ls ekpZ 24 rd</v>
      </c>
      <c r="E37" s="11" t="str">
        <f>CONCATENATE("vizSy ",(MID(E36,3,2))," ls tqykbZZ ",(MID(E36,3,2))," rd")</f>
        <v>vizSy 24 ls tqykbZZ 24 rd</v>
      </c>
      <c r="F37" s="11" t="str">
        <f>CONCATENATE("vxLr ",(MID(E36,3,2))," ls ekpZ ",(MID(E36,3,2)+1)," rd")</f>
        <v>vxLr 24 ls ekpZ 25 rd</v>
      </c>
      <c r="G37" s="11" t="str">
        <f>CONCATENATE("vizSy ",(MID(E36,3,2))," ls ekpZ ",(MID(E36,3,2)+1)," rd")</f>
        <v>vizSy 24 ls ekpZ 25 rd</v>
      </c>
      <c r="H37" s="687" t="str">
        <f>CONCATENATE("vizSy ",(MID(H36,3,2))," ls tqykbZ ",(MID(H36,3,2))," rd")</f>
        <v>vizSy 25 ls tqykbZ 25 rd</v>
      </c>
      <c r="I37" s="809"/>
      <c r="J37" s="772"/>
      <c r="K37" s="770"/>
      <c r="L37" s="22"/>
      <c r="M37" s="32"/>
      <c r="N37" s="32"/>
      <c r="O37" s="32"/>
    </row>
    <row r="38" spans="1:15">
      <c r="A38" s="352">
        <v>1</v>
      </c>
      <c r="B38" s="353">
        <v>2</v>
      </c>
      <c r="C38" s="353">
        <v>3</v>
      </c>
      <c r="D38" s="353">
        <v>4</v>
      </c>
      <c r="E38" s="353">
        <v>5</v>
      </c>
      <c r="F38" s="353">
        <v>6</v>
      </c>
      <c r="G38" s="353">
        <v>7</v>
      </c>
      <c r="H38" s="353">
        <v>8</v>
      </c>
      <c r="I38" s="353">
        <v>9</v>
      </c>
      <c r="J38" s="353">
        <v>10</v>
      </c>
      <c r="K38" s="353">
        <v>11</v>
      </c>
      <c r="L38" s="22"/>
      <c r="M38" s="32"/>
      <c r="N38" s="32"/>
      <c r="O38" s="32"/>
    </row>
    <row r="39" spans="1:15" ht="18.75">
      <c r="A39" s="14">
        <v>1</v>
      </c>
      <c r="B39" s="13" t="s">
        <v>32</v>
      </c>
      <c r="C39" s="363">
        <v>3380</v>
      </c>
      <c r="D39" s="363">
        <v>2505</v>
      </c>
      <c r="E39" s="363">
        <v>0</v>
      </c>
      <c r="F39" s="363">
        <f>1660+75</f>
        <v>1735</v>
      </c>
      <c r="G39" s="355">
        <f>SUM(E39:F39)</f>
        <v>1735</v>
      </c>
      <c r="H39" s="363">
        <v>1600</v>
      </c>
      <c r="I39" s="663">
        <v>8000</v>
      </c>
      <c r="J39" s="364">
        <v>2100</v>
      </c>
      <c r="K39" s="364">
        <v>9000</v>
      </c>
      <c r="L39" s="22"/>
      <c r="M39" s="32"/>
      <c r="N39" s="32"/>
      <c r="O39" s="32"/>
    </row>
    <row r="40" spans="1:15" ht="18.75">
      <c r="A40" s="14">
        <v>2</v>
      </c>
      <c r="B40" s="13" t="s">
        <v>33</v>
      </c>
      <c r="C40" s="363">
        <v>0</v>
      </c>
      <c r="D40" s="363">
        <v>0</v>
      </c>
      <c r="E40" s="363">
        <v>0</v>
      </c>
      <c r="F40" s="363">
        <v>0</v>
      </c>
      <c r="G40" s="355">
        <f>SUM(E40:F40)</f>
        <v>0</v>
      </c>
      <c r="H40" s="363">
        <v>0</v>
      </c>
      <c r="I40" s="663"/>
      <c r="J40" s="364">
        <v>0</v>
      </c>
      <c r="K40" s="364">
        <v>0</v>
      </c>
      <c r="L40" s="22"/>
      <c r="M40" s="32"/>
      <c r="N40" s="32"/>
      <c r="O40" s="32"/>
    </row>
    <row r="41" spans="1:15" ht="18.75">
      <c r="A41" s="14">
        <v>3</v>
      </c>
      <c r="B41" s="13" t="s">
        <v>34</v>
      </c>
      <c r="C41" s="363">
        <v>0</v>
      </c>
      <c r="D41" s="363">
        <v>0</v>
      </c>
      <c r="E41" s="363">
        <v>0</v>
      </c>
      <c r="F41" s="363">
        <v>0</v>
      </c>
      <c r="G41" s="355">
        <f>SUM(E41:F41)</f>
        <v>0</v>
      </c>
      <c r="H41" s="363">
        <v>0</v>
      </c>
      <c r="I41" s="663"/>
      <c r="J41" s="364">
        <v>0</v>
      </c>
      <c r="K41" s="364">
        <v>0</v>
      </c>
      <c r="L41" s="22"/>
      <c r="M41" s="32"/>
      <c r="N41" s="32"/>
      <c r="O41" s="32"/>
    </row>
    <row r="42" spans="1:15" ht="18.75">
      <c r="A42" s="14">
        <v>4</v>
      </c>
      <c r="B42" s="13" t="s">
        <v>35</v>
      </c>
      <c r="C42" s="363">
        <v>0</v>
      </c>
      <c r="D42" s="363">
        <v>0</v>
      </c>
      <c r="E42" s="363">
        <v>0</v>
      </c>
      <c r="F42" s="363">
        <v>0</v>
      </c>
      <c r="G42" s="355">
        <f>SUM(E42:F42)</f>
        <v>0</v>
      </c>
      <c r="H42" s="363">
        <v>0</v>
      </c>
      <c r="I42" s="663"/>
      <c r="J42" s="364">
        <v>0</v>
      </c>
      <c r="K42" s="364">
        <v>0</v>
      </c>
      <c r="L42" s="22"/>
      <c r="M42" s="32"/>
      <c r="N42" s="32"/>
      <c r="O42" s="32"/>
    </row>
    <row r="43" spans="1:15" ht="18.75">
      <c r="A43" s="14">
        <v>5</v>
      </c>
      <c r="B43" s="13" t="s">
        <v>36</v>
      </c>
      <c r="C43" s="363">
        <v>0</v>
      </c>
      <c r="D43" s="363">
        <v>0</v>
      </c>
      <c r="E43" s="363">
        <v>0</v>
      </c>
      <c r="F43" s="363">
        <v>0</v>
      </c>
      <c r="G43" s="355">
        <f>SUM(E43:F43)</f>
        <v>0</v>
      </c>
      <c r="H43" s="363">
        <v>0</v>
      </c>
      <c r="I43" s="663"/>
      <c r="J43" s="364">
        <v>0</v>
      </c>
      <c r="K43" s="364">
        <v>0</v>
      </c>
      <c r="L43" s="22"/>
      <c r="M43" s="32"/>
      <c r="N43" s="32"/>
      <c r="O43" s="32"/>
    </row>
    <row r="44" spans="1:15" ht="19.5" thickBot="1">
      <c r="A44" s="6"/>
      <c r="B44" s="19" t="s">
        <v>37</v>
      </c>
      <c r="C44" s="361">
        <f t="shared" ref="C44:K44" si="9">SUM(C39:C43)</f>
        <v>3380</v>
      </c>
      <c r="D44" s="361">
        <f t="shared" si="9"/>
        <v>2505</v>
      </c>
      <c r="E44" s="361">
        <f t="shared" si="9"/>
        <v>0</v>
      </c>
      <c r="F44" s="361">
        <f t="shared" si="9"/>
        <v>1735</v>
      </c>
      <c r="G44" s="361">
        <f t="shared" si="9"/>
        <v>1735</v>
      </c>
      <c r="H44" s="361">
        <f t="shared" si="9"/>
        <v>1600</v>
      </c>
      <c r="I44" s="361">
        <f t="shared" si="9"/>
        <v>8000</v>
      </c>
      <c r="J44" s="361">
        <f t="shared" si="9"/>
        <v>2100</v>
      </c>
      <c r="K44" s="361">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91" t="s">
        <v>71</v>
      </c>
      <c r="B46" s="791"/>
      <c r="C46" s="791"/>
      <c r="D46" s="791"/>
      <c r="E46" s="791"/>
      <c r="F46" s="791"/>
      <c r="G46" s="791"/>
      <c r="H46" s="791"/>
      <c r="I46" s="791"/>
      <c r="J46" s="28"/>
      <c r="K46" s="28"/>
      <c r="L46" s="28"/>
      <c r="M46" s="32"/>
      <c r="N46" s="32"/>
      <c r="O46" s="32"/>
    </row>
    <row r="47" spans="1:15" ht="19.5" thickTop="1">
      <c r="A47" s="792" t="s">
        <v>38</v>
      </c>
      <c r="B47" s="794" t="s">
        <v>754</v>
      </c>
      <c r="C47" s="795"/>
      <c r="D47" s="795"/>
      <c r="E47" s="796"/>
      <c r="F47" s="797" t="s">
        <v>755</v>
      </c>
      <c r="G47" s="794" t="s">
        <v>756</v>
      </c>
      <c r="H47" s="795"/>
      <c r="I47" s="795"/>
      <c r="J47" s="796"/>
      <c r="K47" s="769" t="s">
        <v>757</v>
      </c>
      <c r="L47" s="683"/>
      <c r="M47" s="32"/>
      <c r="N47" s="32"/>
      <c r="O47" s="32"/>
    </row>
    <row r="48" spans="1:15" ht="18.75">
      <c r="A48" s="793"/>
      <c r="B48" s="781" t="s">
        <v>541</v>
      </c>
      <c r="C48" s="782"/>
      <c r="D48" s="781" t="s">
        <v>542</v>
      </c>
      <c r="E48" s="782"/>
      <c r="F48" s="773"/>
      <c r="G48" s="781" t="s">
        <v>541</v>
      </c>
      <c r="H48" s="782"/>
      <c r="I48" s="781" t="s">
        <v>542</v>
      </c>
      <c r="J48" s="782"/>
      <c r="K48" s="770"/>
      <c r="L48" s="683"/>
      <c r="M48" s="32"/>
      <c r="N48" s="32"/>
      <c r="O48" s="32"/>
    </row>
    <row r="49" spans="1:109" ht="18.75">
      <c r="A49" s="793"/>
      <c r="B49" s="370" t="s">
        <v>39</v>
      </c>
      <c r="C49" s="370" t="s">
        <v>40</v>
      </c>
      <c r="D49" s="370" t="s">
        <v>285</v>
      </c>
      <c r="E49" s="370" t="s">
        <v>40</v>
      </c>
      <c r="F49" s="773"/>
      <c r="G49" s="370" t="s">
        <v>39</v>
      </c>
      <c r="H49" s="370" t="s">
        <v>40</v>
      </c>
      <c r="I49" s="370" t="s">
        <v>39</v>
      </c>
      <c r="J49" s="370" t="s">
        <v>40</v>
      </c>
      <c r="K49" s="770"/>
      <c r="L49" s="683"/>
      <c r="M49" s="32"/>
      <c r="N49" s="32"/>
      <c r="O49" s="32"/>
    </row>
    <row r="50" spans="1:109" ht="18.75">
      <c r="A50" s="25" t="s">
        <v>41</v>
      </c>
      <c r="B50" s="173">
        <v>36</v>
      </c>
      <c r="C50" s="371">
        <f>B50*10</f>
        <v>360</v>
      </c>
      <c r="D50" s="173">
        <v>2</v>
      </c>
      <c r="E50" s="371">
        <f>D50*5</f>
        <v>10</v>
      </c>
      <c r="F50" s="371">
        <f>SUM(C50,E50)</f>
        <v>370</v>
      </c>
      <c r="G50" s="173">
        <v>102</v>
      </c>
      <c r="H50" s="371">
        <f>G50*10</f>
        <v>1020</v>
      </c>
      <c r="I50" s="173">
        <v>5</v>
      </c>
      <c r="J50" s="371">
        <f>I50*5</f>
        <v>25</v>
      </c>
      <c r="K50" s="375">
        <f>SUM(H50,J50)</f>
        <v>1045</v>
      </c>
      <c r="L50" s="678"/>
      <c r="M50" s="32"/>
      <c r="N50" s="32"/>
      <c r="O50" s="32"/>
    </row>
    <row r="51" spans="1:109" ht="18.75">
      <c r="A51" s="25" t="s">
        <v>42</v>
      </c>
      <c r="B51" s="173">
        <v>48</v>
      </c>
      <c r="C51" s="371">
        <f>B51*10</f>
        <v>480</v>
      </c>
      <c r="D51" s="173">
        <v>13</v>
      </c>
      <c r="E51" s="371">
        <f>D51*5</f>
        <v>65</v>
      </c>
      <c r="F51" s="371">
        <f>SUM(C51,E51)</f>
        <v>545</v>
      </c>
      <c r="G51" s="173">
        <v>11</v>
      </c>
      <c r="H51" s="371">
        <f>G51*10</f>
        <v>110</v>
      </c>
      <c r="I51" s="173">
        <v>16</v>
      </c>
      <c r="J51" s="371">
        <f>I51*5</f>
        <v>80</v>
      </c>
      <c r="K51" s="375">
        <f>SUM(H51,J51)</f>
        <v>190</v>
      </c>
      <c r="L51" s="678"/>
      <c r="M51" s="32"/>
      <c r="N51" s="32"/>
      <c r="O51" s="32"/>
    </row>
    <row r="52" spans="1:109" ht="18.75">
      <c r="A52" s="25" t="s">
        <v>43</v>
      </c>
      <c r="B52" s="173">
        <v>0</v>
      </c>
      <c r="C52" s="371">
        <f>B52*10</f>
        <v>0</v>
      </c>
      <c r="D52" s="173">
        <v>0</v>
      </c>
      <c r="E52" s="371">
        <f>D52*5</f>
        <v>0</v>
      </c>
      <c r="F52" s="371">
        <f>SUM(C52,E52)</f>
        <v>0</v>
      </c>
      <c r="G52" s="173">
        <v>4</v>
      </c>
      <c r="H52" s="371">
        <f>G52*10</f>
        <v>40</v>
      </c>
      <c r="I52" s="173">
        <v>3</v>
      </c>
      <c r="J52" s="371">
        <f>I52*5</f>
        <v>15</v>
      </c>
      <c r="K52" s="375">
        <f>SUM(H52,J52)</f>
        <v>55</v>
      </c>
      <c r="L52" s="678"/>
      <c r="M52" s="32"/>
      <c r="N52" s="32"/>
      <c r="O52" s="32"/>
    </row>
    <row r="53" spans="1:109" ht="18.75">
      <c r="A53" s="25" t="s">
        <v>44</v>
      </c>
      <c r="B53" s="173">
        <v>0</v>
      </c>
      <c r="C53" s="371">
        <f>B53*10</f>
        <v>0</v>
      </c>
      <c r="D53" s="173">
        <v>0</v>
      </c>
      <c r="E53" s="371">
        <f>D53*5</f>
        <v>0</v>
      </c>
      <c r="F53" s="371">
        <f>SUM(C53,E53)</f>
        <v>0</v>
      </c>
      <c r="G53" s="173">
        <v>6</v>
      </c>
      <c r="H53" s="371">
        <f>G53*10</f>
        <v>60</v>
      </c>
      <c r="I53" s="173">
        <v>90</v>
      </c>
      <c r="J53" s="371">
        <f>I53*5</f>
        <v>450</v>
      </c>
      <c r="K53" s="375">
        <f>SUM(H53,J53)</f>
        <v>510</v>
      </c>
      <c r="L53" s="678"/>
      <c r="M53" s="32"/>
      <c r="N53" s="32"/>
      <c r="O53" s="32"/>
    </row>
    <row r="54" spans="1:109" ht="26.25" customHeight="1" thickBot="1">
      <c r="A54" s="24" t="s">
        <v>37</v>
      </c>
      <c r="B54" s="372">
        <f>SUM(B50:B53)</f>
        <v>84</v>
      </c>
      <c r="C54" s="372">
        <f>SUM(C50:C53)</f>
        <v>840</v>
      </c>
      <c r="D54" s="372">
        <f t="shared" ref="D54:K54" si="10">SUM(D50:D53)</f>
        <v>15</v>
      </c>
      <c r="E54" s="372">
        <f t="shared" si="10"/>
        <v>75</v>
      </c>
      <c r="F54" s="373">
        <f t="shared" si="10"/>
        <v>915</v>
      </c>
      <c r="G54" s="372">
        <f t="shared" si="10"/>
        <v>123</v>
      </c>
      <c r="H54" s="372">
        <f t="shared" si="10"/>
        <v>1230</v>
      </c>
      <c r="I54" s="372">
        <f t="shared" si="10"/>
        <v>114</v>
      </c>
      <c r="J54" s="372">
        <f t="shared" si="10"/>
        <v>570</v>
      </c>
      <c r="K54" s="374">
        <f t="shared" si="10"/>
        <v>1800</v>
      </c>
      <c r="L54" s="684"/>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783" t="s">
        <v>361</v>
      </c>
      <c r="B56" s="783"/>
      <c r="C56" s="783"/>
      <c r="D56" s="783"/>
      <c r="E56" s="783"/>
      <c r="F56" s="783"/>
      <c r="G56" s="783"/>
      <c r="H56" s="783"/>
      <c r="I56" s="783"/>
      <c r="J56" s="783"/>
      <c r="K56" s="783"/>
      <c r="L56" s="662"/>
      <c r="M56" s="32"/>
      <c r="N56" s="32"/>
      <c r="O56" s="32"/>
    </row>
    <row r="57" spans="1:109" ht="3.75" customHeight="1" thickBot="1">
      <c r="A57" s="22"/>
      <c r="B57" s="23"/>
      <c r="C57" s="27"/>
      <c r="D57" s="27"/>
      <c r="E57" s="22"/>
      <c r="F57" s="22"/>
      <c r="G57" s="22"/>
      <c r="H57" s="22"/>
      <c r="I57" s="22"/>
      <c r="J57" s="22"/>
      <c r="K57" s="22"/>
      <c r="L57" s="22"/>
      <c r="M57" s="32"/>
      <c r="N57" s="32"/>
      <c r="O57" s="32"/>
    </row>
    <row r="58" spans="1:109" ht="21.75" customHeight="1" thickTop="1">
      <c r="A58" s="798" t="s">
        <v>6</v>
      </c>
      <c r="B58" s="784" t="s">
        <v>45</v>
      </c>
      <c r="C58" s="777" t="s">
        <v>46</v>
      </c>
      <c r="D58" s="777" t="s">
        <v>47</v>
      </c>
      <c r="E58" s="777" t="s">
        <v>753</v>
      </c>
      <c r="F58" s="777" t="s">
        <v>49</v>
      </c>
      <c r="G58" s="777" t="s">
        <v>546</v>
      </c>
      <c r="H58" s="777" t="s">
        <v>51</v>
      </c>
      <c r="I58" s="777" t="s">
        <v>52</v>
      </c>
      <c r="J58" s="777" t="s">
        <v>545</v>
      </c>
      <c r="K58" s="779" t="s">
        <v>544</v>
      </c>
      <c r="L58" s="685"/>
      <c r="M58" s="32"/>
      <c r="N58" s="32"/>
      <c r="O58" s="32"/>
      <c r="AF58" s="835" t="s">
        <v>6</v>
      </c>
      <c r="AG58" s="832" t="s">
        <v>57</v>
      </c>
      <c r="AH58" s="833"/>
      <c r="AI58" s="833"/>
      <c r="AJ58" s="833"/>
      <c r="AK58" s="833"/>
      <c r="AL58" s="833"/>
      <c r="AM58" s="833"/>
      <c r="AN58" s="834"/>
      <c r="AO58" s="151"/>
      <c r="AP58" s="151"/>
      <c r="AQ58" s="151"/>
      <c r="AR58" s="151"/>
      <c r="AS58" s="830" t="s">
        <v>6</v>
      </c>
      <c r="AT58" s="832" t="s">
        <v>61</v>
      </c>
      <c r="AU58" s="833"/>
      <c r="AV58" s="833"/>
      <c r="AW58" s="833"/>
      <c r="AX58" s="833"/>
      <c r="AY58" s="833"/>
      <c r="AZ58" s="833"/>
      <c r="BA58" s="834"/>
      <c r="BB58" s="151"/>
      <c r="BC58" s="151"/>
      <c r="BD58" s="151"/>
      <c r="BE58" s="151"/>
      <c r="BF58" s="830" t="s">
        <v>6</v>
      </c>
      <c r="BG58" s="832" t="s">
        <v>316</v>
      </c>
      <c r="BH58" s="833"/>
      <c r="BI58" s="833"/>
      <c r="BJ58" s="833"/>
      <c r="BK58" s="833"/>
      <c r="BL58" s="833"/>
      <c r="BM58" s="833"/>
      <c r="BN58" s="834"/>
      <c r="BO58" s="151"/>
      <c r="BP58" s="151"/>
      <c r="BQ58" s="151"/>
      <c r="BR58" s="151"/>
      <c r="BS58" s="830" t="s">
        <v>6</v>
      </c>
      <c r="BT58" s="831" t="s">
        <v>317</v>
      </c>
      <c r="BU58" s="831"/>
      <c r="BV58" s="831"/>
      <c r="BW58" s="831"/>
      <c r="BX58" s="831"/>
      <c r="BY58" s="831"/>
      <c r="BZ58" s="831"/>
      <c r="CA58" s="831"/>
      <c r="CB58" s="152"/>
      <c r="CC58" s="151"/>
      <c r="CD58" s="151"/>
      <c r="CE58" s="151"/>
      <c r="CF58" s="830" t="s">
        <v>6</v>
      </c>
      <c r="CG58" s="831" t="s">
        <v>319</v>
      </c>
      <c r="CH58" s="831"/>
      <c r="CI58" s="831"/>
      <c r="CJ58" s="831"/>
      <c r="CK58" s="831"/>
      <c r="CL58" s="831"/>
      <c r="CM58" s="831"/>
      <c r="CN58" s="831"/>
      <c r="CO58" s="152"/>
      <c r="CP58" s="151"/>
      <c r="CQ58" s="151"/>
      <c r="CR58" s="151"/>
      <c r="CS58" s="830" t="s">
        <v>6</v>
      </c>
      <c r="CT58" s="831" t="s">
        <v>318</v>
      </c>
      <c r="CU58" s="831"/>
      <c r="CV58" s="831"/>
      <c r="CW58" s="831"/>
      <c r="CX58" s="831"/>
      <c r="CY58" s="831"/>
      <c r="CZ58" s="831"/>
      <c r="DA58" s="831"/>
      <c r="DB58" s="152"/>
      <c r="DC58" s="152"/>
      <c r="DD58" s="153"/>
      <c r="DE58" s="153"/>
    </row>
    <row r="59" spans="1:109" ht="32.25" customHeight="1">
      <c r="A59" s="799"/>
      <c r="B59" s="785"/>
      <c r="C59" s="778"/>
      <c r="D59" s="778"/>
      <c r="E59" s="778"/>
      <c r="F59" s="778"/>
      <c r="G59" s="778"/>
      <c r="H59" s="778"/>
      <c r="I59" s="778"/>
      <c r="J59" s="778"/>
      <c r="K59" s="780"/>
      <c r="L59" s="685"/>
      <c r="M59" s="32"/>
      <c r="N59" s="32"/>
      <c r="O59" s="32"/>
      <c r="AF59" s="836"/>
      <c r="AG59" s="154" t="s">
        <v>45</v>
      </c>
      <c r="AH59" s="155" t="s">
        <v>46</v>
      </c>
      <c r="AI59" s="155" t="s">
        <v>314</v>
      </c>
      <c r="AJ59" s="155" t="s">
        <v>48</v>
      </c>
      <c r="AK59" s="155" t="s">
        <v>49</v>
      </c>
      <c r="AL59" s="155" t="s">
        <v>50</v>
      </c>
      <c r="AM59" s="155" t="s">
        <v>51</v>
      </c>
      <c r="AN59" s="155" t="s">
        <v>52</v>
      </c>
      <c r="AO59" s="155" t="s">
        <v>172</v>
      </c>
      <c r="AP59" s="155"/>
      <c r="AQ59" s="155"/>
      <c r="AR59" s="155"/>
      <c r="AS59" s="830"/>
      <c r="AT59" s="154" t="s">
        <v>45</v>
      </c>
      <c r="AU59" s="155" t="s">
        <v>46</v>
      </c>
      <c r="AV59" s="155" t="s">
        <v>314</v>
      </c>
      <c r="AW59" s="155" t="s">
        <v>48</v>
      </c>
      <c r="AX59" s="155" t="s">
        <v>49</v>
      </c>
      <c r="AY59" s="155" t="s">
        <v>50</v>
      </c>
      <c r="AZ59" s="155" t="s">
        <v>51</v>
      </c>
      <c r="BA59" s="155" t="s">
        <v>52</v>
      </c>
      <c r="BB59" s="155" t="s">
        <v>172</v>
      </c>
      <c r="BC59" s="155"/>
      <c r="BD59" s="155"/>
      <c r="BE59" s="155"/>
      <c r="BF59" s="830"/>
      <c r="BG59" s="154" t="s">
        <v>45</v>
      </c>
      <c r="BH59" s="155" t="s">
        <v>46</v>
      </c>
      <c r="BI59" s="155" t="s">
        <v>314</v>
      </c>
      <c r="BJ59" s="155" t="s">
        <v>48</v>
      </c>
      <c r="BK59" s="155" t="s">
        <v>49</v>
      </c>
      <c r="BL59" s="156" t="s">
        <v>315</v>
      </c>
      <c r="BM59" s="155" t="s">
        <v>51</v>
      </c>
      <c r="BN59" s="155" t="s">
        <v>52</v>
      </c>
      <c r="BO59" s="155" t="s">
        <v>172</v>
      </c>
      <c r="BP59" s="155"/>
      <c r="BQ59" s="155"/>
      <c r="BR59" s="155"/>
      <c r="BS59" s="830"/>
      <c r="BT59" s="154" t="s">
        <v>45</v>
      </c>
      <c r="BU59" s="155" t="s">
        <v>46</v>
      </c>
      <c r="BV59" s="155" t="s">
        <v>314</v>
      </c>
      <c r="BW59" s="155" t="s">
        <v>48</v>
      </c>
      <c r="BX59" s="155" t="s">
        <v>49</v>
      </c>
      <c r="BY59" s="156" t="s">
        <v>315</v>
      </c>
      <c r="BZ59" s="155" t="s">
        <v>51</v>
      </c>
      <c r="CA59" s="155" t="s">
        <v>52</v>
      </c>
      <c r="CB59" s="155" t="s">
        <v>172</v>
      </c>
      <c r="CC59" s="155"/>
      <c r="CD59" s="155"/>
      <c r="CE59" s="155"/>
      <c r="CF59" s="830"/>
      <c r="CG59" s="154" t="s">
        <v>45</v>
      </c>
      <c r="CH59" s="155" t="s">
        <v>46</v>
      </c>
      <c r="CI59" s="155" t="s">
        <v>314</v>
      </c>
      <c r="CJ59" s="155" t="s">
        <v>48</v>
      </c>
      <c r="CK59" s="155" t="s">
        <v>49</v>
      </c>
      <c r="CL59" s="156" t="s">
        <v>315</v>
      </c>
      <c r="CM59" s="155" t="s">
        <v>51</v>
      </c>
      <c r="CN59" s="155" t="s">
        <v>52</v>
      </c>
      <c r="CO59" s="155" t="s">
        <v>172</v>
      </c>
      <c r="CP59" s="155"/>
      <c r="CQ59" s="155"/>
      <c r="CR59" s="155"/>
      <c r="CS59" s="830"/>
      <c r="CT59" s="154" t="s">
        <v>45</v>
      </c>
      <c r="CU59" s="155" t="s">
        <v>46</v>
      </c>
      <c r="CV59" s="155" t="s">
        <v>314</v>
      </c>
      <c r="CW59" s="155" t="s">
        <v>48</v>
      </c>
      <c r="CX59" s="155" t="s">
        <v>49</v>
      </c>
      <c r="CY59" s="156" t="s">
        <v>315</v>
      </c>
      <c r="CZ59" s="155" t="s">
        <v>51</v>
      </c>
      <c r="DA59" s="155" t="s">
        <v>52</v>
      </c>
      <c r="DB59" s="155" t="s">
        <v>172</v>
      </c>
      <c r="DC59" s="155"/>
      <c r="DD59" s="153"/>
      <c r="DE59" s="153"/>
    </row>
    <row r="60" spans="1:109" ht="18.75">
      <c r="A60" s="14">
        <v>1</v>
      </c>
      <c r="B60" s="384" t="s">
        <v>672</v>
      </c>
      <c r="C60" s="387" t="s">
        <v>53</v>
      </c>
      <c r="D60" s="379">
        <v>16</v>
      </c>
      <c r="E60" s="380">
        <v>71300</v>
      </c>
      <c r="F60" s="380" t="s">
        <v>54</v>
      </c>
      <c r="G60" s="381">
        <v>478909</v>
      </c>
      <c r="H60" s="380" t="s">
        <v>59</v>
      </c>
      <c r="I60" s="380" t="s">
        <v>56</v>
      </c>
      <c r="J60" s="380" t="s">
        <v>56</v>
      </c>
      <c r="K60" s="383" t="s">
        <v>57</v>
      </c>
      <c r="L60" s="686"/>
      <c r="M60" s="32"/>
      <c r="N60" s="32"/>
      <c r="O60" s="32"/>
      <c r="AC60" t="str">
        <f>MID(F60,5,4)</f>
        <v>1995</v>
      </c>
      <c r="AD60">
        <f>IF(D60&lt;=0,1,0)*(IF(K60="SANVIDA",0,1))</f>
        <v>0</v>
      </c>
      <c r="AE60">
        <f>IF(AND(AQ60=""),"",IF(AQ60=0,"",AQ60))</f>
        <v>1</v>
      </c>
      <c r="AF60" s="85">
        <v>1</v>
      </c>
      <c r="AG60" s="157" t="str">
        <f t="shared" ref="AG60:AI60" si="11">IF($K60="GAZETTED - REGULAR",B60,0)</f>
        <v>Jherh m"kk ikfy;k</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FEMALE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4" t="s">
        <v>779</v>
      </c>
      <c r="C61" s="387" t="s">
        <v>695</v>
      </c>
      <c r="D61" s="379">
        <v>14</v>
      </c>
      <c r="E61" s="380">
        <v>93100</v>
      </c>
      <c r="F61" s="380" t="s">
        <v>54</v>
      </c>
      <c r="G61" s="381">
        <v>110041926330</v>
      </c>
      <c r="H61" s="380" t="s">
        <v>55</v>
      </c>
      <c r="I61" s="380" t="s">
        <v>56</v>
      </c>
      <c r="J61" s="380" t="s">
        <v>56</v>
      </c>
      <c r="K61" s="383" t="s">
        <v>57</v>
      </c>
      <c r="L61" s="686"/>
      <c r="M61" s="32"/>
      <c r="N61" s="32"/>
      <c r="O61" s="32"/>
      <c r="AC61" t="str">
        <f t="shared" ref="AC61:AC110" si="24">MID(F61,5,4)</f>
        <v>1995</v>
      </c>
      <c r="AD61">
        <f t="shared" ref="AD61:AD108" si="25">IF(D61&lt;=0,1,0)*(IF(K61="SANVIDA",0,1))</f>
        <v>0</v>
      </c>
      <c r="AE61">
        <f>IF(AND(AQ61=""),"",IF(AQ61=0,"",1+(MAX(AE$60:AE60))))</f>
        <v>2</v>
      </c>
      <c r="AF61" s="160">
        <v>2</v>
      </c>
      <c r="AG61" s="157" t="str">
        <f t="shared" ref="AG61:AG109" si="26">IF($K61="GAZETTED - REGULAR",B61,0)</f>
        <v>Jh nsokuUn</v>
      </c>
      <c r="AH61" s="161" t="str">
        <f t="shared" ref="AH61:AH109" si="27">IF($K61="GAZETTED - REGULAR",C61,0)</f>
        <v>VICE-PRINCIPAL</v>
      </c>
      <c r="AI61" s="161">
        <f t="shared" ref="AI61:AI109" si="28">IF($K61="GAZETTED - REGULAR",D61,0)</f>
        <v>14</v>
      </c>
      <c r="AJ61" s="161">
        <f t="shared" ref="AJ61:AJ109" si="29">IF($K61="GAZETTED - REGULAR",E61,0)</f>
        <v>93100</v>
      </c>
      <c r="AK61" s="161" t="str">
        <f t="shared" ref="AK61:AK109" si="30">IF($K61="GAZETTED - REGULAR",F61,0)</f>
        <v>RJAJ199506021728</v>
      </c>
      <c r="AL61" s="161">
        <f t="shared" ref="AL61:AL109" si="31">IF($K61="GAZETTED - REGULAR",G61,0)</f>
        <v>110041926330</v>
      </c>
      <c r="AM61" s="161" t="str">
        <f t="shared" ref="AM61:AM109" si="32">IF($K61="GAZETTED - REGULAR",H61,0)</f>
        <v>MALE</v>
      </c>
      <c r="AN61" s="161" t="str">
        <f t="shared" ref="AN61:AN109" si="33">IF($K61="GAZETTED - REGULAR",I61,0)</f>
        <v>NO</v>
      </c>
      <c r="AO61" s="161" t="str">
        <f t="shared" ref="AO61:AO109" si="34">IF($K61="GAZETTED - REGULAR",J61,0)</f>
        <v>NO</v>
      </c>
      <c r="AP61" s="161" t="str">
        <f t="shared" ref="AP61:AP109" si="35">IF($K61="GAZETTED - REGULAR",K61,0)</f>
        <v>GAZETTED - REGULAR</v>
      </c>
      <c r="AQ61" s="161">
        <f t="shared" si="13"/>
        <v>1</v>
      </c>
      <c r="AR61" t="str">
        <f>IF(AND(BD61=""),"",IF(BD61=0,"",1+(MAX(AR$60:AR60))))</f>
        <v/>
      </c>
      <c r="AS61" s="160">
        <v>2</v>
      </c>
      <c r="AT61" s="157">
        <f t="shared" ref="AT61:BB61" si="36">IF($K61="NON GAZETTED - REGULAR",B61,0)</f>
        <v>0</v>
      </c>
      <c r="AU61" s="158">
        <f t="shared" si="36"/>
        <v>0</v>
      </c>
      <c r="AV61" s="158">
        <f t="shared" si="36"/>
        <v>0</v>
      </c>
      <c r="AW61" s="158">
        <f t="shared" si="36"/>
        <v>0</v>
      </c>
      <c r="AX61" s="158">
        <f t="shared" si="36"/>
        <v>0</v>
      </c>
      <c r="AY61" s="158">
        <f t="shared" si="36"/>
        <v>0</v>
      </c>
      <c r="AZ61" s="158">
        <f t="shared" si="36"/>
        <v>0</v>
      </c>
      <c r="BA61" s="158">
        <f t="shared" si="36"/>
        <v>0</v>
      </c>
      <c r="BB61" s="158">
        <f t="shared" si="36"/>
        <v>0</v>
      </c>
      <c r="BC61" s="158">
        <f t="shared" ref="BC61:BC109" si="37">IF($K61="NON GAZETTED - REGULAR",K61,0)</f>
        <v>0</v>
      </c>
      <c r="BD61" s="161">
        <f t="shared" si="15"/>
        <v>0</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4" t="s">
        <v>673</v>
      </c>
      <c r="C62" s="387" t="s">
        <v>60</v>
      </c>
      <c r="D62" s="379">
        <v>12</v>
      </c>
      <c r="E62" s="380">
        <v>53900</v>
      </c>
      <c r="F62" s="380" t="s">
        <v>54</v>
      </c>
      <c r="G62" s="381">
        <v>690644</v>
      </c>
      <c r="H62" s="380" t="s">
        <v>55</v>
      </c>
      <c r="I62" s="380" t="s">
        <v>56</v>
      </c>
      <c r="J62" s="380" t="s">
        <v>56</v>
      </c>
      <c r="K62" s="383" t="s">
        <v>61</v>
      </c>
      <c r="L62" s="686"/>
      <c r="M62" s="32"/>
      <c r="N62" s="32"/>
      <c r="O62" s="32"/>
      <c r="AC62" t="str">
        <f t="shared" si="24"/>
        <v>1995</v>
      </c>
      <c r="AD62">
        <f t="shared" si="25"/>
        <v>0</v>
      </c>
      <c r="AE62" t="str">
        <f>IF(AND(AQ62=""),"",IF(AQ62=0,"",1+(MAX(AE$60:AE61))))</f>
        <v/>
      </c>
      <c r="AF62" s="85">
        <v>3</v>
      </c>
      <c r="AG62" s="157">
        <f t="shared" si="26"/>
        <v>0</v>
      </c>
      <c r="AH62" s="161">
        <f t="shared" si="27"/>
        <v>0</v>
      </c>
      <c r="AI62" s="161">
        <f t="shared" si="28"/>
        <v>0</v>
      </c>
      <c r="AJ62" s="161">
        <f t="shared" si="29"/>
        <v>0</v>
      </c>
      <c r="AK62" s="161">
        <f t="shared" si="30"/>
        <v>0</v>
      </c>
      <c r="AL62" s="161">
        <f t="shared" si="31"/>
        <v>0</v>
      </c>
      <c r="AM62" s="161">
        <f t="shared" si="32"/>
        <v>0</v>
      </c>
      <c r="AN62" s="161">
        <f t="shared" si="33"/>
        <v>0</v>
      </c>
      <c r="AO62" s="161">
        <f>IF($K62="GAZETTED - REGULAR",J62,0)</f>
        <v>0</v>
      </c>
      <c r="AP62" s="161">
        <f t="shared" si="35"/>
        <v>0</v>
      </c>
      <c r="AQ62" s="161">
        <f t="shared" si="13"/>
        <v>0</v>
      </c>
      <c r="AR62">
        <f>IF(AND(BD62=""),"",IF(BD62=0,"",1+(MAX(AR$60:AR61))))</f>
        <v>1</v>
      </c>
      <c r="AS62" s="160">
        <v>3</v>
      </c>
      <c r="AT62" s="157" t="str">
        <f t="shared" ref="AT62:AT109" si="78">IF($K62="NON GAZETTED - REGULAR",B62,0)</f>
        <v>Jh lqjs'k pUn flaxkfM+;k</v>
      </c>
      <c r="AU62" s="158" t="str">
        <f t="shared" ref="AU62:AU109" si="79">IF($K62="NON GAZETTED - REGULAR",C62,0)</f>
        <v>TEACHER-II</v>
      </c>
      <c r="AV62" s="158">
        <f t="shared" ref="AV62:AV109" si="80">IF($K62="NON GAZETTED - REGULAR",D62,0)</f>
        <v>12</v>
      </c>
      <c r="AW62" s="158">
        <f t="shared" ref="AW62:AW109" si="81">IF($K62="NON GAZETTED - REGULAR",E62,0)</f>
        <v>53900</v>
      </c>
      <c r="AX62" s="158" t="str">
        <f t="shared" ref="AX62:AX109" si="82">IF($K62="NON GAZETTED - REGULAR",F62,0)</f>
        <v>RJAJ199506021728</v>
      </c>
      <c r="AY62" s="158">
        <f t="shared" ref="AY62:AY109" si="83">IF($K62="NON GAZETTED - REGULAR",G62,0)</f>
        <v>690644</v>
      </c>
      <c r="AZ62" s="158" t="str">
        <f t="shared" ref="AZ62:AZ109" si="84">IF($K62="NON GAZETTED - REGULAR",H62,0)</f>
        <v>MALE</v>
      </c>
      <c r="BA62" s="158" t="str">
        <f t="shared" ref="BA62:BA109" si="85">IF($K62="NON GAZETTED - REGULAR",I62,0)</f>
        <v>NO</v>
      </c>
      <c r="BB62" s="158" t="str">
        <f t="shared" ref="BB62:BB109" si="86">IF($K62="NON GAZETTED - REGULAR",J62,0)</f>
        <v>NO</v>
      </c>
      <c r="BC62" s="158" t="str">
        <f t="shared" si="37"/>
        <v>NON GAZETTED - REGULAR</v>
      </c>
      <c r="BD62" s="161">
        <f t="shared" si="15"/>
        <v>1</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4" t="s">
        <v>674</v>
      </c>
      <c r="C63" s="387" t="s">
        <v>60</v>
      </c>
      <c r="D63" s="379">
        <v>11</v>
      </c>
      <c r="E63" s="380">
        <v>45600</v>
      </c>
      <c r="F63" s="380" t="s">
        <v>54</v>
      </c>
      <c r="G63" s="381">
        <v>690644</v>
      </c>
      <c r="H63" s="380" t="s">
        <v>55</v>
      </c>
      <c r="I63" s="380" t="s">
        <v>56</v>
      </c>
      <c r="J63" s="380" t="s">
        <v>56</v>
      </c>
      <c r="K63" s="383" t="s">
        <v>61</v>
      </c>
      <c r="L63" s="686"/>
      <c r="M63" s="32"/>
      <c r="N63" s="32"/>
      <c r="O63" s="32"/>
      <c r="AC63" t="str">
        <f t="shared" si="24"/>
        <v>1995</v>
      </c>
      <c r="AD63">
        <f t="shared" si="25"/>
        <v>0</v>
      </c>
      <c r="AE63" t="str">
        <f>IF(AND(AQ63=""),"",IF(AQ63=0,"",1+(MAX(AE$60:AE62))))</f>
        <v/>
      </c>
      <c r="AF63" s="85">
        <v>4</v>
      </c>
      <c r="AG63" s="157">
        <f t="shared" si="26"/>
        <v>0</v>
      </c>
      <c r="AH63" s="161">
        <f t="shared" si="27"/>
        <v>0</v>
      </c>
      <c r="AI63" s="161">
        <f t="shared" si="28"/>
        <v>0</v>
      </c>
      <c r="AJ63" s="161">
        <f t="shared" si="29"/>
        <v>0</v>
      </c>
      <c r="AK63" s="161">
        <f t="shared" si="30"/>
        <v>0</v>
      </c>
      <c r="AL63" s="161">
        <f t="shared" si="31"/>
        <v>0</v>
      </c>
      <c r="AM63" s="161">
        <f t="shared" si="32"/>
        <v>0</v>
      </c>
      <c r="AN63" s="161">
        <f t="shared" si="33"/>
        <v>0</v>
      </c>
      <c r="AO63" s="161">
        <f t="shared" si="34"/>
        <v>0</v>
      </c>
      <c r="AP63" s="161">
        <f t="shared" si="35"/>
        <v>0</v>
      </c>
      <c r="AQ63" s="161">
        <f t="shared" si="13"/>
        <v>0</v>
      </c>
      <c r="AR63">
        <f>IF(AND(BD63=""),"",IF(BD63=0,"",1+(MAX(AR$60:AR62))))</f>
        <v>2</v>
      </c>
      <c r="AS63" s="160">
        <v>4</v>
      </c>
      <c r="AT63" s="157" t="str">
        <f t="shared" si="78"/>
        <v>Jh jkds'k dqekj 'kekZ</v>
      </c>
      <c r="AU63" s="158" t="str">
        <f t="shared" si="79"/>
        <v>TEACHER-II</v>
      </c>
      <c r="AV63" s="158">
        <f t="shared" si="80"/>
        <v>11</v>
      </c>
      <c r="AW63" s="158">
        <f t="shared" si="81"/>
        <v>45600</v>
      </c>
      <c r="AX63" s="158" t="str">
        <f t="shared" si="82"/>
        <v>RJAJ199506021728</v>
      </c>
      <c r="AY63" s="158">
        <f t="shared" si="83"/>
        <v>690644</v>
      </c>
      <c r="AZ63" s="158" t="str">
        <f t="shared" si="84"/>
        <v>MALE</v>
      </c>
      <c r="BA63" s="158" t="str">
        <f t="shared" si="85"/>
        <v>NO</v>
      </c>
      <c r="BB63" s="158" t="str">
        <f t="shared" si="86"/>
        <v>NO</v>
      </c>
      <c r="BC63" s="158" t="str">
        <f t="shared" si="37"/>
        <v>NON GAZETTED - REGULAR</v>
      </c>
      <c r="BD63" s="161">
        <f t="shared" si="15"/>
        <v>1</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4" t="s">
        <v>675</v>
      </c>
      <c r="C64" s="387" t="s">
        <v>60</v>
      </c>
      <c r="D64" s="379">
        <v>12</v>
      </c>
      <c r="E64" s="380">
        <v>61300</v>
      </c>
      <c r="F64" s="380" t="s">
        <v>54</v>
      </c>
      <c r="G64" s="381">
        <v>690644</v>
      </c>
      <c r="H64" s="380" t="s">
        <v>55</v>
      </c>
      <c r="I64" s="380" t="s">
        <v>56</v>
      </c>
      <c r="J64" s="380" t="s">
        <v>56</v>
      </c>
      <c r="K64" s="383" t="s">
        <v>61</v>
      </c>
      <c r="L64" s="686"/>
      <c r="M64" s="32"/>
      <c r="N64" s="32"/>
      <c r="O64" s="32"/>
      <c r="AC64" t="str">
        <f t="shared" si="24"/>
        <v>1995</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3</v>
      </c>
      <c r="AS64" s="160">
        <v>5</v>
      </c>
      <c r="AT64" s="157" t="str">
        <f t="shared" si="78"/>
        <v>Jh ghjkyky tkV</v>
      </c>
      <c r="AU64" s="158" t="str">
        <f t="shared" si="79"/>
        <v>TEACHER-II</v>
      </c>
      <c r="AV64" s="158">
        <f t="shared" si="80"/>
        <v>12</v>
      </c>
      <c r="AW64" s="158">
        <f t="shared" si="81"/>
        <v>61300</v>
      </c>
      <c r="AX64" s="158" t="str">
        <f t="shared" si="82"/>
        <v>RJAJ199506021728</v>
      </c>
      <c r="AY64" s="158">
        <f t="shared" si="83"/>
        <v>690644</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4" t="s">
        <v>676</v>
      </c>
      <c r="C65" s="387" t="s">
        <v>60</v>
      </c>
      <c r="D65" s="379">
        <v>11</v>
      </c>
      <c r="E65" s="380">
        <v>41300</v>
      </c>
      <c r="F65" s="380" t="s">
        <v>54</v>
      </c>
      <c r="G65" s="381">
        <v>110021685029</v>
      </c>
      <c r="H65" s="380" t="s">
        <v>55</v>
      </c>
      <c r="I65" s="380" t="s">
        <v>56</v>
      </c>
      <c r="J65" s="380" t="s">
        <v>56</v>
      </c>
      <c r="K65" s="383" t="s">
        <v>61</v>
      </c>
      <c r="L65" s="686"/>
      <c r="M65" s="32"/>
      <c r="N65" s="32"/>
      <c r="O65" s="32"/>
      <c r="AC65" t="str">
        <f t="shared" si="24"/>
        <v>1995</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4</v>
      </c>
      <c r="AS65" s="160">
        <v>6</v>
      </c>
      <c r="AT65" s="157" t="str">
        <f t="shared" si="78"/>
        <v>Jh 'kjn 'kekZ</v>
      </c>
      <c r="AU65" s="158" t="str">
        <f t="shared" si="79"/>
        <v>TEACHER-II</v>
      </c>
      <c r="AV65" s="158">
        <f t="shared" si="80"/>
        <v>11</v>
      </c>
      <c r="AW65" s="158">
        <f t="shared" si="81"/>
        <v>41300</v>
      </c>
      <c r="AX65" s="158" t="str">
        <f t="shared" si="82"/>
        <v>RJAJ199506021728</v>
      </c>
      <c r="AY65" s="158">
        <f t="shared" si="83"/>
        <v>110021685029</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4" t="s">
        <v>677</v>
      </c>
      <c r="C66" s="387" t="s">
        <v>60</v>
      </c>
      <c r="D66" s="379">
        <v>12</v>
      </c>
      <c r="E66" s="380">
        <v>69300</v>
      </c>
      <c r="F66" s="380" t="s">
        <v>54</v>
      </c>
      <c r="G66" s="381">
        <v>479405</v>
      </c>
      <c r="H66" s="380" t="s">
        <v>55</v>
      </c>
      <c r="I66" s="380" t="s">
        <v>56</v>
      </c>
      <c r="J66" s="380" t="s">
        <v>56</v>
      </c>
      <c r="K66" s="383" t="s">
        <v>61</v>
      </c>
      <c r="L66" s="686"/>
      <c r="M66" s="32"/>
      <c r="N66" s="32"/>
      <c r="O66" s="32"/>
      <c r="AC66" t="str">
        <f t="shared" si="24"/>
        <v>1995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5</v>
      </c>
      <c r="AS66" s="160">
        <v>7</v>
      </c>
      <c r="AT66" s="157" t="str">
        <f t="shared" si="78"/>
        <v>Jh jk/ks';ke</v>
      </c>
      <c r="AU66" s="158" t="str">
        <f t="shared" si="79"/>
        <v>TEACHER-II</v>
      </c>
      <c r="AV66" s="158">
        <f t="shared" si="80"/>
        <v>12</v>
      </c>
      <c r="AW66" s="158">
        <f t="shared" si="81"/>
        <v>69300</v>
      </c>
      <c r="AX66" s="158" t="str">
        <f t="shared" si="82"/>
        <v>RJAJ199506021728</v>
      </c>
      <c r="AY66" s="158">
        <f t="shared" si="83"/>
        <v>479405</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4" t="s">
        <v>678</v>
      </c>
      <c r="C67" s="387" t="s">
        <v>62</v>
      </c>
      <c r="D67" s="379">
        <v>10</v>
      </c>
      <c r="E67" s="380">
        <v>41100</v>
      </c>
      <c r="F67" s="380" t="s">
        <v>54</v>
      </c>
      <c r="G67" s="381">
        <v>479404</v>
      </c>
      <c r="H67" s="380" t="s">
        <v>55</v>
      </c>
      <c r="I67" s="380" t="s">
        <v>56</v>
      </c>
      <c r="J67" s="380" t="s">
        <v>56</v>
      </c>
      <c r="K67" s="383" t="s">
        <v>61</v>
      </c>
      <c r="L67" s="686"/>
      <c r="M67" s="32"/>
      <c r="N67" s="32"/>
      <c r="O67" s="32"/>
      <c r="AC67" t="str">
        <f t="shared" si="24"/>
        <v>1995</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f>IF(AND(BD67=""),"",IF(BD67=0,"",1+(MAX(AR$60:AR66))))</f>
        <v>6</v>
      </c>
      <c r="AS67" s="160">
        <v>8</v>
      </c>
      <c r="AT67" s="157" t="str">
        <f t="shared" si="78"/>
        <v>Jh izdk'k pUn</v>
      </c>
      <c r="AU67" s="158" t="str">
        <f t="shared" si="79"/>
        <v>TEACHER-III</v>
      </c>
      <c r="AV67" s="158">
        <f t="shared" si="80"/>
        <v>10</v>
      </c>
      <c r="AW67" s="158">
        <f t="shared" si="81"/>
        <v>41100</v>
      </c>
      <c r="AX67" s="158" t="str">
        <f t="shared" si="82"/>
        <v>RJAJ199506021728</v>
      </c>
      <c r="AY67" s="158">
        <f t="shared" si="83"/>
        <v>479404</v>
      </c>
      <c r="AZ67" s="158" t="str">
        <f t="shared" si="84"/>
        <v>MALE</v>
      </c>
      <c r="BA67" s="158" t="str">
        <f t="shared" si="85"/>
        <v>NO</v>
      </c>
      <c r="BB67" s="158" t="str">
        <f t="shared" si="86"/>
        <v>NO</v>
      </c>
      <c r="BC67" s="158" t="str">
        <f t="shared" si="37"/>
        <v>NON GAZETTED - REGULAR</v>
      </c>
      <c r="BD67" s="161">
        <f t="shared" si="15"/>
        <v>1</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t="str">
        <f>IF(AND(CD67=""),"",IF(CD67=0,"",1+(MAX(BR$60:BR66))))</f>
        <v/>
      </c>
      <c r="BS67" s="160">
        <v>8</v>
      </c>
      <c r="BT67" s="157">
        <f t="shared" si="48"/>
        <v>0</v>
      </c>
      <c r="BU67" s="161">
        <f t="shared" si="49"/>
        <v>0</v>
      </c>
      <c r="BV67" s="161">
        <f t="shared" si="50"/>
        <v>0</v>
      </c>
      <c r="BW67" s="161">
        <f t="shared" si="51"/>
        <v>0</v>
      </c>
      <c r="BX67" s="161">
        <f t="shared" si="52"/>
        <v>0</v>
      </c>
      <c r="BY67" s="161">
        <f t="shared" si="53"/>
        <v>0</v>
      </c>
      <c r="BZ67" s="161">
        <f t="shared" si="54"/>
        <v>0</v>
      </c>
      <c r="CA67" s="161">
        <f t="shared" si="55"/>
        <v>0</v>
      </c>
      <c r="CB67" s="161">
        <f t="shared" si="56"/>
        <v>0</v>
      </c>
      <c r="CC67" s="161">
        <f t="shared" si="57"/>
        <v>0</v>
      </c>
      <c r="CD67" s="161">
        <f t="shared" si="19"/>
        <v>0</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4" t="s">
        <v>679</v>
      </c>
      <c r="C68" s="387" t="s">
        <v>62</v>
      </c>
      <c r="D68" s="379">
        <v>11</v>
      </c>
      <c r="E68" s="380">
        <v>41100</v>
      </c>
      <c r="F68" s="380" t="s">
        <v>54</v>
      </c>
      <c r="G68" s="381">
        <v>479404</v>
      </c>
      <c r="H68" s="380" t="s">
        <v>59</v>
      </c>
      <c r="I68" s="380" t="s">
        <v>56</v>
      </c>
      <c r="J68" s="380" t="s">
        <v>56</v>
      </c>
      <c r="K68" s="383" t="s">
        <v>61</v>
      </c>
      <c r="L68" s="686"/>
      <c r="M68" s="32"/>
      <c r="N68" s="32"/>
      <c r="O68" s="32"/>
      <c r="AC68" t="str">
        <f t="shared" si="24"/>
        <v>1995</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7</v>
      </c>
      <c r="AS68" s="160">
        <v>9</v>
      </c>
      <c r="AT68" s="157" t="str">
        <f t="shared" si="78"/>
        <v>Jherh eerk yokfu;k</v>
      </c>
      <c r="AU68" s="158" t="str">
        <f t="shared" si="79"/>
        <v>TEACHER-III</v>
      </c>
      <c r="AV68" s="158">
        <f t="shared" si="80"/>
        <v>11</v>
      </c>
      <c r="AW68" s="158">
        <f t="shared" si="81"/>
        <v>41100</v>
      </c>
      <c r="AX68" s="158" t="str">
        <f t="shared" si="82"/>
        <v>RJAJ199506021728</v>
      </c>
      <c r="AY68" s="158">
        <f t="shared" si="83"/>
        <v>479404</v>
      </c>
      <c r="AZ68" s="158" t="str">
        <f t="shared" si="84"/>
        <v>FEMALE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4" t="s">
        <v>680</v>
      </c>
      <c r="C69" s="387" t="s">
        <v>62</v>
      </c>
      <c r="D69" s="379">
        <v>10</v>
      </c>
      <c r="E69" s="380">
        <v>41100</v>
      </c>
      <c r="F69" s="380" t="s">
        <v>54</v>
      </c>
      <c r="G69" s="381">
        <v>479404</v>
      </c>
      <c r="H69" s="380" t="s">
        <v>55</v>
      </c>
      <c r="I69" s="380" t="s">
        <v>56</v>
      </c>
      <c r="J69" s="380" t="s">
        <v>56</v>
      </c>
      <c r="K69" s="383" t="s">
        <v>61</v>
      </c>
      <c r="L69" s="686"/>
      <c r="M69" s="32"/>
      <c r="N69" s="32"/>
      <c r="O69" s="32"/>
      <c r="AC69" t="str">
        <f t="shared" si="24"/>
        <v>1995</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8</v>
      </c>
      <c r="AS69" s="160">
        <v>10</v>
      </c>
      <c r="AT69" s="157" t="str">
        <f t="shared" si="78"/>
        <v>Jh lEirjkt</v>
      </c>
      <c r="AU69" s="158" t="str">
        <f t="shared" si="79"/>
        <v>TEACHER-III</v>
      </c>
      <c r="AV69" s="158">
        <f t="shared" si="80"/>
        <v>10</v>
      </c>
      <c r="AW69" s="158">
        <f t="shared" si="81"/>
        <v>41100</v>
      </c>
      <c r="AX69" s="158" t="str">
        <f t="shared" si="82"/>
        <v>RJAJ199506021728</v>
      </c>
      <c r="AY69" s="158">
        <f t="shared" si="83"/>
        <v>479404</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4" t="s">
        <v>681</v>
      </c>
      <c r="C70" s="387" t="s">
        <v>62</v>
      </c>
      <c r="D70" s="379">
        <v>10</v>
      </c>
      <c r="E70" s="380">
        <v>41100</v>
      </c>
      <c r="F70" s="380" t="s">
        <v>54</v>
      </c>
      <c r="G70" s="381">
        <v>111002730880</v>
      </c>
      <c r="H70" s="380" t="s">
        <v>55</v>
      </c>
      <c r="I70" s="380" t="s">
        <v>56</v>
      </c>
      <c r="J70" s="380" t="s">
        <v>56</v>
      </c>
      <c r="K70" s="383" t="s">
        <v>61</v>
      </c>
      <c r="L70" s="686"/>
      <c r="M70" s="32"/>
      <c r="N70" s="32"/>
      <c r="O70" s="32"/>
      <c r="AC70" t="str">
        <f t="shared" si="24"/>
        <v>1995</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9</v>
      </c>
      <c r="AS70" s="160">
        <v>11</v>
      </c>
      <c r="AT70" s="157" t="str">
        <f t="shared" si="78"/>
        <v>Jh eukst ikpksjh</v>
      </c>
      <c r="AU70" s="158" t="str">
        <f t="shared" si="79"/>
        <v>TEACHER-III</v>
      </c>
      <c r="AV70" s="158">
        <f t="shared" si="80"/>
        <v>10</v>
      </c>
      <c r="AW70" s="158">
        <f t="shared" si="81"/>
        <v>41100</v>
      </c>
      <c r="AX70" s="158" t="str">
        <f t="shared" si="82"/>
        <v>RJAJ199506021728</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4" t="s">
        <v>682</v>
      </c>
      <c r="C71" s="387" t="s">
        <v>62</v>
      </c>
      <c r="D71" s="379">
        <v>10</v>
      </c>
      <c r="E71" s="380">
        <v>41100</v>
      </c>
      <c r="F71" s="380" t="s">
        <v>54</v>
      </c>
      <c r="G71" s="381">
        <v>1057886</v>
      </c>
      <c r="H71" s="380" t="s">
        <v>55</v>
      </c>
      <c r="I71" s="380" t="s">
        <v>56</v>
      </c>
      <c r="J71" s="380" t="s">
        <v>56</v>
      </c>
      <c r="K71" s="383" t="s">
        <v>61</v>
      </c>
      <c r="L71" s="686"/>
      <c r="M71" s="32"/>
      <c r="N71" s="32"/>
      <c r="O71" s="32"/>
      <c r="AC71" t="str">
        <f t="shared" si="24"/>
        <v>1995</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10</v>
      </c>
      <c r="AS71" s="160">
        <v>12</v>
      </c>
      <c r="AT71" s="157" t="str">
        <f t="shared" si="78"/>
        <v>Jh iznhiflag</v>
      </c>
      <c r="AU71" s="158" t="str">
        <f t="shared" si="79"/>
        <v>TEACHER-III</v>
      </c>
      <c r="AV71" s="158">
        <f t="shared" si="80"/>
        <v>10</v>
      </c>
      <c r="AW71" s="158">
        <f t="shared" si="81"/>
        <v>41100</v>
      </c>
      <c r="AX71" s="158" t="str">
        <f t="shared" si="82"/>
        <v>RJAJ199506021728</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4" t="s">
        <v>683</v>
      </c>
      <c r="C72" s="387" t="s">
        <v>62</v>
      </c>
      <c r="D72" s="379">
        <v>10</v>
      </c>
      <c r="E72" s="380">
        <v>41100</v>
      </c>
      <c r="F72" s="380" t="s">
        <v>54</v>
      </c>
      <c r="G72" s="381">
        <v>1057886</v>
      </c>
      <c r="H72" s="380" t="s">
        <v>55</v>
      </c>
      <c r="I72" s="380" t="s">
        <v>56</v>
      </c>
      <c r="J72" s="380" t="s">
        <v>56</v>
      </c>
      <c r="K72" s="383" t="s">
        <v>61</v>
      </c>
      <c r="L72" s="686"/>
      <c r="M72" s="32"/>
      <c r="N72" s="32"/>
      <c r="O72" s="32"/>
      <c r="AC72" t="str">
        <f t="shared" si="24"/>
        <v>1995</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f>IF(AND(BD72=""),"",IF(BD72=0,"",1+(MAX(AR$60:AR71))))</f>
        <v>11</v>
      </c>
      <c r="AS72" s="160">
        <v>13</v>
      </c>
      <c r="AT72" s="157" t="str">
        <f t="shared" si="78"/>
        <v>Jh vfHkeU;q flag</v>
      </c>
      <c r="AU72" s="158" t="str">
        <f t="shared" si="79"/>
        <v>TEACHER-III</v>
      </c>
      <c r="AV72" s="158">
        <f t="shared" si="80"/>
        <v>10</v>
      </c>
      <c r="AW72" s="158">
        <f t="shared" si="81"/>
        <v>41100</v>
      </c>
      <c r="AX72" s="158" t="str">
        <f t="shared" si="82"/>
        <v>RJAJ199506021728</v>
      </c>
      <c r="AY72" s="158">
        <f t="shared" si="83"/>
        <v>1057886</v>
      </c>
      <c r="AZ72" s="158" t="str">
        <f t="shared" si="84"/>
        <v>MALE</v>
      </c>
      <c r="BA72" s="158" t="str">
        <f t="shared" si="85"/>
        <v>NO</v>
      </c>
      <c r="BB72" s="158" t="str">
        <f t="shared" si="86"/>
        <v>NO</v>
      </c>
      <c r="BC72" s="158" t="str">
        <f t="shared" si="37"/>
        <v>NON GAZETTED - REGULAR</v>
      </c>
      <c r="BD72" s="161">
        <f t="shared" si="15"/>
        <v>1</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t="str">
        <f>IF(AND(CD72=""),"",IF(CD72=0,"",1+(MAX(BR$60:BR71))))</f>
        <v/>
      </c>
      <c r="BS72" s="160">
        <v>13</v>
      </c>
      <c r="BT72" s="157">
        <f t="shared" si="48"/>
        <v>0</v>
      </c>
      <c r="BU72" s="161">
        <f t="shared" si="49"/>
        <v>0</v>
      </c>
      <c r="BV72" s="161">
        <f t="shared" si="50"/>
        <v>0</v>
      </c>
      <c r="BW72" s="161">
        <f t="shared" si="51"/>
        <v>0</v>
      </c>
      <c r="BX72" s="161">
        <f t="shared" si="52"/>
        <v>0</v>
      </c>
      <c r="BY72" s="161">
        <f t="shared" si="53"/>
        <v>0</v>
      </c>
      <c r="BZ72" s="161">
        <f t="shared" si="54"/>
        <v>0</v>
      </c>
      <c r="CA72" s="161">
        <f t="shared" si="55"/>
        <v>0</v>
      </c>
      <c r="CB72" s="161">
        <f t="shared" si="56"/>
        <v>0</v>
      </c>
      <c r="CC72" s="161">
        <f t="shared" si="57"/>
        <v>0</v>
      </c>
      <c r="CD72" s="161">
        <f t="shared" si="19"/>
        <v>0</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4" t="s">
        <v>684</v>
      </c>
      <c r="C73" s="387" t="s">
        <v>62</v>
      </c>
      <c r="D73" s="379">
        <v>10</v>
      </c>
      <c r="E73" s="380">
        <v>41100</v>
      </c>
      <c r="F73" s="380" t="s">
        <v>54</v>
      </c>
      <c r="G73" s="381">
        <v>1057886</v>
      </c>
      <c r="H73" s="380" t="s">
        <v>55</v>
      </c>
      <c r="I73" s="380" t="s">
        <v>56</v>
      </c>
      <c r="J73" s="380" t="s">
        <v>56</v>
      </c>
      <c r="K73" s="383" t="s">
        <v>61</v>
      </c>
      <c r="L73" s="686"/>
      <c r="M73" s="32"/>
      <c r="N73" s="32"/>
      <c r="O73" s="32"/>
      <c r="AC73" t="str">
        <f t="shared" si="24"/>
        <v>1995</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12</v>
      </c>
      <c r="AS73" s="160">
        <v>14</v>
      </c>
      <c r="AT73" s="157" t="str">
        <f t="shared" si="78"/>
        <v>Jh iq"isUn toM+k</v>
      </c>
      <c r="AU73" s="158" t="str">
        <f t="shared" si="79"/>
        <v>TEACHER-III</v>
      </c>
      <c r="AV73" s="158">
        <f t="shared" si="80"/>
        <v>10</v>
      </c>
      <c r="AW73" s="158">
        <f t="shared" si="81"/>
        <v>41100</v>
      </c>
      <c r="AX73" s="158" t="str">
        <f t="shared" si="82"/>
        <v>RJAJ199506021728</v>
      </c>
      <c r="AY73" s="158">
        <f t="shared" si="83"/>
        <v>1057886</v>
      </c>
      <c r="AZ73" s="158" t="str">
        <f t="shared" si="84"/>
        <v>MALE</v>
      </c>
      <c r="BA73" s="158" t="str">
        <f t="shared" si="85"/>
        <v>NO</v>
      </c>
      <c r="BB73" s="158" t="str">
        <f t="shared" si="86"/>
        <v>NO</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4" t="s">
        <v>685</v>
      </c>
      <c r="C74" s="387" t="s">
        <v>62</v>
      </c>
      <c r="D74" s="379">
        <v>10</v>
      </c>
      <c r="E74" s="380">
        <v>34600</v>
      </c>
      <c r="F74" s="380" t="s">
        <v>54</v>
      </c>
      <c r="G74" s="381">
        <v>1057886</v>
      </c>
      <c r="H74" s="380" t="s">
        <v>55</v>
      </c>
      <c r="I74" s="380" t="s">
        <v>56</v>
      </c>
      <c r="J74" s="380" t="s">
        <v>56</v>
      </c>
      <c r="K74" s="383" t="s">
        <v>319</v>
      </c>
      <c r="L74" s="686"/>
      <c r="M74" s="32"/>
      <c r="N74" s="32"/>
      <c r="O74" s="32"/>
      <c r="AC74" t="str">
        <f t="shared" si="24"/>
        <v>1995</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t="str">
        <f>IF(AND(BD74=""),"",IF(BD74=0,"",1+(MAX(AR$60:AR73))))</f>
        <v/>
      </c>
      <c r="AS74" s="160">
        <v>15</v>
      </c>
      <c r="AT74" s="157">
        <f t="shared" si="78"/>
        <v>0</v>
      </c>
      <c r="AU74" s="158">
        <f t="shared" si="79"/>
        <v>0</v>
      </c>
      <c r="AV74" s="158">
        <f t="shared" si="80"/>
        <v>0</v>
      </c>
      <c r="AW74" s="158">
        <f t="shared" si="81"/>
        <v>0</v>
      </c>
      <c r="AX74" s="158">
        <f t="shared" si="82"/>
        <v>0</v>
      </c>
      <c r="AY74" s="158">
        <f t="shared" si="83"/>
        <v>0</v>
      </c>
      <c r="AZ74" s="158">
        <f t="shared" si="84"/>
        <v>0</v>
      </c>
      <c r="BA74" s="158">
        <f t="shared" si="85"/>
        <v>0</v>
      </c>
      <c r="BB74" s="158">
        <f t="shared" si="86"/>
        <v>0</v>
      </c>
      <c r="BC74" s="158">
        <f t="shared" si="37"/>
        <v>0</v>
      </c>
      <c r="BD74" s="161">
        <f t="shared" si="15"/>
        <v>0</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f>IF(AND(CQ74=""),"",IF(CQ74=0,"",1+(MAX(CE$60:CE73))))</f>
        <v>1</v>
      </c>
      <c r="CF74" s="85">
        <v>15</v>
      </c>
      <c r="CG74" s="157" t="str">
        <f t="shared" si="58"/>
        <v>Jh lq[kohjflag</v>
      </c>
      <c r="CH74" s="161" t="str">
        <f t="shared" si="59"/>
        <v>TEACHER-III</v>
      </c>
      <c r="CI74" s="161">
        <f t="shared" si="60"/>
        <v>10</v>
      </c>
      <c r="CJ74" s="161">
        <f t="shared" si="61"/>
        <v>34600</v>
      </c>
      <c r="CK74" s="161" t="str">
        <f t="shared" si="62"/>
        <v>RJAJ199506021728</v>
      </c>
      <c r="CL74" s="161">
        <f t="shared" si="63"/>
        <v>1057886</v>
      </c>
      <c r="CM74" s="161" t="str">
        <f t="shared" si="64"/>
        <v>MALE</v>
      </c>
      <c r="CN74" s="161" t="str">
        <f t="shared" si="65"/>
        <v>NO</v>
      </c>
      <c r="CO74" s="161" t="str">
        <f t="shared" si="66"/>
        <v>NO</v>
      </c>
      <c r="CP74" s="161" t="str">
        <f t="shared" si="67"/>
        <v>GAZETTED - SANVIDA</v>
      </c>
      <c r="CQ74" s="161">
        <f t="shared" si="21"/>
        <v>1</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4" t="s">
        <v>686</v>
      </c>
      <c r="C75" s="387" t="s">
        <v>214</v>
      </c>
      <c r="D75" s="379">
        <v>10</v>
      </c>
      <c r="E75" s="380">
        <v>34600</v>
      </c>
      <c r="F75" s="380" t="s">
        <v>54</v>
      </c>
      <c r="G75" s="381">
        <v>1057886</v>
      </c>
      <c r="H75" s="380" t="s">
        <v>55</v>
      </c>
      <c r="I75" s="380" t="s">
        <v>56</v>
      </c>
      <c r="J75" s="380" t="s">
        <v>56</v>
      </c>
      <c r="K75" s="383" t="s">
        <v>318</v>
      </c>
      <c r="L75" s="686"/>
      <c r="M75" s="32"/>
      <c r="N75" s="32"/>
      <c r="O75" s="32"/>
      <c r="AC75" t="str">
        <f t="shared" si="24"/>
        <v>1995</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f t="shared" si="13"/>
        <v>0</v>
      </c>
      <c r="AR75" t="str">
        <f>IF(AND(BD75=""),"",IF(BD75=0,"",1+(MAX(AR$60:AR74))))</f>
        <v/>
      </c>
      <c r="AS75" s="160">
        <v>16</v>
      </c>
      <c r="AT75" s="157">
        <f t="shared" si="78"/>
        <v>0</v>
      </c>
      <c r="AU75" s="158">
        <f t="shared" si="79"/>
        <v>0</v>
      </c>
      <c r="AV75" s="158">
        <f t="shared" si="80"/>
        <v>0</v>
      </c>
      <c r="AW75" s="158">
        <f t="shared" si="81"/>
        <v>0</v>
      </c>
      <c r="AX75" s="158">
        <f t="shared" si="82"/>
        <v>0</v>
      </c>
      <c r="AY75" s="158">
        <f t="shared" si="83"/>
        <v>0</v>
      </c>
      <c r="AZ75" s="158">
        <f t="shared" si="84"/>
        <v>0</v>
      </c>
      <c r="BA75" s="158">
        <f t="shared" si="85"/>
        <v>0</v>
      </c>
      <c r="BB75" s="158">
        <f t="shared" si="86"/>
        <v>0</v>
      </c>
      <c r="BC75" s="158">
        <f t="shared" si="37"/>
        <v>0</v>
      </c>
      <c r="BD75" s="161">
        <f t="shared" si="15"/>
        <v>0</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f t="shared" si="17"/>
        <v>0</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f t="shared" si="19"/>
        <v>0</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f t="shared" si="21"/>
        <v>0</v>
      </c>
      <c r="CR75">
        <f>IF(AND(DD75=""),"",IF(DD75=0,"",1+(MAX(CR$60:CR74))))</f>
        <v>1</v>
      </c>
      <c r="CS75" s="160">
        <v>16</v>
      </c>
      <c r="CT75" s="157" t="str">
        <f t="shared" si="68"/>
        <v>Jh izoh.k lksyadh</v>
      </c>
      <c r="CU75" s="161" t="str">
        <f t="shared" si="69"/>
        <v>LIBRARIAN III</v>
      </c>
      <c r="CV75" s="161">
        <f t="shared" si="70"/>
        <v>10</v>
      </c>
      <c r="CW75" s="161">
        <f t="shared" si="71"/>
        <v>34600</v>
      </c>
      <c r="CX75" s="161" t="str">
        <f t="shared" si="72"/>
        <v>RJAJ199506021728</v>
      </c>
      <c r="CY75" s="161">
        <f t="shared" si="73"/>
        <v>1057886</v>
      </c>
      <c r="CZ75" s="161" t="str">
        <f t="shared" si="74"/>
        <v>MALE</v>
      </c>
      <c r="DA75" s="161" t="str">
        <f t="shared" si="75"/>
        <v>NO</v>
      </c>
      <c r="DB75" s="161" t="str">
        <f t="shared" si="76"/>
        <v>NO</v>
      </c>
      <c r="DC75" s="161" t="str">
        <f t="shared" si="77"/>
        <v>NON GAZETTED - SANVIDA</v>
      </c>
      <c r="DD75" s="161">
        <f t="shared" si="23"/>
        <v>1</v>
      </c>
    </row>
    <row r="76" spans="1:108" ht="18.75">
      <c r="A76" s="14">
        <v>17</v>
      </c>
      <c r="B76" s="384" t="s">
        <v>687</v>
      </c>
      <c r="C76" s="387" t="s">
        <v>217</v>
      </c>
      <c r="D76" s="379">
        <v>13</v>
      </c>
      <c r="E76" s="380">
        <v>34600</v>
      </c>
      <c r="F76" s="380" t="s">
        <v>54</v>
      </c>
      <c r="G76" s="381">
        <v>1057886</v>
      </c>
      <c r="H76" s="380" t="s">
        <v>59</v>
      </c>
      <c r="I76" s="380" t="s">
        <v>56</v>
      </c>
      <c r="J76" s="380" t="s">
        <v>56</v>
      </c>
      <c r="K76" s="383" t="s">
        <v>61</v>
      </c>
      <c r="L76" s="686"/>
      <c r="M76" s="32"/>
      <c r="N76" s="32"/>
      <c r="O76" s="32"/>
      <c r="AC76" t="str">
        <f t="shared" si="24"/>
        <v>1995</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f t="shared" si="13"/>
        <v>0</v>
      </c>
      <c r="AR76">
        <f>IF(AND(BD76=""),"",IF(BD76=0,"",1+(MAX(AR$60:AR75))))</f>
        <v>13</v>
      </c>
      <c r="AS76" s="160">
        <v>17</v>
      </c>
      <c r="AT76" s="157" t="str">
        <f t="shared" si="78"/>
        <v>Jherh 'kkjnk pkS/kjh</v>
      </c>
      <c r="AU76" s="158" t="str">
        <f t="shared" si="79"/>
        <v>PTI  III</v>
      </c>
      <c r="AV76" s="158">
        <f t="shared" si="80"/>
        <v>13</v>
      </c>
      <c r="AW76" s="158">
        <f t="shared" si="81"/>
        <v>34600</v>
      </c>
      <c r="AX76" s="158" t="str">
        <f t="shared" si="82"/>
        <v>RJAJ199506021728</v>
      </c>
      <c r="AY76" s="158">
        <f t="shared" si="83"/>
        <v>1057886</v>
      </c>
      <c r="AZ76" s="158" t="str">
        <f t="shared" si="84"/>
        <v>FEMALE</v>
      </c>
      <c r="BA76" s="158" t="str">
        <f t="shared" si="85"/>
        <v>NO</v>
      </c>
      <c r="BB76" s="158" t="str">
        <f t="shared" si="86"/>
        <v>NO</v>
      </c>
      <c r="BC76" s="158" t="str">
        <f t="shared" si="37"/>
        <v>NON GAZETTED - REGULAR</v>
      </c>
      <c r="BD76" s="161">
        <f t="shared" si="15"/>
        <v>1</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f t="shared" si="17"/>
        <v>0</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f t="shared" si="19"/>
        <v>0</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f t="shared" si="21"/>
        <v>0</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f t="shared" si="23"/>
        <v>0</v>
      </c>
    </row>
    <row r="77" spans="1:108" ht="18.75">
      <c r="A77" s="14">
        <v>18</v>
      </c>
      <c r="B77" s="384" t="s">
        <v>688</v>
      </c>
      <c r="C77" s="387" t="s">
        <v>221</v>
      </c>
      <c r="D77" s="379">
        <v>8</v>
      </c>
      <c r="E77" s="380">
        <v>34600</v>
      </c>
      <c r="F77" s="380" t="s">
        <v>54</v>
      </c>
      <c r="G77" s="381">
        <v>1057886</v>
      </c>
      <c r="H77" s="380" t="s">
        <v>55</v>
      </c>
      <c r="I77" s="380" t="s">
        <v>56</v>
      </c>
      <c r="J77" s="380" t="s">
        <v>56</v>
      </c>
      <c r="K77" s="383" t="s">
        <v>61</v>
      </c>
      <c r="L77" s="686"/>
      <c r="M77" s="32"/>
      <c r="N77" s="32"/>
      <c r="O77" s="32"/>
      <c r="AC77" t="str">
        <f t="shared" si="24"/>
        <v>1995</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f t="shared" si="13"/>
        <v>0</v>
      </c>
      <c r="AR77">
        <f>IF(AND(BD77=""),"",IF(BD77=0,"",1+(MAX(AR$60:AR76))))</f>
        <v>14</v>
      </c>
      <c r="AS77" s="160">
        <v>18</v>
      </c>
      <c r="AT77" s="157" t="str">
        <f t="shared" si="78"/>
        <v>Jh eqds'k dqekj</v>
      </c>
      <c r="AU77" s="158" t="str">
        <f t="shared" si="79"/>
        <v>LAB ASST</v>
      </c>
      <c r="AV77" s="158">
        <f t="shared" si="80"/>
        <v>8</v>
      </c>
      <c r="AW77" s="158">
        <f t="shared" si="81"/>
        <v>34600</v>
      </c>
      <c r="AX77" s="158" t="str">
        <f t="shared" si="82"/>
        <v>RJAJ199506021728</v>
      </c>
      <c r="AY77" s="158">
        <f t="shared" si="83"/>
        <v>1057886</v>
      </c>
      <c r="AZ77" s="158" t="str">
        <f t="shared" si="84"/>
        <v>MALE</v>
      </c>
      <c r="BA77" s="158" t="str">
        <f t="shared" si="85"/>
        <v>NO</v>
      </c>
      <c r="BB77" s="158" t="str">
        <f t="shared" si="86"/>
        <v>NO</v>
      </c>
      <c r="BC77" s="158" t="str">
        <f t="shared" si="37"/>
        <v>NON GAZETTED - REGULAR</v>
      </c>
      <c r="BD77" s="161">
        <f t="shared" si="15"/>
        <v>1</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f t="shared" si="17"/>
        <v>0</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f t="shared" si="19"/>
        <v>0</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f t="shared" si="21"/>
        <v>0</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f t="shared" si="23"/>
        <v>0</v>
      </c>
    </row>
    <row r="78" spans="1:108" ht="18.75">
      <c r="A78" s="14">
        <v>19</v>
      </c>
      <c r="B78" s="384" t="s">
        <v>743</v>
      </c>
      <c r="C78" s="387" t="s">
        <v>64</v>
      </c>
      <c r="D78" s="379">
        <v>9</v>
      </c>
      <c r="E78" s="380">
        <v>34600</v>
      </c>
      <c r="F78" s="380" t="s">
        <v>54</v>
      </c>
      <c r="G78" s="381">
        <v>1057886</v>
      </c>
      <c r="H78" s="380" t="s">
        <v>55</v>
      </c>
      <c r="I78" s="380" t="s">
        <v>56</v>
      </c>
      <c r="J78" s="380" t="s">
        <v>56</v>
      </c>
      <c r="K78" s="383" t="s">
        <v>61</v>
      </c>
      <c r="L78" s="686"/>
      <c r="M78" s="32"/>
      <c r="N78" s="32"/>
      <c r="O78" s="32"/>
      <c r="AC78" t="str">
        <f t="shared" si="24"/>
        <v>1995</v>
      </c>
      <c r="AD78">
        <f t="shared" si="25"/>
        <v>0</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f t="shared" si="13"/>
        <v>0</v>
      </c>
      <c r="AR78">
        <f>IF(AND(BD78=""),"",IF(BD78=0,"",1+(MAX(AR$60:AR77))))</f>
        <v>15</v>
      </c>
      <c r="AS78" s="160">
        <v>19</v>
      </c>
      <c r="AT78" s="157" t="str">
        <f t="shared" si="78"/>
        <v xml:space="preserve">Jh cgknqj jke </v>
      </c>
      <c r="AU78" s="158" t="str">
        <f t="shared" si="79"/>
        <v>CLERK GRADE II</v>
      </c>
      <c r="AV78" s="158">
        <f t="shared" si="80"/>
        <v>9</v>
      </c>
      <c r="AW78" s="158">
        <f t="shared" si="81"/>
        <v>34600</v>
      </c>
      <c r="AX78" s="158" t="str">
        <f t="shared" si="82"/>
        <v>RJAJ199506021728</v>
      </c>
      <c r="AY78" s="158">
        <f t="shared" si="83"/>
        <v>1057886</v>
      </c>
      <c r="AZ78" s="158" t="str">
        <f t="shared" si="84"/>
        <v>MALE</v>
      </c>
      <c r="BA78" s="158" t="str">
        <f t="shared" si="85"/>
        <v>NO</v>
      </c>
      <c r="BB78" s="158" t="str">
        <f t="shared" si="86"/>
        <v>NO</v>
      </c>
      <c r="BC78" s="158" t="str">
        <f t="shared" si="37"/>
        <v>NON GAZETTED - REGULAR</v>
      </c>
      <c r="BD78" s="161">
        <f t="shared" si="15"/>
        <v>1</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f t="shared" si="17"/>
        <v>0</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f t="shared" si="19"/>
        <v>0</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f t="shared" si="21"/>
        <v>0</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f t="shared" si="23"/>
        <v>0</v>
      </c>
    </row>
    <row r="79" spans="1:108" ht="18.75">
      <c r="A79" s="14">
        <v>20</v>
      </c>
      <c r="B79" s="384" t="s">
        <v>742</v>
      </c>
      <c r="C79" s="387" t="s">
        <v>554</v>
      </c>
      <c r="D79" s="379">
        <v>5</v>
      </c>
      <c r="E79" s="380">
        <v>34600</v>
      </c>
      <c r="F79" s="380" t="s">
        <v>54</v>
      </c>
      <c r="G79" s="381">
        <v>1057886</v>
      </c>
      <c r="H79" s="380" t="s">
        <v>55</v>
      </c>
      <c r="I79" s="380" t="s">
        <v>56</v>
      </c>
      <c r="J79" s="380" t="s">
        <v>56</v>
      </c>
      <c r="K79" s="383" t="s">
        <v>61</v>
      </c>
      <c r="L79" s="686"/>
      <c r="M79" s="32"/>
      <c r="N79" s="32"/>
      <c r="O79" s="32"/>
      <c r="AC79" t="str">
        <f t="shared" si="24"/>
        <v>1995</v>
      </c>
      <c r="AD79">
        <f t="shared" si="25"/>
        <v>0</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f t="shared" si="13"/>
        <v>0</v>
      </c>
      <c r="AR79">
        <f>IF(AND(BD79=""),"",IF(BD79=0,"",1+(MAX(AR$60:AR78))))</f>
        <v>16</v>
      </c>
      <c r="AS79" s="160">
        <v>20</v>
      </c>
      <c r="AT79" s="157" t="str">
        <f t="shared" si="78"/>
        <v xml:space="preserve">Jh gseUr vkgqtk </v>
      </c>
      <c r="AU79" s="158" t="str">
        <f t="shared" si="79"/>
        <v>CLERK GRADE III</v>
      </c>
      <c r="AV79" s="158">
        <f t="shared" si="80"/>
        <v>5</v>
      </c>
      <c r="AW79" s="158">
        <f t="shared" si="81"/>
        <v>34600</v>
      </c>
      <c r="AX79" s="158" t="str">
        <f t="shared" si="82"/>
        <v>RJAJ199506021728</v>
      </c>
      <c r="AY79" s="158">
        <f t="shared" si="83"/>
        <v>1057886</v>
      </c>
      <c r="AZ79" s="158" t="str">
        <f t="shared" si="84"/>
        <v>MALE</v>
      </c>
      <c r="BA79" s="158" t="str">
        <f t="shared" si="85"/>
        <v>NO</v>
      </c>
      <c r="BB79" s="158" t="str">
        <f t="shared" si="86"/>
        <v>NO</v>
      </c>
      <c r="BC79" s="158" t="str">
        <f t="shared" si="37"/>
        <v>NON GAZETTED - REGULAR</v>
      </c>
      <c r="BD79" s="161">
        <f t="shared" si="15"/>
        <v>1</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f t="shared" si="17"/>
        <v>0</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f t="shared" si="19"/>
        <v>0</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f t="shared" si="21"/>
        <v>0</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f t="shared" si="23"/>
        <v>0</v>
      </c>
    </row>
    <row r="80" spans="1:108" ht="18.75">
      <c r="A80" s="14">
        <v>21</v>
      </c>
      <c r="B80" s="384" t="s">
        <v>783</v>
      </c>
      <c r="C80" s="387" t="s">
        <v>553</v>
      </c>
      <c r="D80" s="379">
        <v>12</v>
      </c>
      <c r="E80" s="380">
        <v>46100</v>
      </c>
      <c r="F80" s="380" t="s">
        <v>54</v>
      </c>
      <c r="G80" s="381">
        <v>1057886</v>
      </c>
      <c r="H80" s="380" t="s">
        <v>59</v>
      </c>
      <c r="I80" s="380" t="s">
        <v>56</v>
      </c>
      <c r="J80" s="380" t="s">
        <v>56</v>
      </c>
      <c r="K80" s="383" t="s">
        <v>57</v>
      </c>
      <c r="L80" s="686"/>
      <c r="M80" s="32"/>
      <c r="N80" s="32"/>
      <c r="O80" s="32"/>
      <c r="AC80" t="str">
        <f t="shared" si="24"/>
        <v>1995</v>
      </c>
      <c r="AD80">
        <f t="shared" si="25"/>
        <v>0</v>
      </c>
      <c r="AE80">
        <f>IF(AND(AQ80=""),"",IF(AQ80=0,"",1+(MAX(AE$60:AE79))))</f>
        <v>3</v>
      </c>
      <c r="AF80" s="85">
        <v>21</v>
      </c>
      <c r="AG80" s="157" t="str">
        <f t="shared" si="26"/>
        <v>Jherh lhek</v>
      </c>
      <c r="AH80" s="161" t="str">
        <f t="shared" si="27"/>
        <v>LECTURER</v>
      </c>
      <c r="AI80" s="161">
        <f t="shared" si="28"/>
        <v>12</v>
      </c>
      <c r="AJ80" s="161">
        <f t="shared" si="29"/>
        <v>46100</v>
      </c>
      <c r="AK80" s="161" t="str">
        <f t="shared" si="30"/>
        <v>RJAJ199506021728</v>
      </c>
      <c r="AL80" s="161">
        <f t="shared" si="31"/>
        <v>1057886</v>
      </c>
      <c r="AM80" s="161" t="str">
        <f t="shared" si="32"/>
        <v>FEMALE</v>
      </c>
      <c r="AN80" s="161" t="str">
        <f t="shared" si="33"/>
        <v>NO</v>
      </c>
      <c r="AO80" s="161" t="str">
        <f t="shared" si="34"/>
        <v>NO</v>
      </c>
      <c r="AP80" s="161" t="str">
        <f t="shared" si="35"/>
        <v>GAZETTED - REGULAR</v>
      </c>
      <c r="AQ80" s="161">
        <f t="shared" si="13"/>
        <v>1</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f t="shared" si="15"/>
        <v>0</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f t="shared" si="17"/>
        <v>0</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f t="shared" si="19"/>
        <v>0</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f t="shared" si="21"/>
        <v>0</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f t="shared" si="23"/>
        <v>0</v>
      </c>
    </row>
    <row r="81" spans="1:108" ht="18.75">
      <c r="A81" s="14">
        <v>22</v>
      </c>
      <c r="B81" s="384" t="s">
        <v>689</v>
      </c>
      <c r="C81" s="387" t="s">
        <v>553</v>
      </c>
      <c r="D81" s="379">
        <v>12</v>
      </c>
      <c r="E81" s="380"/>
      <c r="F81" s="380"/>
      <c r="G81" s="381"/>
      <c r="H81" s="380"/>
      <c r="I81" s="380"/>
      <c r="J81" s="380"/>
      <c r="K81" s="383"/>
      <c r="L81" s="686"/>
      <c r="M81" s="32"/>
      <c r="N81" s="32"/>
      <c r="O81" s="32"/>
      <c r="AC81" t="str">
        <f t="shared" si="24"/>
        <v/>
      </c>
      <c r="AD81">
        <f t="shared" si="25"/>
        <v>0</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4" t="s">
        <v>689</v>
      </c>
      <c r="C82" s="387" t="s">
        <v>553</v>
      </c>
      <c r="D82" s="379">
        <v>12</v>
      </c>
      <c r="E82" s="380"/>
      <c r="F82" s="380"/>
      <c r="G82" s="381"/>
      <c r="H82" s="380"/>
      <c r="I82" s="380"/>
      <c r="J82" s="380"/>
      <c r="K82" s="383"/>
      <c r="L82" s="686"/>
      <c r="M82" s="32"/>
      <c r="N82" s="32"/>
      <c r="O82" s="32"/>
      <c r="AC82" t="str">
        <f t="shared" si="24"/>
        <v/>
      </c>
      <c r="AD82">
        <f t="shared" si="25"/>
        <v>0</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4" t="s">
        <v>689</v>
      </c>
      <c r="C83" s="387" t="s">
        <v>65</v>
      </c>
      <c r="D83" s="379">
        <v>1</v>
      </c>
      <c r="E83" s="380"/>
      <c r="F83" s="380"/>
      <c r="G83" s="381"/>
      <c r="H83" s="380"/>
      <c r="I83" s="380"/>
      <c r="J83" s="380"/>
      <c r="K83" s="383"/>
      <c r="L83" s="686"/>
      <c r="M83" s="32"/>
      <c r="N83" s="32"/>
      <c r="O83" s="32"/>
      <c r="AC83" t="str">
        <f t="shared" si="24"/>
        <v/>
      </c>
      <c r="AD83">
        <f t="shared" si="25"/>
        <v>0</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4" t="s">
        <v>689</v>
      </c>
      <c r="C84" s="387" t="s">
        <v>65</v>
      </c>
      <c r="D84" s="379">
        <v>1</v>
      </c>
      <c r="E84" s="380"/>
      <c r="F84" s="380"/>
      <c r="G84" s="381"/>
      <c r="H84" s="380"/>
      <c r="I84" s="380"/>
      <c r="J84" s="380"/>
      <c r="K84" s="383"/>
      <c r="L84" s="686"/>
      <c r="M84" s="32"/>
      <c r="N84" s="32"/>
      <c r="O84" s="32"/>
      <c r="AC84" t="str">
        <f t="shared" si="24"/>
        <v/>
      </c>
      <c r="AD84">
        <f t="shared" si="25"/>
        <v>0</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4"/>
      <c r="C85" s="387"/>
      <c r="D85" s="379"/>
      <c r="E85" s="380"/>
      <c r="F85" s="380"/>
      <c r="G85" s="381"/>
      <c r="H85" s="380"/>
      <c r="I85" s="380"/>
      <c r="J85" s="380"/>
      <c r="K85" s="383"/>
      <c r="L85" s="686"/>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4"/>
      <c r="C86" s="387"/>
      <c r="D86" s="379"/>
      <c r="E86" s="380"/>
      <c r="F86" s="380"/>
      <c r="G86" s="381"/>
      <c r="H86" s="380"/>
      <c r="I86" s="380"/>
      <c r="J86" s="380"/>
      <c r="K86" s="383"/>
      <c r="L86" s="686"/>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4"/>
      <c r="C87" s="387"/>
      <c r="D87" s="379"/>
      <c r="E87" s="380"/>
      <c r="F87" s="380"/>
      <c r="G87" s="381"/>
      <c r="H87" s="380"/>
      <c r="I87" s="380"/>
      <c r="J87" s="380"/>
      <c r="K87" s="383"/>
      <c r="L87" s="686"/>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4"/>
      <c r="C88" s="387"/>
      <c r="D88" s="379"/>
      <c r="E88" s="380"/>
      <c r="F88" s="380"/>
      <c r="G88" s="381"/>
      <c r="H88" s="380"/>
      <c r="I88" s="380"/>
      <c r="J88" s="380"/>
      <c r="K88" s="383"/>
      <c r="L88" s="686"/>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4"/>
      <c r="C89" s="387"/>
      <c r="D89" s="379"/>
      <c r="E89" s="380"/>
      <c r="F89" s="380"/>
      <c r="G89" s="381"/>
      <c r="H89" s="380"/>
      <c r="I89" s="380"/>
      <c r="J89" s="380"/>
      <c r="K89" s="383"/>
      <c r="L89" s="686"/>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4"/>
      <c r="C90" s="387"/>
      <c r="D90" s="379"/>
      <c r="E90" s="380"/>
      <c r="F90" s="380"/>
      <c r="G90" s="381"/>
      <c r="H90" s="380"/>
      <c r="I90" s="380"/>
      <c r="J90" s="380"/>
      <c r="K90" s="383"/>
      <c r="L90" s="686"/>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4"/>
      <c r="C91" s="387"/>
      <c r="D91" s="379"/>
      <c r="E91" s="380"/>
      <c r="F91" s="380"/>
      <c r="G91" s="381"/>
      <c r="H91" s="380"/>
      <c r="I91" s="380"/>
      <c r="J91" s="380"/>
      <c r="K91" s="383"/>
      <c r="L91" s="686"/>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4"/>
      <c r="C92" s="387"/>
      <c r="D92" s="379"/>
      <c r="E92" s="380"/>
      <c r="F92" s="380"/>
      <c r="G92" s="381"/>
      <c r="H92" s="380"/>
      <c r="I92" s="380"/>
      <c r="J92" s="380"/>
      <c r="K92" s="383"/>
      <c r="L92" s="686"/>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4"/>
      <c r="C93" s="387"/>
      <c r="D93" s="379"/>
      <c r="E93" s="380"/>
      <c r="F93" s="380"/>
      <c r="G93" s="381"/>
      <c r="H93" s="380"/>
      <c r="I93" s="380"/>
      <c r="J93" s="380"/>
      <c r="K93" s="383"/>
      <c r="L93" s="686"/>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4"/>
      <c r="C94" s="387"/>
      <c r="D94" s="379"/>
      <c r="E94" s="380"/>
      <c r="F94" s="380"/>
      <c r="G94" s="381"/>
      <c r="H94" s="380"/>
      <c r="I94" s="380"/>
      <c r="J94" s="380"/>
      <c r="K94" s="383"/>
      <c r="L94" s="686"/>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4"/>
      <c r="C95" s="387"/>
      <c r="D95" s="379"/>
      <c r="E95" s="380"/>
      <c r="F95" s="380"/>
      <c r="G95" s="381"/>
      <c r="H95" s="380"/>
      <c r="I95" s="380"/>
      <c r="J95" s="380"/>
      <c r="K95" s="383"/>
      <c r="L95" s="686"/>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4"/>
      <c r="C96" s="387"/>
      <c r="D96" s="379"/>
      <c r="E96" s="380"/>
      <c r="F96" s="380"/>
      <c r="G96" s="381"/>
      <c r="H96" s="380"/>
      <c r="I96" s="380"/>
      <c r="J96" s="380"/>
      <c r="K96" s="383"/>
      <c r="L96" s="686"/>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4"/>
      <c r="C97" s="387"/>
      <c r="D97" s="379"/>
      <c r="E97" s="380"/>
      <c r="F97" s="380"/>
      <c r="G97" s="381"/>
      <c r="H97" s="380"/>
      <c r="I97" s="380"/>
      <c r="J97" s="380"/>
      <c r="K97" s="383"/>
      <c r="L97" s="686"/>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4"/>
      <c r="C98" s="387"/>
      <c r="D98" s="379"/>
      <c r="E98" s="380"/>
      <c r="F98" s="380"/>
      <c r="G98" s="381"/>
      <c r="H98" s="380"/>
      <c r="I98" s="380"/>
      <c r="J98" s="380"/>
      <c r="K98" s="383"/>
      <c r="L98" s="686"/>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4"/>
      <c r="C99" s="387"/>
      <c r="D99" s="379"/>
      <c r="E99" s="380"/>
      <c r="F99" s="380"/>
      <c r="G99" s="381"/>
      <c r="H99" s="380"/>
      <c r="I99" s="380"/>
      <c r="J99" s="380"/>
      <c r="K99" s="383"/>
      <c r="L99" s="686"/>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4"/>
      <c r="C100" s="387"/>
      <c r="D100" s="379"/>
      <c r="E100" s="380"/>
      <c r="F100" s="380"/>
      <c r="G100" s="381"/>
      <c r="H100" s="380"/>
      <c r="I100" s="380"/>
      <c r="J100" s="380"/>
      <c r="K100" s="383"/>
      <c r="L100" s="686"/>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4"/>
      <c r="C101" s="387"/>
      <c r="D101" s="379"/>
      <c r="E101" s="380"/>
      <c r="F101" s="380"/>
      <c r="G101" s="381"/>
      <c r="H101" s="380"/>
      <c r="I101" s="380"/>
      <c r="J101" s="380"/>
      <c r="K101" s="383"/>
      <c r="L101" s="686"/>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4"/>
      <c r="C102" s="387"/>
      <c r="D102" s="379"/>
      <c r="E102" s="380"/>
      <c r="F102" s="380"/>
      <c r="G102" s="381"/>
      <c r="H102" s="380"/>
      <c r="I102" s="380"/>
      <c r="J102" s="380"/>
      <c r="K102" s="383"/>
      <c r="L102" s="686"/>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4"/>
      <c r="C103" s="387"/>
      <c r="D103" s="379"/>
      <c r="E103" s="380"/>
      <c r="F103" s="380"/>
      <c r="G103" s="381"/>
      <c r="H103" s="380"/>
      <c r="I103" s="380"/>
      <c r="J103" s="380"/>
      <c r="K103" s="383"/>
      <c r="L103" s="686"/>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4"/>
      <c r="C104" s="387"/>
      <c r="D104" s="379"/>
      <c r="E104" s="380"/>
      <c r="F104" s="380"/>
      <c r="G104" s="381"/>
      <c r="H104" s="380"/>
      <c r="I104" s="380"/>
      <c r="J104" s="380"/>
      <c r="K104" s="383"/>
      <c r="L104" s="686"/>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4"/>
      <c r="C105" s="387"/>
      <c r="D105" s="379"/>
      <c r="E105" s="380"/>
      <c r="F105" s="380"/>
      <c r="G105" s="381"/>
      <c r="H105" s="380"/>
      <c r="I105" s="380"/>
      <c r="J105" s="380"/>
      <c r="K105" s="383"/>
      <c r="L105" s="686"/>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4"/>
      <c r="C106" s="387"/>
      <c r="D106" s="379"/>
      <c r="E106" s="380"/>
      <c r="F106" s="380"/>
      <c r="G106" s="381"/>
      <c r="H106" s="380"/>
      <c r="I106" s="380"/>
      <c r="J106" s="380"/>
      <c r="K106" s="383"/>
      <c r="L106" s="686"/>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4"/>
      <c r="C107" s="387"/>
      <c r="D107" s="379"/>
      <c r="E107" s="380"/>
      <c r="F107" s="380"/>
      <c r="G107" s="381"/>
      <c r="H107" s="380"/>
      <c r="I107" s="380"/>
      <c r="J107" s="380"/>
      <c r="K107" s="383"/>
      <c r="L107" s="686"/>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4"/>
      <c r="C108" s="387"/>
      <c r="D108" s="379"/>
      <c r="E108" s="380"/>
      <c r="F108" s="380"/>
      <c r="G108" s="381"/>
      <c r="H108" s="380"/>
      <c r="I108" s="380"/>
      <c r="J108" s="380"/>
      <c r="K108" s="383"/>
      <c r="L108" s="686"/>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4"/>
      <c r="C109" s="387"/>
      <c r="D109" s="379"/>
      <c r="E109" s="382"/>
      <c r="F109" s="380"/>
      <c r="G109" s="381"/>
      <c r="H109" s="380"/>
      <c r="I109" s="380"/>
      <c r="J109" s="380"/>
      <c r="K109" s="383"/>
      <c r="L109" s="686"/>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776" t="s">
        <v>359</v>
      </c>
      <c r="B110" s="776"/>
      <c r="C110" s="776"/>
      <c r="D110" s="776"/>
      <c r="E110" s="776"/>
      <c r="F110" s="776"/>
      <c r="G110" s="776"/>
      <c r="H110" s="776"/>
      <c r="I110" s="776"/>
      <c r="J110" s="776"/>
      <c r="K110" s="776"/>
      <c r="L110" s="661"/>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773" t="s">
        <v>6</v>
      </c>
      <c r="B111" s="773" t="s">
        <v>45</v>
      </c>
      <c r="C111" s="773" t="s">
        <v>66</v>
      </c>
      <c r="D111" s="773" t="s">
        <v>67</v>
      </c>
      <c r="E111" s="389" t="s">
        <v>68</v>
      </c>
      <c r="F111" s="389" t="s">
        <v>69</v>
      </c>
      <c r="G111" s="389" t="s">
        <v>69</v>
      </c>
      <c r="H111" s="389" t="s">
        <v>69</v>
      </c>
      <c r="I111" s="389" t="s">
        <v>69</v>
      </c>
      <c r="J111" s="389" t="s">
        <v>69</v>
      </c>
      <c r="K111" s="774" t="s">
        <v>70</v>
      </c>
      <c r="L111" s="679"/>
      <c r="M111" s="32"/>
      <c r="N111" s="32"/>
      <c r="O111" s="32"/>
    </row>
    <row r="112" spans="1:108">
      <c r="A112" s="773"/>
      <c r="B112" s="773"/>
      <c r="C112" s="773"/>
      <c r="D112" s="773"/>
      <c r="E112" s="760">
        <v>44286</v>
      </c>
      <c r="F112" s="389" t="s">
        <v>608</v>
      </c>
      <c r="G112" s="389" t="s">
        <v>671</v>
      </c>
      <c r="H112" s="389" t="s">
        <v>690</v>
      </c>
      <c r="I112" s="389" t="s">
        <v>694</v>
      </c>
      <c r="J112" s="389" t="s">
        <v>740</v>
      </c>
      <c r="K112" s="775"/>
      <c r="L112" s="680"/>
      <c r="M112" s="32"/>
      <c r="N112" s="32"/>
      <c r="O112" s="32"/>
    </row>
    <row r="113" spans="1:15" ht="18.75">
      <c r="A113" s="30">
        <v>1</v>
      </c>
      <c r="B113" s="385" t="str">
        <f t="shared" ref="B113:C114" si="111">B60</f>
        <v>Jherh m"kk ikfy;k</v>
      </c>
      <c r="C113" s="386" t="str">
        <f t="shared" si="111"/>
        <v>PRINCIPAL</v>
      </c>
      <c r="D113" s="388" t="s">
        <v>547</v>
      </c>
      <c r="E113" s="392">
        <v>0</v>
      </c>
      <c r="F113" s="392">
        <v>0</v>
      </c>
      <c r="G113" s="392">
        <v>0</v>
      </c>
      <c r="H113" s="392">
        <v>0</v>
      </c>
      <c r="I113" s="392">
        <v>4000</v>
      </c>
      <c r="J113" s="392">
        <v>0</v>
      </c>
      <c r="K113" s="391">
        <f>SUM(E113:J113)</f>
        <v>4000</v>
      </c>
      <c r="L113" s="681"/>
      <c r="M113" s="32"/>
      <c r="N113" s="32"/>
      <c r="O113" s="32"/>
    </row>
    <row r="114" spans="1:15" ht="18.75">
      <c r="A114" s="30">
        <v>2</v>
      </c>
      <c r="B114" s="385" t="str">
        <f t="shared" si="111"/>
        <v>Jh nsokuUn</v>
      </c>
      <c r="C114" s="386" t="s">
        <v>60</v>
      </c>
      <c r="D114" s="388" t="s">
        <v>547</v>
      </c>
      <c r="E114" s="392">
        <v>0</v>
      </c>
      <c r="F114" s="392">
        <v>0</v>
      </c>
      <c r="G114" s="392">
        <v>0</v>
      </c>
      <c r="H114" s="392">
        <v>0</v>
      </c>
      <c r="I114" s="392">
        <v>500</v>
      </c>
      <c r="J114" s="392">
        <v>0</v>
      </c>
      <c r="K114" s="391">
        <f t="shared" ref="K114:K152" si="112">SUM(E114:J114)</f>
        <v>500</v>
      </c>
      <c r="L114" s="681"/>
      <c r="M114" s="32"/>
      <c r="N114" s="32"/>
      <c r="O114" s="32"/>
    </row>
    <row r="115" spans="1:15" ht="18.75">
      <c r="A115" s="30">
        <v>3</v>
      </c>
      <c r="B115" s="385"/>
      <c r="C115" s="386"/>
      <c r="D115" s="388"/>
      <c r="E115" s="392"/>
      <c r="F115" s="392"/>
      <c r="G115" s="392"/>
      <c r="H115" s="392"/>
      <c r="I115" s="392"/>
      <c r="J115" s="392"/>
      <c r="K115" s="391">
        <f t="shared" si="112"/>
        <v>0</v>
      </c>
      <c r="L115" s="681"/>
      <c r="M115" s="32"/>
      <c r="N115" s="32"/>
      <c r="O115" s="32"/>
    </row>
    <row r="116" spans="1:15" ht="18.75">
      <c r="A116" s="30">
        <v>4</v>
      </c>
      <c r="B116" s="385"/>
      <c r="C116" s="386"/>
      <c r="D116" s="388"/>
      <c r="E116" s="392"/>
      <c r="F116" s="392"/>
      <c r="G116" s="392"/>
      <c r="H116" s="392"/>
      <c r="I116" s="392"/>
      <c r="J116" s="392"/>
      <c r="K116" s="391">
        <f t="shared" si="112"/>
        <v>0</v>
      </c>
      <c r="L116" s="681"/>
      <c r="M116" s="32"/>
      <c r="N116" s="32"/>
      <c r="O116" s="32"/>
    </row>
    <row r="117" spans="1:15" ht="18.75">
      <c r="A117" s="30">
        <v>5</v>
      </c>
      <c r="B117" s="385"/>
      <c r="C117" s="386"/>
      <c r="D117" s="388"/>
      <c r="E117" s="392"/>
      <c r="F117" s="392"/>
      <c r="G117" s="392"/>
      <c r="H117" s="392"/>
      <c r="I117" s="392"/>
      <c r="J117" s="392"/>
      <c r="K117" s="391">
        <f t="shared" si="112"/>
        <v>0</v>
      </c>
      <c r="L117" s="681"/>
      <c r="M117" s="32"/>
      <c r="N117" s="32"/>
      <c r="O117" s="32"/>
    </row>
    <row r="118" spans="1:15" ht="18.75">
      <c r="A118" s="30">
        <v>6</v>
      </c>
      <c r="B118" s="385"/>
      <c r="C118" s="386"/>
      <c r="D118" s="388"/>
      <c r="E118" s="392"/>
      <c r="F118" s="392"/>
      <c r="G118" s="392"/>
      <c r="H118" s="392"/>
      <c r="I118" s="392"/>
      <c r="J118" s="392"/>
      <c r="K118" s="391">
        <f t="shared" si="112"/>
        <v>0</v>
      </c>
      <c r="L118" s="681"/>
      <c r="M118" s="32"/>
      <c r="N118" s="32"/>
      <c r="O118" s="32"/>
    </row>
    <row r="119" spans="1:15" ht="18.75">
      <c r="A119" s="30">
        <v>7</v>
      </c>
      <c r="B119" s="385"/>
      <c r="C119" s="386"/>
      <c r="D119" s="388"/>
      <c r="E119" s="392"/>
      <c r="F119" s="392"/>
      <c r="G119" s="392"/>
      <c r="H119" s="392"/>
      <c r="I119" s="392"/>
      <c r="J119" s="392"/>
      <c r="K119" s="391">
        <f t="shared" si="112"/>
        <v>0</v>
      </c>
      <c r="L119" s="681"/>
      <c r="M119" s="32"/>
      <c r="N119" s="32"/>
      <c r="O119" s="32"/>
    </row>
    <row r="120" spans="1:15" ht="18.75">
      <c r="A120" s="30">
        <v>8</v>
      </c>
      <c r="B120" s="385"/>
      <c r="C120" s="386"/>
      <c r="D120" s="388"/>
      <c r="E120" s="392"/>
      <c r="F120" s="392"/>
      <c r="G120" s="392"/>
      <c r="H120" s="392"/>
      <c r="I120" s="392"/>
      <c r="J120" s="392"/>
      <c r="K120" s="391">
        <f t="shared" si="112"/>
        <v>0</v>
      </c>
      <c r="L120" s="681"/>
      <c r="M120" s="32"/>
      <c r="N120" s="32"/>
      <c r="O120" s="32"/>
    </row>
    <row r="121" spans="1:15" ht="18.75">
      <c r="A121" s="30">
        <v>9</v>
      </c>
      <c r="B121" s="385"/>
      <c r="C121" s="386"/>
      <c r="D121" s="388"/>
      <c r="E121" s="392"/>
      <c r="F121" s="392"/>
      <c r="G121" s="392"/>
      <c r="H121" s="392"/>
      <c r="I121" s="392"/>
      <c r="J121" s="392"/>
      <c r="K121" s="391">
        <f t="shared" si="112"/>
        <v>0</v>
      </c>
      <c r="L121" s="681"/>
      <c r="M121" s="32"/>
      <c r="N121" s="32"/>
      <c r="O121" s="32"/>
    </row>
    <row r="122" spans="1:15" ht="18.75">
      <c r="A122" s="30">
        <v>10</v>
      </c>
      <c r="B122" s="385"/>
      <c r="C122" s="386"/>
      <c r="D122" s="388"/>
      <c r="E122" s="392"/>
      <c r="F122" s="392"/>
      <c r="G122" s="392"/>
      <c r="H122" s="392"/>
      <c r="I122" s="392"/>
      <c r="J122" s="392"/>
      <c r="K122" s="391">
        <f t="shared" si="112"/>
        <v>0</v>
      </c>
      <c r="L122" s="681"/>
      <c r="M122" s="32"/>
      <c r="N122" s="32"/>
      <c r="O122" s="32"/>
    </row>
    <row r="123" spans="1:15" ht="18.75">
      <c r="A123" s="30">
        <v>11</v>
      </c>
      <c r="B123" s="385"/>
      <c r="C123" s="386"/>
      <c r="D123" s="388"/>
      <c r="E123" s="392"/>
      <c r="F123" s="392"/>
      <c r="G123" s="392"/>
      <c r="H123" s="392"/>
      <c r="I123" s="392"/>
      <c r="J123" s="392"/>
      <c r="K123" s="391">
        <f t="shared" si="112"/>
        <v>0</v>
      </c>
      <c r="L123" s="681"/>
      <c r="M123" s="32"/>
      <c r="N123" s="32"/>
      <c r="O123" s="32"/>
    </row>
    <row r="124" spans="1:15" ht="18.75">
      <c r="A124" s="30">
        <v>12</v>
      </c>
      <c r="B124" s="385"/>
      <c r="C124" s="386"/>
      <c r="D124" s="388"/>
      <c r="E124" s="392"/>
      <c r="F124" s="392"/>
      <c r="G124" s="392"/>
      <c r="H124" s="392"/>
      <c r="I124" s="392"/>
      <c r="J124" s="392"/>
      <c r="K124" s="391">
        <f t="shared" si="112"/>
        <v>0</v>
      </c>
      <c r="L124" s="681"/>
      <c r="M124" s="32"/>
      <c r="N124" s="32"/>
      <c r="O124" s="32"/>
    </row>
    <row r="125" spans="1:15" ht="18.75">
      <c r="A125" s="30">
        <v>13</v>
      </c>
      <c r="B125" s="385"/>
      <c r="C125" s="386"/>
      <c r="D125" s="388"/>
      <c r="E125" s="392"/>
      <c r="F125" s="392"/>
      <c r="G125" s="392"/>
      <c r="H125" s="392"/>
      <c r="I125" s="392"/>
      <c r="J125" s="392"/>
      <c r="K125" s="391">
        <f t="shared" si="112"/>
        <v>0</v>
      </c>
      <c r="L125" s="681"/>
      <c r="M125" s="32"/>
      <c r="N125" s="32"/>
      <c r="O125" s="32"/>
    </row>
    <row r="126" spans="1:15" ht="18.75">
      <c r="A126" s="30">
        <v>14</v>
      </c>
      <c r="B126" s="385"/>
      <c r="C126" s="386"/>
      <c r="D126" s="388"/>
      <c r="E126" s="392"/>
      <c r="F126" s="392"/>
      <c r="G126" s="392"/>
      <c r="H126" s="392"/>
      <c r="I126" s="392"/>
      <c r="J126" s="392"/>
      <c r="K126" s="391">
        <f t="shared" si="112"/>
        <v>0</v>
      </c>
      <c r="L126" s="681"/>
      <c r="M126" s="32"/>
      <c r="N126" s="32"/>
      <c r="O126" s="32"/>
    </row>
    <row r="127" spans="1:15" ht="18.75">
      <c r="A127" s="30">
        <v>15</v>
      </c>
      <c r="B127" s="385"/>
      <c r="C127" s="386"/>
      <c r="D127" s="388"/>
      <c r="E127" s="392"/>
      <c r="F127" s="392"/>
      <c r="G127" s="392"/>
      <c r="H127" s="392"/>
      <c r="I127" s="392"/>
      <c r="J127" s="392"/>
      <c r="K127" s="391">
        <f t="shared" si="112"/>
        <v>0</v>
      </c>
      <c r="L127" s="681"/>
      <c r="M127" s="32"/>
      <c r="N127" s="32"/>
      <c r="O127" s="32"/>
    </row>
    <row r="128" spans="1:15" ht="18.75">
      <c r="A128" s="30">
        <v>16</v>
      </c>
      <c r="B128" s="385"/>
      <c r="C128" s="386"/>
      <c r="D128" s="388"/>
      <c r="E128" s="392"/>
      <c r="F128" s="392"/>
      <c r="G128" s="392"/>
      <c r="H128" s="392"/>
      <c r="I128" s="392"/>
      <c r="J128" s="392"/>
      <c r="K128" s="391">
        <f t="shared" si="112"/>
        <v>0</v>
      </c>
      <c r="L128" s="681"/>
      <c r="M128" s="32"/>
      <c r="N128" s="32"/>
      <c r="O128" s="32"/>
    </row>
    <row r="129" spans="1:15" ht="18.75">
      <c r="A129" s="30">
        <v>17</v>
      </c>
      <c r="B129" s="385"/>
      <c r="C129" s="386"/>
      <c r="D129" s="388"/>
      <c r="E129" s="392"/>
      <c r="F129" s="392"/>
      <c r="G129" s="392"/>
      <c r="H129" s="392"/>
      <c r="I129" s="392"/>
      <c r="J129" s="392"/>
      <c r="K129" s="391">
        <f t="shared" si="112"/>
        <v>0</v>
      </c>
      <c r="L129" s="681"/>
      <c r="M129" s="32"/>
      <c r="N129" s="32"/>
      <c r="O129" s="32"/>
    </row>
    <row r="130" spans="1:15" ht="18.75">
      <c r="A130" s="30">
        <v>18</v>
      </c>
      <c r="B130" s="385"/>
      <c r="C130" s="386"/>
      <c r="D130" s="388"/>
      <c r="E130" s="392"/>
      <c r="F130" s="392"/>
      <c r="G130" s="392"/>
      <c r="H130" s="392"/>
      <c r="I130" s="392"/>
      <c r="J130" s="392"/>
      <c r="K130" s="391">
        <f t="shared" si="112"/>
        <v>0</v>
      </c>
      <c r="L130" s="681"/>
      <c r="M130" s="32"/>
      <c r="N130" s="32"/>
      <c r="O130" s="32"/>
    </row>
    <row r="131" spans="1:15" ht="18.75">
      <c r="A131" s="30">
        <v>19</v>
      </c>
      <c r="B131" s="385"/>
      <c r="C131" s="386"/>
      <c r="D131" s="388"/>
      <c r="E131" s="392"/>
      <c r="F131" s="392"/>
      <c r="G131" s="392"/>
      <c r="H131" s="392"/>
      <c r="I131" s="392"/>
      <c r="J131" s="392"/>
      <c r="K131" s="391">
        <f t="shared" si="112"/>
        <v>0</v>
      </c>
      <c r="L131" s="681"/>
      <c r="M131" s="32"/>
      <c r="N131" s="32"/>
      <c r="O131" s="32"/>
    </row>
    <row r="132" spans="1:15" ht="18.75">
      <c r="A132" s="30">
        <v>20</v>
      </c>
      <c r="B132" s="385"/>
      <c r="C132" s="386"/>
      <c r="D132" s="388"/>
      <c r="E132" s="392"/>
      <c r="F132" s="392"/>
      <c r="G132" s="392"/>
      <c r="H132" s="392"/>
      <c r="I132" s="392"/>
      <c r="J132" s="392"/>
      <c r="K132" s="391">
        <f t="shared" si="112"/>
        <v>0</v>
      </c>
      <c r="L132" s="681"/>
      <c r="M132" s="32"/>
      <c r="N132" s="32"/>
      <c r="O132" s="32"/>
    </row>
    <row r="133" spans="1:15" ht="18.75">
      <c r="A133" s="30">
        <v>21</v>
      </c>
      <c r="B133" s="385"/>
      <c r="C133" s="386"/>
      <c r="D133" s="388"/>
      <c r="E133" s="392"/>
      <c r="F133" s="392"/>
      <c r="G133" s="392"/>
      <c r="H133" s="392"/>
      <c r="I133" s="392"/>
      <c r="J133" s="392"/>
      <c r="K133" s="391">
        <f t="shared" si="112"/>
        <v>0</v>
      </c>
      <c r="L133" s="681"/>
      <c r="M133" s="32"/>
      <c r="N133" s="32"/>
      <c r="O133" s="32"/>
    </row>
    <row r="134" spans="1:15" ht="18.75">
      <c r="A134" s="30">
        <v>22</v>
      </c>
      <c r="B134" s="385"/>
      <c r="C134" s="386"/>
      <c r="D134" s="388"/>
      <c r="E134" s="392"/>
      <c r="F134" s="392"/>
      <c r="G134" s="392"/>
      <c r="H134" s="392"/>
      <c r="I134" s="392"/>
      <c r="J134" s="392"/>
      <c r="K134" s="391">
        <f t="shared" si="112"/>
        <v>0</v>
      </c>
      <c r="L134" s="681"/>
      <c r="M134" s="32"/>
      <c r="N134" s="32"/>
      <c r="O134" s="32"/>
    </row>
    <row r="135" spans="1:15" ht="18.75">
      <c r="A135" s="30">
        <v>23</v>
      </c>
      <c r="B135" s="385"/>
      <c r="C135" s="386"/>
      <c r="D135" s="388"/>
      <c r="E135" s="392"/>
      <c r="F135" s="392"/>
      <c r="G135" s="392"/>
      <c r="H135" s="392"/>
      <c r="I135" s="392"/>
      <c r="J135" s="392"/>
      <c r="K135" s="391">
        <f t="shared" si="112"/>
        <v>0</v>
      </c>
      <c r="L135" s="681"/>
      <c r="M135" s="32"/>
      <c r="N135" s="32"/>
      <c r="O135" s="32"/>
    </row>
    <row r="136" spans="1:15" ht="18.75">
      <c r="A136" s="30">
        <v>24</v>
      </c>
      <c r="B136" s="385"/>
      <c r="C136" s="386"/>
      <c r="D136" s="388"/>
      <c r="E136" s="392"/>
      <c r="F136" s="392"/>
      <c r="G136" s="392"/>
      <c r="H136" s="392"/>
      <c r="I136" s="392"/>
      <c r="J136" s="392"/>
      <c r="K136" s="391">
        <f t="shared" si="112"/>
        <v>0</v>
      </c>
      <c r="L136" s="681"/>
      <c r="M136" s="32"/>
      <c r="N136" s="32"/>
      <c r="O136" s="32"/>
    </row>
    <row r="137" spans="1:15" ht="18.75">
      <c r="A137" s="30">
        <v>25</v>
      </c>
      <c r="B137" s="385"/>
      <c r="C137" s="386"/>
      <c r="D137" s="388"/>
      <c r="E137" s="392"/>
      <c r="F137" s="392"/>
      <c r="G137" s="392"/>
      <c r="H137" s="392"/>
      <c r="I137" s="392"/>
      <c r="J137" s="392"/>
      <c r="K137" s="391">
        <f t="shared" si="112"/>
        <v>0</v>
      </c>
      <c r="L137" s="681"/>
      <c r="M137" s="32"/>
      <c r="N137" s="32"/>
      <c r="O137" s="32"/>
    </row>
    <row r="138" spans="1:15" ht="18.75">
      <c r="A138" s="30">
        <v>26</v>
      </c>
      <c r="B138" s="385"/>
      <c r="C138" s="386"/>
      <c r="D138" s="388"/>
      <c r="E138" s="392"/>
      <c r="F138" s="392"/>
      <c r="G138" s="392"/>
      <c r="H138" s="392"/>
      <c r="I138" s="392"/>
      <c r="J138" s="392"/>
      <c r="K138" s="391">
        <f t="shared" si="112"/>
        <v>0</v>
      </c>
      <c r="L138" s="681"/>
      <c r="M138" s="32"/>
      <c r="N138" s="32"/>
      <c r="O138" s="32"/>
    </row>
    <row r="139" spans="1:15" ht="18.75">
      <c r="A139" s="30">
        <v>27</v>
      </c>
      <c r="B139" s="385"/>
      <c r="C139" s="386"/>
      <c r="D139" s="388"/>
      <c r="E139" s="392"/>
      <c r="F139" s="392"/>
      <c r="G139" s="392"/>
      <c r="H139" s="392"/>
      <c r="I139" s="392"/>
      <c r="J139" s="392"/>
      <c r="K139" s="391">
        <f t="shared" si="112"/>
        <v>0</v>
      </c>
      <c r="L139" s="681"/>
      <c r="M139" s="32"/>
      <c r="N139" s="32"/>
      <c r="O139" s="32"/>
    </row>
    <row r="140" spans="1:15" ht="18.75">
      <c r="A140" s="30">
        <v>28</v>
      </c>
      <c r="B140" s="385"/>
      <c r="C140" s="386"/>
      <c r="D140" s="388"/>
      <c r="E140" s="392"/>
      <c r="F140" s="392"/>
      <c r="G140" s="392"/>
      <c r="H140" s="392"/>
      <c r="I140" s="392"/>
      <c r="J140" s="392"/>
      <c r="K140" s="391">
        <f t="shared" si="112"/>
        <v>0</v>
      </c>
      <c r="L140" s="681"/>
      <c r="M140" s="32"/>
      <c r="N140" s="32"/>
      <c r="O140" s="32"/>
    </row>
    <row r="141" spans="1:15" ht="18.75">
      <c r="A141" s="30">
        <v>29</v>
      </c>
      <c r="B141" s="385"/>
      <c r="C141" s="386"/>
      <c r="D141" s="388"/>
      <c r="E141" s="392"/>
      <c r="F141" s="392"/>
      <c r="G141" s="392"/>
      <c r="H141" s="392"/>
      <c r="I141" s="392"/>
      <c r="J141" s="392"/>
      <c r="K141" s="391">
        <f t="shared" si="112"/>
        <v>0</v>
      </c>
      <c r="L141" s="681"/>
      <c r="M141" s="32"/>
      <c r="N141" s="32"/>
      <c r="O141" s="32"/>
    </row>
    <row r="142" spans="1:15" ht="18.75">
      <c r="A142" s="30">
        <v>30</v>
      </c>
      <c r="B142" s="385"/>
      <c r="C142" s="386"/>
      <c r="D142" s="388"/>
      <c r="E142" s="392"/>
      <c r="F142" s="392"/>
      <c r="G142" s="392"/>
      <c r="H142" s="392"/>
      <c r="I142" s="392"/>
      <c r="J142" s="392"/>
      <c r="K142" s="391">
        <f t="shared" si="112"/>
        <v>0</v>
      </c>
      <c r="L142" s="681"/>
      <c r="M142" s="32"/>
      <c r="N142" s="32"/>
      <c r="O142" s="32"/>
    </row>
    <row r="143" spans="1:15" ht="18.75">
      <c r="A143" s="30">
        <v>31</v>
      </c>
      <c r="B143" s="385"/>
      <c r="C143" s="386"/>
      <c r="D143" s="388"/>
      <c r="E143" s="392"/>
      <c r="F143" s="392"/>
      <c r="G143" s="392"/>
      <c r="H143" s="392"/>
      <c r="I143" s="392"/>
      <c r="J143" s="392"/>
      <c r="K143" s="391">
        <f t="shared" si="112"/>
        <v>0</v>
      </c>
      <c r="L143" s="681"/>
      <c r="M143" s="32"/>
      <c r="N143" s="32"/>
      <c r="O143" s="32"/>
    </row>
    <row r="144" spans="1:15" ht="18.75">
      <c r="A144" s="30">
        <v>32</v>
      </c>
      <c r="B144" s="385"/>
      <c r="C144" s="386"/>
      <c r="D144" s="388"/>
      <c r="E144" s="392"/>
      <c r="F144" s="392"/>
      <c r="G144" s="392"/>
      <c r="H144" s="392"/>
      <c r="I144" s="392"/>
      <c r="J144" s="392"/>
      <c r="K144" s="391">
        <f t="shared" si="112"/>
        <v>0</v>
      </c>
      <c r="L144" s="681"/>
      <c r="M144" s="32"/>
      <c r="N144" s="32"/>
      <c r="O144" s="32"/>
    </row>
    <row r="145" spans="1:15" ht="18.75">
      <c r="A145" s="30">
        <v>33</v>
      </c>
      <c r="B145" s="385"/>
      <c r="C145" s="386"/>
      <c r="D145" s="388"/>
      <c r="E145" s="392"/>
      <c r="F145" s="392"/>
      <c r="G145" s="392"/>
      <c r="H145" s="392"/>
      <c r="I145" s="392"/>
      <c r="J145" s="392"/>
      <c r="K145" s="391">
        <f t="shared" si="112"/>
        <v>0</v>
      </c>
      <c r="L145" s="681"/>
      <c r="M145" s="32"/>
      <c r="N145" s="32"/>
      <c r="O145" s="32"/>
    </row>
    <row r="146" spans="1:15" ht="18.75">
      <c r="A146" s="30">
        <v>34</v>
      </c>
      <c r="B146" s="385"/>
      <c r="C146" s="386"/>
      <c r="D146" s="388"/>
      <c r="E146" s="392"/>
      <c r="F146" s="392"/>
      <c r="G146" s="392"/>
      <c r="H146" s="392"/>
      <c r="I146" s="392"/>
      <c r="J146" s="392"/>
      <c r="K146" s="391">
        <f t="shared" si="112"/>
        <v>0</v>
      </c>
      <c r="L146" s="681"/>
      <c r="M146" s="32"/>
      <c r="N146" s="32"/>
      <c r="O146" s="32"/>
    </row>
    <row r="147" spans="1:15" ht="18.75">
      <c r="A147" s="30">
        <v>35</v>
      </c>
      <c r="B147" s="385"/>
      <c r="C147" s="386"/>
      <c r="D147" s="388"/>
      <c r="E147" s="392"/>
      <c r="F147" s="392"/>
      <c r="G147" s="392"/>
      <c r="H147" s="392"/>
      <c r="I147" s="392"/>
      <c r="J147" s="392"/>
      <c r="K147" s="391">
        <f t="shared" si="112"/>
        <v>0</v>
      </c>
      <c r="L147" s="681"/>
      <c r="M147" s="32"/>
      <c r="N147" s="32"/>
      <c r="O147" s="32"/>
    </row>
    <row r="148" spans="1:15" ht="18.75">
      <c r="A148" s="30">
        <v>36</v>
      </c>
      <c r="B148" s="385"/>
      <c r="C148" s="386"/>
      <c r="D148" s="388"/>
      <c r="E148" s="392"/>
      <c r="F148" s="392"/>
      <c r="G148" s="392"/>
      <c r="H148" s="392"/>
      <c r="I148" s="392"/>
      <c r="J148" s="392"/>
      <c r="K148" s="391">
        <f t="shared" si="112"/>
        <v>0</v>
      </c>
      <c r="L148" s="681"/>
      <c r="M148" s="32"/>
      <c r="N148" s="32"/>
      <c r="O148" s="32"/>
    </row>
    <row r="149" spans="1:15" ht="18.75">
      <c r="A149" s="30">
        <v>37</v>
      </c>
      <c r="B149" s="385"/>
      <c r="C149" s="386"/>
      <c r="D149" s="388"/>
      <c r="E149" s="392"/>
      <c r="F149" s="392"/>
      <c r="G149" s="392"/>
      <c r="H149" s="392"/>
      <c r="I149" s="392"/>
      <c r="J149" s="392"/>
      <c r="K149" s="391">
        <f t="shared" si="112"/>
        <v>0</v>
      </c>
      <c r="L149" s="681"/>
      <c r="M149" s="32"/>
      <c r="N149" s="32"/>
      <c r="O149" s="32"/>
    </row>
    <row r="150" spans="1:15" ht="18.75">
      <c r="A150" s="30">
        <v>38</v>
      </c>
      <c r="B150" s="385"/>
      <c r="C150" s="386"/>
      <c r="D150" s="388"/>
      <c r="E150" s="392"/>
      <c r="F150" s="392"/>
      <c r="G150" s="392"/>
      <c r="H150" s="392"/>
      <c r="I150" s="392"/>
      <c r="J150" s="392"/>
      <c r="K150" s="391">
        <f t="shared" si="112"/>
        <v>0</v>
      </c>
      <c r="L150" s="681"/>
      <c r="M150" s="32"/>
      <c r="N150" s="32"/>
      <c r="O150" s="32"/>
    </row>
    <row r="151" spans="1:15" ht="18.75">
      <c r="A151" s="30">
        <v>39</v>
      </c>
      <c r="B151" s="385"/>
      <c r="C151" s="386"/>
      <c r="D151" s="388"/>
      <c r="E151" s="392"/>
      <c r="F151" s="392"/>
      <c r="G151" s="392"/>
      <c r="H151" s="392"/>
      <c r="I151" s="392"/>
      <c r="J151" s="392"/>
      <c r="K151" s="391">
        <f t="shared" si="112"/>
        <v>0</v>
      </c>
      <c r="L151" s="681"/>
      <c r="M151" s="32"/>
      <c r="N151" s="32"/>
      <c r="O151" s="32"/>
    </row>
    <row r="152" spans="1:15" ht="18.75">
      <c r="A152" s="30">
        <v>40</v>
      </c>
      <c r="B152" s="385"/>
      <c r="C152" s="386"/>
      <c r="D152" s="388"/>
      <c r="E152" s="392"/>
      <c r="F152" s="392"/>
      <c r="G152" s="392"/>
      <c r="H152" s="392"/>
      <c r="I152" s="392"/>
      <c r="J152" s="392"/>
      <c r="K152" s="391">
        <f t="shared" si="112"/>
        <v>0</v>
      </c>
      <c r="L152" s="681"/>
      <c r="M152" s="32"/>
      <c r="N152" s="32"/>
      <c r="O152" s="32"/>
    </row>
    <row r="153" spans="1:15" ht="18.75">
      <c r="A153" s="30"/>
      <c r="B153" s="394" t="s">
        <v>37</v>
      </c>
      <c r="C153" s="395"/>
      <c r="D153" s="396"/>
      <c r="E153" s="397">
        <f t="shared" ref="E153:J153" si="113">SUM(E113:E128)</f>
        <v>0</v>
      </c>
      <c r="F153" s="397">
        <f t="shared" si="113"/>
        <v>0</v>
      </c>
      <c r="G153" s="397">
        <f t="shared" si="113"/>
        <v>0</v>
      </c>
      <c r="H153" s="397">
        <f t="shared" si="113"/>
        <v>0</v>
      </c>
      <c r="I153" s="397">
        <f t="shared" si="113"/>
        <v>4500</v>
      </c>
      <c r="J153" s="397">
        <f t="shared" si="113"/>
        <v>0</v>
      </c>
      <c r="K153" s="393">
        <f>SUM(E153:J153)</f>
        <v>4500</v>
      </c>
      <c r="L153" s="682"/>
      <c r="M153" s="32"/>
      <c r="N153" s="32"/>
      <c r="O153" s="32"/>
    </row>
    <row r="154" spans="1:15" ht="23.25">
      <c r="A154" s="776" t="s">
        <v>360</v>
      </c>
      <c r="B154" s="776"/>
      <c r="C154" s="776"/>
      <c r="D154" s="776"/>
      <c r="E154" s="776"/>
      <c r="F154" s="776"/>
      <c r="G154" s="776"/>
      <c r="H154" s="776"/>
      <c r="I154" s="776"/>
      <c r="J154" s="776"/>
      <c r="K154" s="776"/>
      <c r="L154" s="661"/>
      <c r="M154" s="32"/>
      <c r="N154" s="32"/>
      <c r="O154" s="32"/>
    </row>
    <row r="155" spans="1:15">
      <c r="A155" s="773" t="s">
        <v>6</v>
      </c>
      <c r="B155" s="773" t="s">
        <v>45</v>
      </c>
      <c r="C155" s="773" t="s">
        <v>66</v>
      </c>
      <c r="D155" s="773" t="s">
        <v>67</v>
      </c>
      <c r="E155" s="389" t="s">
        <v>68</v>
      </c>
      <c r="F155" s="389" t="s">
        <v>69</v>
      </c>
      <c r="G155" s="389" t="s">
        <v>69</v>
      </c>
      <c r="H155" s="389" t="s">
        <v>69</v>
      </c>
      <c r="I155" s="389" t="s">
        <v>69</v>
      </c>
      <c r="J155" s="389" t="s">
        <v>69</v>
      </c>
      <c r="K155" s="774" t="s">
        <v>70</v>
      </c>
      <c r="L155" s="679"/>
      <c r="M155" s="32"/>
      <c r="N155" s="32"/>
      <c r="O155" s="32"/>
    </row>
    <row r="156" spans="1:15">
      <c r="A156" s="773"/>
      <c r="B156" s="773"/>
      <c r="C156" s="773"/>
      <c r="D156" s="773"/>
      <c r="E156" s="760">
        <f>E112</f>
        <v>44286</v>
      </c>
      <c r="F156" s="390" t="str">
        <f t="shared" ref="F156:J156" si="114">F112</f>
        <v>2021-22</v>
      </c>
      <c r="G156" s="390" t="str">
        <f t="shared" si="114"/>
        <v>2022-23</v>
      </c>
      <c r="H156" s="390" t="str">
        <f t="shared" si="114"/>
        <v>2023-24</v>
      </c>
      <c r="I156" s="390" t="str">
        <f t="shared" si="114"/>
        <v>2024-25</v>
      </c>
      <c r="J156" s="390" t="str">
        <f t="shared" si="114"/>
        <v>2025-26</v>
      </c>
      <c r="K156" s="775"/>
      <c r="L156" s="680"/>
      <c r="M156" s="32"/>
      <c r="N156" s="32"/>
      <c r="O156" s="32"/>
    </row>
    <row r="157" spans="1:15" ht="18.75">
      <c r="A157" s="30">
        <v>1</v>
      </c>
      <c r="B157" s="492" t="str">
        <f t="shared" ref="B157:B158" si="115">B113</f>
        <v>Jherh m"kk ikfy;k</v>
      </c>
      <c r="C157" s="386" t="str">
        <f t="shared" ref="C157" si="116">C60</f>
        <v>PRINCIPAL</v>
      </c>
      <c r="D157" s="388" t="s">
        <v>547</v>
      </c>
      <c r="E157" s="392">
        <v>0</v>
      </c>
      <c r="F157" s="392">
        <v>0</v>
      </c>
      <c r="G157" s="392">
        <v>0</v>
      </c>
      <c r="H157" s="392">
        <v>0</v>
      </c>
      <c r="I157" s="392">
        <v>0</v>
      </c>
      <c r="J157" s="392">
        <v>0</v>
      </c>
      <c r="K157" s="391">
        <f>SUM(E157:J157)</f>
        <v>0</v>
      </c>
      <c r="L157" s="681"/>
      <c r="M157" s="32"/>
      <c r="N157" s="32"/>
      <c r="O157" s="32"/>
    </row>
    <row r="158" spans="1:15" ht="18.75">
      <c r="A158" s="30">
        <v>2</v>
      </c>
      <c r="B158" s="492" t="str">
        <f t="shared" si="115"/>
        <v>Jh nsokuUn</v>
      </c>
      <c r="C158" s="386" t="s">
        <v>60</v>
      </c>
      <c r="D158" s="388" t="s">
        <v>547</v>
      </c>
      <c r="E158" s="392">
        <v>0</v>
      </c>
      <c r="F158" s="392">
        <v>0</v>
      </c>
      <c r="G158" s="392">
        <v>0</v>
      </c>
      <c r="H158" s="392">
        <v>0</v>
      </c>
      <c r="I158" s="392">
        <v>1000</v>
      </c>
      <c r="J158" s="392">
        <v>0</v>
      </c>
      <c r="K158" s="391">
        <f t="shared" ref="K158:K196" si="117">SUM(E158:J158)</f>
        <v>1000</v>
      </c>
      <c r="L158" s="681"/>
      <c r="M158" s="32"/>
      <c r="N158" s="32"/>
      <c r="O158" s="32"/>
    </row>
    <row r="159" spans="1:15" ht="18.75">
      <c r="A159" s="30">
        <v>3</v>
      </c>
      <c r="B159" s="492"/>
      <c r="C159" s="386"/>
      <c r="D159" s="388"/>
      <c r="E159" s="392"/>
      <c r="F159" s="392"/>
      <c r="G159" s="392"/>
      <c r="H159" s="392"/>
      <c r="I159" s="392"/>
      <c r="J159" s="392"/>
      <c r="K159" s="391">
        <f t="shared" si="117"/>
        <v>0</v>
      </c>
      <c r="L159" s="681"/>
      <c r="M159" s="32"/>
      <c r="N159" s="32"/>
      <c r="O159" s="32"/>
    </row>
    <row r="160" spans="1:15" ht="18.75">
      <c r="A160" s="30">
        <v>4</v>
      </c>
      <c r="B160" s="492"/>
      <c r="C160" s="386"/>
      <c r="D160" s="388"/>
      <c r="E160" s="392"/>
      <c r="F160" s="392"/>
      <c r="G160" s="392"/>
      <c r="H160" s="392"/>
      <c r="I160" s="392"/>
      <c r="J160" s="392"/>
      <c r="K160" s="391">
        <f t="shared" si="117"/>
        <v>0</v>
      </c>
      <c r="L160" s="681"/>
      <c r="M160" s="32"/>
      <c r="N160" s="32"/>
      <c r="O160" s="32"/>
    </row>
    <row r="161" spans="1:15" ht="18.75">
      <c r="A161" s="30">
        <v>5</v>
      </c>
      <c r="B161" s="492"/>
      <c r="C161" s="386"/>
      <c r="D161" s="388"/>
      <c r="E161" s="392"/>
      <c r="F161" s="392"/>
      <c r="G161" s="392"/>
      <c r="H161" s="392"/>
      <c r="I161" s="392"/>
      <c r="J161" s="392"/>
      <c r="K161" s="391">
        <f t="shared" si="117"/>
        <v>0</v>
      </c>
      <c r="L161" s="681"/>
      <c r="M161" s="32"/>
      <c r="N161" s="32"/>
      <c r="O161" s="32"/>
    </row>
    <row r="162" spans="1:15" ht="18.75">
      <c r="A162" s="30">
        <v>6</v>
      </c>
      <c r="B162" s="492"/>
      <c r="C162" s="386"/>
      <c r="D162" s="388"/>
      <c r="E162" s="392"/>
      <c r="F162" s="392"/>
      <c r="G162" s="392"/>
      <c r="H162" s="392"/>
      <c r="I162" s="392"/>
      <c r="J162" s="392"/>
      <c r="K162" s="391">
        <f t="shared" si="117"/>
        <v>0</v>
      </c>
      <c r="L162" s="681"/>
      <c r="M162" s="32"/>
      <c r="N162" s="32"/>
      <c r="O162" s="32"/>
    </row>
    <row r="163" spans="1:15" ht="18.75">
      <c r="A163" s="30">
        <v>7</v>
      </c>
      <c r="B163" s="492"/>
      <c r="C163" s="386"/>
      <c r="D163" s="388"/>
      <c r="E163" s="392"/>
      <c r="F163" s="392"/>
      <c r="G163" s="392"/>
      <c r="H163" s="392"/>
      <c r="I163" s="392"/>
      <c r="J163" s="392"/>
      <c r="K163" s="391">
        <f t="shared" si="117"/>
        <v>0</v>
      </c>
      <c r="L163" s="681"/>
      <c r="M163" s="32"/>
      <c r="N163" s="32"/>
      <c r="O163" s="32"/>
    </row>
    <row r="164" spans="1:15" ht="18.75">
      <c r="A164" s="30">
        <v>8</v>
      </c>
      <c r="B164" s="492"/>
      <c r="C164" s="386"/>
      <c r="D164" s="388"/>
      <c r="E164" s="392"/>
      <c r="F164" s="392"/>
      <c r="G164" s="392"/>
      <c r="H164" s="392"/>
      <c r="I164" s="392"/>
      <c r="J164" s="392"/>
      <c r="K164" s="391">
        <f t="shared" si="117"/>
        <v>0</v>
      </c>
      <c r="L164" s="681"/>
      <c r="M164" s="32"/>
      <c r="N164" s="32"/>
      <c r="O164" s="32"/>
    </row>
    <row r="165" spans="1:15" ht="18.75">
      <c r="A165" s="30">
        <v>9</v>
      </c>
      <c r="B165" s="492"/>
      <c r="C165" s="386"/>
      <c r="D165" s="388"/>
      <c r="E165" s="392"/>
      <c r="F165" s="392"/>
      <c r="G165" s="392"/>
      <c r="H165" s="392"/>
      <c r="I165" s="392"/>
      <c r="J165" s="392"/>
      <c r="K165" s="391">
        <f t="shared" si="117"/>
        <v>0</v>
      </c>
      <c r="L165" s="681"/>
      <c r="M165" s="32"/>
      <c r="N165" s="32"/>
      <c r="O165" s="32"/>
    </row>
    <row r="166" spans="1:15" ht="18.75">
      <c r="A166" s="30">
        <v>10</v>
      </c>
      <c r="B166" s="492"/>
      <c r="C166" s="386"/>
      <c r="D166" s="388"/>
      <c r="E166" s="392"/>
      <c r="F166" s="392"/>
      <c r="G166" s="392"/>
      <c r="H166" s="392"/>
      <c r="I166" s="392"/>
      <c r="J166" s="392"/>
      <c r="K166" s="391">
        <f t="shared" si="117"/>
        <v>0</v>
      </c>
      <c r="L166" s="681"/>
      <c r="M166" s="32"/>
      <c r="N166" s="32"/>
      <c r="O166" s="32"/>
    </row>
    <row r="167" spans="1:15" ht="18.75">
      <c r="A167" s="30">
        <v>11</v>
      </c>
      <c r="B167" s="492"/>
      <c r="C167" s="386"/>
      <c r="D167" s="388"/>
      <c r="E167" s="392"/>
      <c r="F167" s="392"/>
      <c r="G167" s="392"/>
      <c r="H167" s="392"/>
      <c r="I167" s="392"/>
      <c r="J167" s="392"/>
      <c r="K167" s="391">
        <f t="shared" si="117"/>
        <v>0</v>
      </c>
      <c r="L167" s="681"/>
      <c r="M167" s="32"/>
      <c r="N167" s="32"/>
      <c r="O167" s="32"/>
    </row>
    <row r="168" spans="1:15" ht="18.75">
      <c r="A168" s="30">
        <v>12</v>
      </c>
      <c r="B168" s="492"/>
      <c r="C168" s="386"/>
      <c r="D168" s="388"/>
      <c r="E168" s="392"/>
      <c r="F168" s="392"/>
      <c r="G168" s="392"/>
      <c r="H168" s="392"/>
      <c r="I168" s="392"/>
      <c r="J168" s="392"/>
      <c r="K168" s="391">
        <f t="shared" si="117"/>
        <v>0</v>
      </c>
      <c r="L168" s="681"/>
      <c r="M168" s="32"/>
      <c r="N168" s="32"/>
      <c r="O168" s="32"/>
    </row>
    <row r="169" spans="1:15" ht="18.75">
      <c r="A169" s="30">
        <v>13</v>
      </c>
      <c r="B169" s="492"/>
      <c r="C169" s="386"/>
      <c r="D169" s="388"/>
      <c r="E169" s="392"/>
      <c r="F169" s="392"/>
      <c r="G169" s="392"/>
      <c r="H169" s="392"/>
      <c r="I169" s="392"/>
      <c r="J169" s="392"/>
      <c r="K169" s="391">
        <f t="shared" si="117"/>
        <v>0</v>
      </c>
      <c r="L169" s="681"/>
      <c r="M169" s="32"/>
      <c r="N169" s="32"/>
      <c r="O169" s="32"/>
    </row>
    <row r="170" spans="1:15" ht="18.75">
      <c r="A170" s="30">
        <v>14</v>
      </c>
      <c r="B170" s="492"/>
      <c r="C170" s="386"/>
      <c r="D170" s="388"/>
      <c r="E170" s="392"/>
      <c r="F170" s="392"/>
      <c r="G170" s="392"/>
      <c r="H170" s="392"/>
      <c r="I170" s="392"/>
      <c r="J170" s="392"/>
      <c r="K170" s="391">
        <f t="shared" si="117"/>
        <v>0</v>
      </c>
      <c r="L170" s="681"/>
      <c r="M170" s="32"/>
      <c r="N170" s="32"/>
      <c r="O170" s="32"/>
    </row>
    <row r="171" spans="1:15" ht="18.75">
      <c r="A171" s="30">
        <v>15</v>
      </c>
      <c r="B171" s="492"/>
      <c r="C171" s="386"/>
      <c r="D171" s="388"/>
      <c r="E171" s="392"/>
      <c r="F171" s="392"/>
      <c r="G171" s="392"/>
      <c r="H171" s="392"/>
      <c r="I171" s="392"/>
      <c r="J171" s="392"/>
      <c r="K171" s="391">
        <f t="shared" si="117"/>
        <v>0</v>
      </c>
      <c r="L171" s="681"/>
      <c r="M171" s="32"/>
      <c r="N171" s="32"/>
      <c r="O171" s="32"/>
    </row>
    <row r="172" spans="1:15" ht="18.75">
      <c r="A172" s="30">
        <v>16</v>
      </c>
      <c r="B172" s="492"/>
      <c r="C172" s="386"/>
      <c r="D172" s="388"/>
      <c r="E172" s="392"/>
      <c r="F172" s="392"/>
      <c r="G172" s="392"/>
      <c r="H172" s="392"/>
      <c r="I172" s="392"/>
      <c r="J172" s="392"/>
      <c r="K172" s="391">
        <f t="shared" si="117"/>
        <v>0</v>
      </c>
      <c r="L172" s="681"/>
      <c r="M172" s="32"/>
      <c r="N172" s="32"/>
      <c r="O172" s="32"/>
    </row>
    <row r="173" spans="1:15" ht="18.75">
      <c r="A173" s="30">
        <v>17</v>
      </c>
      <c r="B173" s="492"/>
      <c r="C173" s="386"/>
      <c r="D173" s="388"/>
      <c r="E173" s="392"/>
      <c r="F173" s="392"/>
      <c r="G173" s="392"/>
      <c r="H173" s="392"/>
      <c r="I173" s="392"/>
      <c r="J173" s="392"/>
      <c r="K173" s="391">
        <f t="shared" si="117"/>
        <v>0</v>
      </c>
      <c r="L173" s="681"/>
      <c r="M173" s="32"/>
      <c r="N173" s="32"/>
      <c r="O173" s="32"/>
    </row>
    <row r="174" spans="1:15" ht="18.75">
      <c r="A174" s="30">
        <v>18</v>
      </c>
      <c r="B174" s="492"/>
      <c r="C174" s="386"/>
      <c r="D174" s="388"/>
      <c r="E174" s="392"/>
      <c r="F174" s="392"/>
      <c r="G174" s="392"/>
      <c r="H174" s="392"/>
      <c r="I174" s="392"/>
      <c r="J174" s="392"/>
      <c r="K174" s="391">
        <f t="shared" si="117"/>
        <v>0</v>
      </c>
      <c r="L174" s="681"/>
      <c r="M174" s="32"/>
      <c r="N174" s="32"/>
      <c r="O174" s="32"/>
    </row>
    <row r="175" spans="1:15" ht="18.75">
      <c r="A175" s="30">
        <v>19</v>
      </c>
      <c r="B175" s="492"/>
      <c r="C175" s="386"/>
      <c r="D175" s="388"/>
      <c r="E175" s="392"/>
      <c r="F175" s="392"/>
      <c r="G175" s="392"/>
      <c r="H175" s="392"/>
      <c r="I175" s="392"/>
      <c r="J175" s="392"/>
      <c r="K175" s="391">
        <f t="shared" si="117"/>
        <v>0</v>
      </c>
      <c r="L175" s="681"/>
      <c r="M175" s="32"/>
      <c r="N175" s="32"/>
      <c r="O175" s="32"/>
    </row>
    <row r="176" spans="1:15" ht="18.75">
      <c r="A176" s="30">
        <v>20</v>
      </c>
      <c r="B176" s="492"/>
      <c r="C176" s="386"/>
      <c r="D176" s="388"/>
      <c r="E176" s="392"/>
      <c r="F176" s="392"/>
      <c r="G176" s="392"/>
      <c r="H176" s="392"/>
      <c r="I176" s="392"/>
      <c r="J176" s="392"/>
      <c r="K176" s="391">
        <f t="shared" si="117"/>
        <v>0</v>
      </c>
      <c r="L176" s="681"/>
      <c r="M176" s="32"/>
      <c r="N176" s="32"/>
      <c r="O176" s="32"/>
    </row>
    <row r="177" spans="1:15" ht="18.75">
      <c r="A177" s="30">
        <v>21</v>
      </c>
      <c r="B177" s="492"/>
      <c r="C177" s="386"/>
      <c r="D177" s="388"/>
      <c r="E177" s="392"/>
      <c r="F177" s="392"/>
      <c r="G177" s="392"/>
      <c r="H177" s="392"/>
      <c r="I177" s="392"/>
      <c r="J177" s="392"/>
      <c r="K177" s="391">
        <f t="shared" si="117"/>
        <v>0</v>
      </c>
      <c r="L177" s="681"/>
      <c r="M177" s="32"/>
      <c r="N177" s="32"/>
      <c r="O177" s="32"/>
    </row>
    <row r="178" spans="1:15" ht="18.75">
      <c r="A178" s="30">
        <v>22</v>
      </c>
      <c r="B178" s="492"/>
      <c r="C178" s="386"/>
      <c r="D178" s="388"/>
      <c r="E178" s="392"/>
      <c r="F178" s="392"/>
      <c r="G178" s="392"/>
      <c r="H178" s="392"/>
      <c r="I178" s="392"/>
      <c r="J178" s="392"/>
      <c r="K178" s="391">
        <f t="shared" si="117"/>
        <v>0</v>
      </c>
      <c r="L178" s="681"/>
      <c r="M178" s="32"/>
      <c r="N178" s="32"/>
      <c r="O178" s="32"/>
    </row>
    <row r="179" spans="1:15" ht="18.75">
      <c r="A179" s="30">
        <v>23</v>
      </c>
      <c r="B179" s="492"/>
      <c r="C179" s="386"/>
      <c r="D179" s="388"/>
      <c r="E179" s="392"/>
      <c r="F179" s="392"/>
      <c r="G179" s="392"/>
      <c r="H179" s="392"/>
      <c r="I179" s="392"/>
      <c r="J179" s="392"/>
      <c r="K179" s="391">
        <f t="shared" si="117"/>
        <v>0</v>
      </c>
      <c r="L179" s="681"/>
      <c r="M179" s="32"/>
      <c r="N179" s="32"/>
      <c r="O179" s="32"/>
    </row>
    <row r="180" spans="1:15" ht="18.75">
      <c r="A180" s="30">
        <v>24</v>
      </c>
      <c r="B180" s="492"/>
      <c r="C180" s="386"/>
      <c r="D180" s="388"/>
      <c r="E180" s="392"/>
      <c r="F180" s="392"/>
      <c r="G180" s="392"/>
      <c r="H180" s="392"/>
      <c r="I180" s="392"/>
      <c r="J180" s="392"/>
      <c r="K180" s="391">
        <f t="shared" si="117"/>
        <v>0</v>
      </c>
      <c r="L180" s="681"/>
      <c r="M180" s="32"/>
      <c r="N180" s="32"/>
      <c r="O180" s="32"/>
    </row>
    <row r="181" spans="1:15" ht="18.75">
      <c r="A181" s="30">
        <v>25</v>
      </c>
      <c r="B181" s="492"/>
      <c r="C181" s="386"/>
      <c r="D181" s="388"/>
      <c r="E181" s="392"/>
      <c r="F181" s="392"/>
      <c r="G181" s="392"/>
      <c r="H181" s="392"/>
      <c r="I181" s="392"/>
      <c r="J181" s="392"/>
      <c r="K181" s="391">
        <f t="shared" si="117"/>
        <v>0</v>
      </c>
      <c r="L181" s="681"/>
      <c r="M181" s="32"/>
      <c r="N181" s="32"/>
      <c r="O181" s="32"/>
    </row>
    <row r="182" spans="1:15" ht="18.75">
      <c r="A182" s="30">
        <v>26</v>
      </c>
      <c r="B182" s="492"/>
      <c r="C182" s="386"/>
      <c r="D182" s="388"/>
      <c r="E182" s="392"/>
      <c r="F182" s="392"/>
      <c r="G182" s="392"/>
      <c r="H182" s="392"/>
      <c r="I182" s="392"/>
      <c r="J182" s="392"/>
      <c r="K182" s="391">
        <f t="shared" si="117"/>
        <v>0</v>
      </c>
      <c r="L182" s="681"/>
      <c r="M182" s="32"/>
      <c r="N182" s="32"/>
      <c r="O182" s="32"/>
    </row>
    <row r="183" spans="1:15" ht="18.75">
      <c r="A183" s="30">
        <v>27</v>
      </c>
      <c r="B183" s="492"/>
      <c r="C183" s="386"/>
      <c r="D183" s="388"/>
      <c r="E183" s="392"/>
      <c r="F183" s="392"/>
      <c r="G183" s="392"/>
      <c r="H183" s="392"/>
      <c r="I183" s="392"/>
      <c r="J183" s="392"/>
      <c r="K183" s="391">
        <f t="shared" si="117"/>
        <v>0</v>
      </c>
      <c r="L183" s="681"/>
      <c r="M183" s="32"/>
      <c r="N183" s="32"/>
      <c r="O183" s="32"/>
    </row>
    <row r="184" spans="1:15" ht="18.75">
      <c r="A184" s="30">
        <v>28</v>
      </c>
      <c r="B184" s="492"/>
      <c r="C184" s="386"/>
      <c r="D184" s="388"/>
      <c r="E184" s="392"/>
      <c r="F184" s="392"/>
      <c r="G184" s="392"/>
      <c r="H184" s="392"/>
      <c r="I184" s="392"/>
      <c r="J184" s="392"/>
      <c r="K184" s="391">
        <f t="shared" si="117"/>
        <v>0</v>
      </c>
      <c r="L184" s="681"/>
      <c r="M184" s="32"/>
      <c r="N184" s="32"/>
      <c r="O184" s="32"/>
    </row>
    <row r="185" spans="1:15" ht="18.75">
      <c r="A185" s="30">
        <v>29</v>
      </c>
      <c r="B185" s="492"/>
      <c r="C185" s="386"/>
      <c r="D185" s="388"/>
      <c r="E185" s="392"/>
      <c r="F185" s="392"/>
      <c r="G185" s="392"/>
      <c r="H185" s="392"/>
      <c r="I185" s="392"/>
      <c r="J185" s="392"/>
      <c r="K185" s="391">
        <f t="shared" si="117"/>
        <v>0</v>
      </c>
      <c r="L185" s="681"/>
      <c r="M185" s="32"/>
      <c r="N185" s="32"/>
      <c r="O185" s="32"/>
    </row>
    <row r="186" spans="1:15" ht="18.75">
      <c r="A186" s="30">
        <v>30</v>
      </c>
      <c r="B186" s="492"/>
      <c r="C186" s="386"/>
      <c r="D186" s="388"/>
      <c r="E186" s="392"/>
      <c r="F186" s="392"/>
      <c r="G186" s="392"/>
      <c r="H186" s="392"/>
      <c r="I186" s="392"/>
      <c r="J186" s="392"/>
      <c r="K186" s="391">
        <f t="shared" si="117"/>
        <v>0</v>
      </c>
      <c r="L186" s="681"/>
      <c r="M186" s="32"/>
      <c r="N186" s="32"/>
      <c r="O186" s="32"/>
    </row>
    <row r="187" spans="1:15" ht="18.75">
      <c r="A187" s="30">
        <v>31</v>
      </c>
      <c r="B187" s="492"/>
      <c r="C187" s="386"/>
      <c r="D187" s="388"/>
      <c r="E187" s="392"/>
      <c r="F187" s="392"/>
      <c r="G187" s="392"/>
      <c r="H187" s="392"/>
      <c r="I187" s="392"/>
      <c r="J187" s="392"/>
      <c r="K187" s="391">
        <f t="shared" si="117"/>
        <v>0</v>
      </c>
      <c r="L187" s="681"/>
      <c r="M187" s="32"/>
      <c r="N187" s="32"/>
      <c r="O187" s="32"/>
    </row>
    <row r="188" spans="1:15" ht="18.75">
      <c r="A188" s="30">
        <v>32</v>
      </c>
      <c r="B188" s="492"/>
      <c r="C188" s="386"/>
      <c r="D188" s="388"/>
      <c r="E188" s="392"/>
      <c r="F188" s="392"/>
      <c r="G188" s="392"/>
      <c r="H188" s="392"/>
      <c r="I188" s="392"/>
      <c r="J188" s="392"/>
      <c r="K188" s="391">
        <f t="shared" si="117"/>
        <v>0</v>
      </c>
      <c r="L188" s="681"/>
      <c r="M188" s="32"/>
      <c r="N188" s="32"/>
      <c r="O188" s="32"/>
    </row>
    <row r="189" spans="1:15" ht="18.75">
      <c r="A189" s="30">
        <v>33</v>
      </c>
      <c r="B189" s="492"/>
      <c r="C189" s="386"/>
      <c r="D189" s="388"/>
      <c r="E189" s="392"/>
      <c r="F189" s="392"/>
      <c r="G189" s="392"/>
      <c r="H189" s="392"/>
      <c r="I189" s="392"/>
      <c r="J189" s="392"/>
      <c r="K189" s="391">
        <f t="shared" si="117"/>
        <v>0</v>
      </c>
      <c r="L189" s="681"/>
      <c r="M189" s="32"/>
      <c r="N189" s="32"/>
      <c r="O189" s="32"/>
    </row>
    <row r="190" spans="1:15" ht="18.75">
      <c r="A190" s="30">
        <v>34</v>
      </c>
      <c r="B190" s="492"/>
      <c r="C190" s="386"/>
      <c r="D190" s="388"/>
      <c r="E190" s="392"/>
      <c r="F190" s="392"/>
      <c r="G190" s="392"/>
      <c r="H190" s="392"/>
      <c r="I190" s="392"/>
      <c r="J190" s="392"/>
      <c r="K190" s="391">
        <f t="shared" si="117"/>
        <v>0</v>
      </c>
      <c r="L190" s="681"/>
      <c r="M190" s="32"/>
      <c r="N190" s="32"/>
      <c r="O190" s="32"/>
    </row>
    <row r="191" spans="1:15" ht="18.75">
      <c r="A191" s="30">
        <v>35</v>
      </c>
      <c r="B191" s="492"/>
      <c r="C191" s="386"/>
      <c r="D191" s="388"/>
      <c r="E191" s="392"/>
      <c r="F191" s="392"/>
      <c r="G191" s="392"/>
      <c r="H191" s="392"/>
      <c r="I191" s="392"/>
      <c r="J191" s="392"/>
      <c r="K191" s="391">
        <f t="shared" si="117"/>
        <v>0</v>
      </c>
      <c r="L191" s="681"/>
      <c r="M191" s="32"/>
      <c r="N191" s="32"/>
      <c r="O191" s="32"/>
    </row>
    <row r="192" spans="1:15" ht="18.75">
      <c r="A192" s="30">
        <v>36</v>
      </c>
      <c r="B192" s="492"/>
      <c r="C192" s="386"/>
      <c r="D192" s="388"/>
      <c r="E192" s="392"/>
      <c r="F192" s="392"/>
      <c r="G192" s="392"/>
      <c r="H192" s="392"/>
      <c r="I192" s="392"/>
      <c r="J192" s="392"/>
      <c r="K192" s="391">
        <f t="shared" si="117"/>
        <v>0</v>
      </c>
      <c r="L192" s="681"/>
      <c r="M192" s="32"/>
      <c r="N192" s="32"/>
      <c r="O192" s="32"/>
    </row>
    <row r="193" spans="1:15" ht="18.75">
      <c r="A193" s="30">
        <v>37</v>
      </c>
      <c r="B193" s="492"/>
      <c r="C193" s="386"/>
      <c r="D193" s="388"/>
      <c r="E193" s="392"/>
      <c r="F193" s="392"/>
      <c r="G193" s="392"/>
      <c r="H193" s="392"/>
      <c r="I193" s="392"/>
      <c r="J193" s="392"/>
      <c r="K193" s="391">
        <f t="shared" si="117"/>
        <v>0</v>
      </c>
      <c r="L193" s="681"/>
      <c r="M193" s="32"/>
      <c r="N193" s="32"/>
      <c r="O193" s="32"/>
    </row>
    <row r="194" spans="1:15" ht="18.75">
      <c r="A194" s="30">
        <v>38</v>
      </c>
      <c r="B194" s="492"/>
      <c r="C194" s="386"/>
      <c r="D194" s="388"/>
      <c r="E194" s="392"/>
      <c r="F194" s="392"/>
      <c r="G194" s="392"/>
      <c r="H194" s="392"/>
      <c r="I194" s="392"/>
      <c r="J194" s="392"/>
      <c r="K194" s="391">
        <f t="shared" si="117"/>
        <v>0</v>
      </c>
      <c r="L194" s="681"/>
      <c r="M194" s="32"/>
      <c r="N194" s="32"/>
      <c r="O194" s="32"/>
    </row>
    <row r="195" spans="1:15" ht="18.75">
      <c r="A195" s="30">
        <v>39</v>
      </c>
      <c r="B195" s="492"/>
      <c r="C195" s="386"/>
      <c r="D195" s="388"/>
      <c r="E195" s="392"/>
      <c r="F195" s="392"/>
      <c r="G195" s="392"/>
      <c r="H195" s="392"/>
      <c r="I195" s="392"/>
      <c r="J195" s="392"/>
      <c r="K195" s="391">
        <f t="shared" si="117"/>
        <v>0</v>
      </c>
      <c r="L195" s="681"/>
      <c r="M195" s="32"/>
      <c r="N195" s="32"/>
      <c r="O195" s="32"/>
    </row>
    <row r="196" spans="1:15" ht="18.75">
      <c r="A196" s="30">
        <v>40</v>
      </c>
      <c r="B196" s="492"/>
      <c r="C196" s="386"/>
      <c r="D196" s="388"/>
      <c r="E196" s="392"/>
      <c r="F196" s="392"/>
      <c r="G196" s="392"/>
      <c r="H196" s="392"/>
      <c r="I196" s="392"/>
      <c r="J196" s="392"/>
      <c r="K196" s="391">
        <f t="shared" si="117"/>
        <v>0</v>
      </c>
      <c r="L196" s="681"/>
      <c r="M196" s="32"/>
      <c r="N196" s="32"/>
      <c r="O196" s="32"/>
    </row>
    <row r="197" spans="1:15" ht="18.75">
      <c r="A197" s="31"/>
      <c r="B197" s="31" t="s">
        <v>37</v>
      </c>
      <c r="C197" s="31"/>
      <c r="D197" s="31"/>
      <c r="E197" s="391">
        <f t="shared" ref="E197:J197" si="118">SUM(E157:E172)</f>
        <v>0</v>
      </c>
      <c r="F197" s="391">
        <f t="shared" si="118"/>
        <v>0</v>
      </c>
      <c r="G197" s="391">
        <f t="shared" si="118"/>
        <v>0</v>
      </c>
      <c r="H197" s="391">
        <f t="shared" si="118"/>
        <v>0</v>
      </c>
      <c r="I197" s="391">
        <f t="shared" si="118"/>
        <v>1000</v>
      </c>
      <c r="J197" s="391">
        <f t="shared" si="118"/>
        <v>0</v>
      </c>
      <c r="K197" s="391">
        <f>SUM(E197:J197)</f>
        <v>1000</v>
      </c>
      <c r="L197" s="681"/>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0" t="s">
        <v>53</v>
      </c>
    </row>
    <row r="208" spans="1:15">
      <c r="C208" s="490" t="s">
        <v>695</v>
      </c>
    </row>
    <row r="209" spans="3:3">
      <c r="C209" s="490" t="s">
        <v>197</v>
      </c>
    </row>
    <row r="210" spans="3:3">
      <c r="C210" s="490" t="s">
        <v>199</v>
      </c>
    </row>
    <row r="211" spans="3:3">
      <c r="C211" s="490" t="s">
        <v>201</v>
      </c>
    </row>
    <row r="212" spans="3:3">
      <c r="C212" s="490" t="s">
        <v>203</v>
      </c>
    </row>
    <row r="213" spans="3:3">
      <c r="C213" s="490" t="s">
        <v>553</v>
      </c>
    </row>
    <row r="214" spans="3:3">
      <c r="C214" s="490" t="s">
        <v>206</v>
      </c>
    </row>
    <row r="215" spans="3:3">
      <c r="C215" s="490" t="s">
        <v>208</v>
      </c>
    </row>
    <row r="216" spans="3:3">
      <c r="C216" s="490" t="s">
        <v>60</v>
      </c>
    </row>
    <row r="217" spans="3:3">
      <c r="C217" s="491" t="s">
        <v>211</v>
      </c>
    </row>
    <row r="218" spans="3:3">
      <c r="C218" s="490" t="s">
        <v>63</v>
      </c>
    </row>
    <row r="219" spans="3:3">
      <c r="C219" s="490" t="s">
        <v>214</v>
      </c>
    </row>
    <row r="220" spans="3:3">
      <c r="C220" s="490" t="s">
        <v>62</v>
      </c>
    </row>
    <row r="221" spans="3:3">
      <c r="C221" s="490" t="s">
        <v>217</v>
      </c>
    </row>
    <row r="222" spans="3:3">
      <c r="C222" s="490" t="s">
        <v>219</v>
      </c>
    </row>
    <row r="223" spans="3:3">
      <c r="C223" s="490" t="s">
        <v>221</v>
      </c>
    </row>
    <row r="224" spans="3:3">
      <c r="C224" s="490" t="s">
        <v>223</v>
      </c>
    </row>
    <row r="225" spans="3:3">
      <c r="C225" s="490" t="s">
        <v>64</v>
      </c>
    </row>
    <row r="226" spans="3:3">
      <c r="C226" s="490" t="s">
        <v>554</v>
      </c>
    </row>
    <row r="227" spans="3:3">
      <c r="C227" s="490" t="s">
        <v>65</v>
      </c>
    </row>
    <row r="228" spans="3:3">
      <c r="C228" s="490" t="s">
        <v>229</v>
      </c>
    </row>
    <row r="229" spans="3:3">
      <c r="C229" s="490" t="s">
        <v>231</v>
      </c>
    </row>
    <row r="230" spans="3:3">
      <c r="C230" s="489"/>
    </row>
    <row r="231" spans="3:3">
      <c r="C231" s="489"/>
    </row>
    <row r="232" spans="3:3">
      <c r="C232" s="489"/>
    </row>
    <row r="233" spans="3:3"/>
    <row r="234" spans="3:3"/>
    <row r="235" spans="3:3"/>
    <row r="236" spans="3:3"/>
  </sheetData>
  <protectedRanges>
    <protectedRange sqref="D16:D23" name="Range1"/>
  </protectedRanges>
  <mergeCells count="77">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K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Sheet18">
    <tabColor rgb="FF00B050"/>
    <pageSetUpPr fitToPage="1"/>
  </sheetPr>
  <dimension ref="A1:T19"/>
  <sheetViews>
    <sheetView view="pageBreakPreview" zoomScale="110" zoomScaleSheetLayoutView="110" workbookViewId="0">
      <selection activeCell="T4" sqref="T4"/>
    </sheetView>
  </sheetViews>
  <sheetFormatPr defaultColWidth="9.125" defaultRowHeight="15"/>
  <cols>
    <col min="1" max="1" width="4.75" style="55" customWidth="1"/>
    <col min="2" max="2" width="18.75" style="56" customWidth="1"/>
    <col min="3" max="3" width="6" style="56" customWidth="1"/>
    <col min="4" max="5" width="8.625" style="56" customWidth="1"/>
    <col min="6" max="6" width="5.125" style="56" customWidth="1"/>
    <col min="7" max="7" width="9.375" style="56" bestFit="1" customWidth="1"/>
    <col min="8" max="16" width="5.25" style="56" customWidth="1"/>
    <col min="17" max="17" width="7.25" style="56" customWidth="1"/>
    <col min="18" max="18" width="10.625" style="56" customWidth="1"/>
    <col min="19" max="19" width="10.125" style="56" customWidth="1"/>
    <col min="20" max="16384" width="9.125" style="56"/>
  </cols>
  <sheetData>
    <row r="1" spans="1:20" ht="15.75">
      <c r="A1" s="274"/>
      <c r="B1" s="198"/>
      <c r="C1" s="198"/>
      <c r="D1" s="198"/>
      <c r="E1" s="198"/>
      <c r="F1" s="198"/>
      <c r="G1" s="198"/>
      <c r="H1" s="198"/>
      <c r="I1" s="198"/>
      <c r="J1" s="198"/>
      <c r="K1" s="198"/>
      <c r="L1" s="198"/>
      <c r="M1" s="198"/>
      <c r="N1" s="198"/>
      <c r="O1" s="198"/>
      <c r="P1" s="198"/>
      <c r="Q1" s="949">
        <f>Summary!$C$1</f>
        <v>30695</v>
      </c>
      <c r="R1" s="949"/>
      <c r="S1" s="949"/>
    </row>
    <row r="2" spans="1:20" ht="20.25">
      <c r="A2" s="1049" t="str">
        <f>Summary!$A$2</f>
        <v>iz/kkukpk;Z egkRek xka/kh jktdh; fo|ky; ¼vaxzsth ek/;e½ cj ] C;koj</v>
      </c>
      <c r="B2" s="1049"/>
      <c r="C2" s="1049"/>
      <c r="D2" s="1049"/>
      <c r="E2" s="1049"/>
      <c r="F2" s="1049"/>
      <c r="G2" s="1049"/>
      <c r="H2" s="1049"/>
      <c r="I2" s="1049"/>
      <c r="J2" s="1049"/>
      <c r="K2" s="1049"/>
      <c r="L2" s="1049"/>
      <c r="M2" s="1049"/>
      <c r="N2" s="1049"/>
      <c r="O2" s="1049"/>
      <c r="P2" s="1049"/>
      <c r="Q2" s="1049"/>
      <c r="R2" s="1049"/>
      <c r="S2" s="1049"/>
    </row>
    <row r="3" spans="1:20" ht="20.25">
      <c r="A3" s="1049" t="s">
        <v>416</v>
      </c>
      <c r="B3" s="1049"/>
      <c r="C3" s="1049"/>
      <c r="D3" s="1049"/>
      <c r="E3" s="1049"/>
      <c r="F3" s="1049"/>
      <c r="G3" s="1049"/>
      <c r="H3" s="1049"/>
      <c r="I3" s="1049"/>
      <c r="J3" s="1049"/>
      <c r="K3" s="1049"/>
      <c r="L3" s="1049"/>
      <c r="M3" s="1049"/>
      <c r="N3" s="1049"/>
      <c r="O3" s="1049"/>
      <c r="P3" s="1049"/>
      <c r="Q3" s="1049"/>
      <c r="R3" s="1049"/>
      <c r="S3" s="1049"/>
    </row>
    <row r="4" spans="1:20" ht="20.25">
      <c r="A4" s="1049" t="s">
        <v>793</v>
      </c>
      <c r="B4" s="1049"/>
      <c r="C4" s="1049"/>
      <c r="D4" s="1049"/>
      <c r="E4" s="1049"/>
      <c r="F4" s="1049"/>
      <c r="G4" s="1049"/>
      <c r="H4" s="1049"/>
      <c r="I4" s="1049"/>
      <c r="J4" s="1049"/>
      <c r="K4" s="1049"/>
      <c r="L4" s="1049"/>
      <c r="M4" s="1049"/>
      <c r="N4" s="1049"/>
      <c r="O4" s="1049"/>
      <c r="P4" s="1049"/>
      <c r="Q4" s="1049"/>
      <c r="R4" s="1049"/>
      <c r="S4" s="1049"/>
    </row>
    <row r="5" spans="1:20" ht="19.5" customHeight="1">
      <c r="A5" s="1047" t="str">
        <f>[1]Summary!A5</f>
        <v>BUDGET HEAD : 2202-GENERAL EDUCATION, 02-SECONDARY EDUCATION, 109-GOVT. SEC. SCHOOL, (27)-BOYS SCHOOL (01) (STATE FUND)</v>
      </c>
      <c r="B5" s="1047"/>
      <c r="C5" s="1047"/>
      <c r="D5" s="1047"/>
      <c r="E5" s="1047"/>
      <c r="F5" s="1047"/>
      <c r="G5" s="1047"/>
      <c r="H5" s="1047"/>
      <c r="I5" s="1047"/>
      <c r="J5" s="1047"/>
      <c r="K5" s="1047"/>
      <c r="L5" s="1047"/>
      <c r="M5" s="1047"/>
      <c r="N5" s="1047"/>
      <c r="O5" s="1047"/>
      <c r="P5" s="1047"/>
      <c r="Q5" s="1047"/>
      <c r="R5" s="1047"/>
      <c r="S5" s="1047"/>
    </row>
    <row r="6" spans="1:20" ht="20.25" customHeight="1">
      <c r="A6" s="952" t="s">
        <v>6</v>
      </c>
      <c r="B6" s="952" t="s">
        <v>326</v>
      </c>
      <c r="C6" s="952" t="s">
        <v>372</v>
      </c>
      <c r="D6" s="952"/>
      <c r="E6" s="952"/>
      <c r="F6" s="952"/>
      <c r="G6" s="952" t="s">
        <v>417</v>
      </c>
      <c r="H6" s="952" t="s">
        <v>418</v>
      </c>
      <c r="I6" s="952"/>
      <c r="J6" s="952"/>
      <c r="K6" s="952"/>
      <c r="L6" s="952"/>
      <c r="M6" s="952"/>
      <c r="N6" s="952"/>
      <c r="O6" s="952"/>
      <c r="P6" s="952"/>
      <c r="Q6" s="952"/>
      <c r="R6" s="952" t="s">
        <v>419</v>
      </c>
      <c r="S6" s="952" t="s">
        <v>420</v>
      </c>
    </row>
    <row r="7" spans="1:20" ht="40.5" customHeight="1">
      <c r="A7" s="952"/>
      <c r="B7" s="952"/>
      <c r="C7" s="1048" t="s">
        <v>421</v>
      </c>
      <c r="D7" s="1048" t="s">
        <v>422</v>
      </c>
      <c r="E7" s="1048" t="s">
        <v>423</v>
      </c>
      <c r="F7" s="1048" t="s">
        <v>424</v>
      </c>
      <c r="G7" s="952"/>
      <c r="H7" s="952" t="s">
        <v>421</v>
      </c>
      <c r="I7" s="952"/>
      <c r="J7" s="952"/>
      <c r="K7" s="952" t="s">
        <v>422</v>
      </c>
      <c r="L7" s="952"/>
      <c r="M7" s="952"/>
      <c r="N7" s="952" t="s">
        <v>423</v>
      </c>
      <c r="O7" s="952"/>
      <c r="P7" s="952"/>
      <c r="Q7" s="1048" t="s">
        <v>37</v>
      </c>
      <c r="R7" s="952"/>
      <c r="S7" s="952"/>
    </row>
    <row r="8" spans="1:20" ht="44.25" customHeight="1">
      <c r="A8" s="952"/>
      <c r="B8" s="952"/>
      <c r="C8" s="1048"/>
      <c r="D8" s="1048"/>
      <c r="E8" s="1048"/>
      <c r="F8" s="1048"/>
      <c r="G8" s="952"/>
      <c r="H8" s="275" t="s">
        <v>425</v>
      </c>
      <c r="I8" s="275" t="s">
        <v>426</v>
      </c>
      <c r="J8" s="275" t="s">
        <v>424</v>
      </c>
      <c r="K8" s="275" t="s">
        <v>425</v>
      </c>
      <c r="L8" s="275" t="s">
        <v>426</v>
      </c>
      <c r="M8" s="275" t="s">
        <v>424</v>
      </c>
      <c r="N8" s="275" t="s">
        <v>425</v>
      </c>
      <c r="O8" s="275" t="s">
        <v>426</v>
      </c>
      <c r="P8" s="275" t="s">
        <v>424</v>
      </c>
      <c r="Q8" s="1048"/>
      <c r="R8" s="952"/>
      <c r="S8" s="952"/>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3"/>
    </row>
    <row r="10" spans="1:20" s="188" customFormat="1" ht="63" customHeight="1">
      <c r="A10" s="199">
        <v>1</v>
      </c>
      <c r="B10" s="212" t="str">
        <f>$P$17</f>
        <v>egkRek xka/kh jktdh; fo|ky; ¼vaxzsth ek/;e½ cj ] C;koj</v>
      </c>
      <c r="C10" s="276">
        <f>'Format 1A'!G31</f>
        <v>0</v>
      </c>
      <c r="D10" s="276">
        <f>'Format 1A'!G27</f>
        <v>1</v>
      </c>
      <c r="E10" s="276">
        <f>'Format 1A'!G32</f>
        <v>2</v>
      </c>
      <c r="F10" s="200">
        <f>SUM(C10:E10)</f>
        <v>3</v>
      </c>
      <c r="G10" s="506">
        <v>1650</v>
      </c>
      <c r="H10" s="276">
        <f>'Formet 8'!X125</f>
        <v>0</v>
      </c>
      <c r="I10" s="276">
        <f>'Formet 8'!Y125</f>
        <v>0</v>
      </c>
      <c r="J10" s="200">
        <f>SUM(H10:I10)</f>
        <v>0</v>
      </c>
      <c r="K10" s="276">
        <f>'Formet 8'!Z125</f>
        <v>0</v>
      </c>
      <c r="L10" s="276">
        <f>'Formet 8'!AA125</f>
        <v>0</v>
      </c>
      <c r="M10" s="200">
        <f>SUM(K10:L10)</f>
        <v>0</v>
      </c>
      <c r="N10" s="276">
        <f>'Formet 8'!AB125</f>
        <v>0</v>
      </c>
      <c r="O10" s="276">
        <f>'Formet 8'!AC125</f>
        <v>0</v>
      </c>
      <c r="P10" s="200">
        <f>SUM(N10:O10)</f>
        <v>0</v>
      </c>
      <c r="Q10" s="200">
        <f>J10+M10+P10</f>
        <v>0</v>
      </c>
      <c r="R10" s="276">
        <f>H10*1800+I10*1800+(K10+N10)*1650+(L10+O10)*1950</f>
        <v>0</v>
      </c>
      <c r="S10" s="276">
        <f>G10-R10</f>
        <v>1650</v>
      </c>
    </row>
    <row r="11" spans="1:20" ht="45.75" customHeight="1">
      <c r="A11" s="181"/>
      <c r="B11" s="225" t="s">
        <v>347</v>
      </c>
      <c r="C11" s="200">
        <f>SUM(C10:C10)</f>
        <v>0</v>
      </c>
      <c r="D11" s="200">
        <f t="shared" ref="D11:S11" si="0">SUM(D10:D10)</f>
        <v>1</v>
      </c>
      <c r="E11" s="200">
        <f t="shared" si="0"/>
        <v>2</v>
      </c>
      <c r="F11" s="200">
        <f t="shared" si="0"/>
        <v>3</v>
      </c>
      <c r="G11" s="200">
        <f t="shared" si="0"/>
        <v>1650</v>
      </c>
      <c r="H11" s="200">
        <f t="shared" si="0"/>
        <v>0</v>
      </c>
      <c r="I11" s="200">
        <f t="shared" si="0"/>
        <v>0</v>
      </c>
      <c r="J11" s="200">
        <f t="shared" si="0"/>
        <v>0</v>
      </c>
      <c r="K11" s="200">
        <f t="shared" si="0"/>
        <v>0</v>
      </c>
      <c r="L11" s="200">
        <f t="shared" si="0"/>
        <v>0</v>
      </c>
      <c r="M11" s="200">
        <f t="shared" si="0"/>
        <v>0</v>
      </c>
      <c r="N11" s="200">
        <f t="shared" si="0"/>
        <v>0</v>
      </c>
      <c r="O11" s="200">
        <f t="shared" si="0"/>
        <v>0</v>
      </c>
      <c r="P11" s="200">
        <f t="shared" si="0"/>
        <v>0</v>
      </c>
      <c r="Q11" s="200">
        <f t="shared" si="0"/>
        <v>0</v>
      </c>
      <c r="R11" s="200">
        <f t="shared" si="0"/>
        <v>0</v>
      </c>
      <c r="S11" s="200">
        <f t="shared" si="0"/>
        <v>1650</v>
      </c>
    </row>
    <row r="12" spans="1:20" ht="15.75">
      <c r="A12" s="522" t="s">
        <v>550</v>
      </c>
      <c r="B12" s="198"/>
      <c r="C12" s="198"/>
      <c r="D12" s="198"/>
      <c r="E12" s="198"/>
      <c r="F12" s="198"/>
      <c r="G12" s="198"/>
      <c r="H12" s="198"/>
      <c r="I12" s="198"/>
      <c r="J12" s="198"/>
      <c r="K12" s="198"/>
      <c r="L12" s="198"/>
      <c r="M12" s="198"/>
      <c r="N12" s="198"/>
      <c r="O12" s="198"/>
      <c r="P12" s="198"/>
      <c r="Q12" s="198"/>
      <c r="R12" s="198"/>
      <c r="S12" s="198"/>
    </row>
    <row r="13" spans="1:20" ht="15.75">
      <c r="A13" s="522"/>
      <c r="B13" s="198"/>
      <c r="C13" s="198"/>
      <c r="D13" s="198"/>
      <c r="E13" s="198"/>
      <c r="F13" s="198"/>
      <c r="G13" s="198"/>
      <c r="H13" s="198"/>
      <c r="I13" s="198"/>
      <c r="J13" s="198"/>
      <c r="K13" s="198"/>
      <c r="L13" s="198"/>
      <c r="M13" s="198"/>
      <c r="N13" s="198"/>
      <c r="O13" s="198"/>
      <c r="P13" s="198"/>
      <c r="Q13" s="198"/>
      <c r="R13" s="198"/>
      <c r="S13" s="198"/>
    </row>
    <row r="14" spans="1:20">
      <c r="A14" s="274"/>
      <c r="B14" s="198"/>
      <c r="C14" s="198"/>
      <c r="D14" s="198"/>
      <c r="E14" s="198"/>
      <c r="F14" s="198"/>
      <c r="G14" s="198"/>
      <c r="H14" s="198"/>
      <c r="I14" s="198"/>
      <c r="J14" s="198"/>
      <c r="K14" s="198"/>
      <c r="L14" s="198"/>
      <c r="M14" s="198"/>
      <c r="N14" s="198"/>
      <c r="O14" s="198"/>
      <c r="P14" s="198"/>
      <c r="Q14" s="198"/>
      <c r="R14" s="198"/>
      <c r="S14" s="198"/>
    </row>
    <row r="15" spans="1:20">
      <c r="A15" s="274"/>
      <c r="B15" s="198"/>
      <c r="C15" s="198"/>
      <c r="D15" s="198"/>
      <c r="E15" s="198"/>
      <c r="F15" s="198"/>
      <c r="G15" s="198"/>
      <c r="H15" s="198"/>
      <c r="I15" s="198"/>
      <c r="J15" s="198"/>
      <c r="K15" s="198"/>
      <c r="L15" s="198"/>
      <c r="M15" s="198"/>
      <c r="N15" s="198"/>
      <c r="O15" s="198"/>
      <c r="P15" s="954" t="str">
        <f>CONCATENATE("¼ ",Master!G3,"½")</f>
        <v>¼ m"kk ikfy;k½</v>
      </c>
      <c r="Q15" s="954"/>
      <c r="R15" s="954"/>
      <c r="S15" s="954"/>
    </row>
    <row r="16" spans="1:20" ht="16.5">
      <c r="A16" s="274"/>
      <c r="B16" s="198"/>
      <c r="C16" s="198"/>
      <c r="D16" s="198"/>
      <c r="E16" s="198"/>
      <c r="F16" s="198"/>
      <c r="G16" s="198"/>
      <c r="H16" s="108"/>
      <c r="I16" s="108"/>
      <c r="J16" s="108"/>
      <c r="K16" s="108"/>
      <c r="L16" s="108"/>
      <c r="M16" s="108"/>
      <c r="N16" s="108"/>
      <c r="O16" s="108"/>
      <c r="P16" s="1042" t="str">
        <f>Master!C2</f>
        <v>iz/kkukpk;Z</v>
      </c>
      <c r="Q16" s="1042"/>
      <c r="R16" s="1042"/>
      <c r="S16" s="1042"/>
    </row>
    <row r="17" spans="1:19">
      <c r="A17" s="274"/>
      <c r="B17" s="198"/>
      <c r="C17" s="108"/>
      <c r="D17" s="108"/>
      <c r="E17" s="108"/>
      <c r="F17" s="198"/>
      <c r="G17" s="198"/>
      <c r="H17" s="108"/>
      <c r="I17" s="108"/>
      <c r="J17" s="108"/>
      <c r="K17" s="108"/>
      <c r="L17" s="108"/>
      <c r="M17" s="108"/>
      <c r="N17" s="108"/>
      <c r="O17" s="108"/>
      <c r="P17" s="923" t="str">
        <f>Master!D2</f>
        <v>egkRek xka/kh jktdh; fo|ky; ¼vaxzsth ek/;e½ cj ] C;koj</v>
      </c>
      <c r="Q17" s="923"/>
      <c r="R17" s="923"/>
      <c r="S17" s="923"/>
    </row>
    <row r="18" spans="1:19">
      <c r="A18" s="274"/>
      <c r="B18" s="198"/>
      <c r="C18" s="198"/>
      <c r="D18" s="198"/>
      <c r="E18" s="198"/>
      <c r="F18" s="198"/>
      <c r="G18" s="198"/>
      <c r="H18" s="108"/>
      <c r="I18" s="108"/>
      <c r="J18" s="108"/>
      <c r="K18" s="108"/>
      <c r="L18" s="108"/>
      <c r="M18" s="108"/>
      <c r="N18" s="108"/>
      <c r="O18" s="108"/>
      <c r="P18" s="923"/>
      <c r="Q18" s="923"/>
      <c r="R18" s="923"/>
      <c r="S18" s="923"/>
    </row>
    <row r="19" spans="1:19">
      <c r="A19" s="274"/>
      <c r="B19" s="198"/>
      <c r="C19" s="198"/>
      <c r="D19" s="198"/>
      <c r="E19" s="198"/>
      <c r="F19" s="198"/>
      <c r="G19" s="198"/>
      <c r="H19" s="198"/>
      <c r="I19" s="198"/>
      <c r="J19" s="198"/>
      <c r="K19" s="198"/>
      <c r="L19" s="198"/>
      <c r="M19" s="198"/>
      <c r="N19" s="198"/>
      <c r="O19" s="198"/>
      <c r="P19" s="923"/>
      <c r="Q19" s="923"/>
      <c r="R19" s="923"/>
      <c r="S19" s="923"/>
    </row>
  </sheetData>
  <mergeCells count="23">
    <mergeCell ref="Q1:S1"/>
    <mergeCell ref="A2:S2"/>
    <mergeCell ref="A3:S3"/>
    <mergeCell ref="A4:S4"/>
    <mergeCell ref="A6:A8"/>
    <mergeCell ref="B6:B8"/>
    <mergeCell ref="C6:F6"/>
    <mergeCell ref="G6:G8"/>
    <mergeCell ref="H6:Q6"/>
    <mergeCell ref="R6:R8"/>
    <mergeCell ref="P16:S16"/>
    <mergeCell ref="P17:S19"/>
    <mergeCell ref="A5:S5"/>
    <mergeCell ref="S6:S8"/>
    <mergeCell ref="C7:C8"/>
    <mergeCell ref="D7:D8"/>
    <mergeCell ref="E7:E8"/>
    <mergeCell ref="F7:F8"/>
    <mergeCell ref="H7:J7"/>
    <mergeCell ref="K7:M7"/>
    <mergeCell ref="N7:P7"/>
    <mergeCell ref="Q7:Q8"/>
    <mergeCell ref="P15:S15"/>
  </mergeCells>
  <conditionalFormatting sqref="A12:A13">
    <cfRule type="containsText" dxfId="10"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codeName="Sheet19">
    <tabColor rgb="FF00B050"/>
    <pageSetUpPr fitToPage="1"/>
  </sheetPr>
  <dimension ref="A1:BL19"/>
  <sheetViews>
    <sheetView showGridLines="0" view="pageBreakPreview" zoomScale="110" zoomScaleSheetLayoutView="110" workbookViewId="0">
      <selection activeCell="L11" sqref="L11"/>
    </sheetView>
  </sheetViews>
  <sheetFormatPr defaultColWidth="9.125" defaultRowHeight="15"/>
  <cols>
    <col min="1" max="1" width="5.75" style="297" customWidth="1"/>
    <col min="2" max="2" width="19" style="297" customWidth="1"/>
    <col min="3" max="3" width="15" style="297" customWidth="1"/>
    <col min="4" max="4" width="14.875" style="297" customWidth="1"/>
    <col min="5" max="5" width="14.625" style="297" customWidth="1"/>
    <col min="6" max="6" width="14.25" style="297" customWidth="1"/>
    <col min="7" max="7" width="9" style="297" bestFit="1" customWidth="1"/>
    <col min="8" max="8" width="10.875" style="297" bestFit="1" customWidth="1"/>
    <col min="9" max="9" width="8.25" style="297" customWidth="1"/>
    <col min="10" max="10" width="10.375" style="297" customWidth="1"/>
    <col min="11" max="11" width="10.625" style="297" customWidth="1"/>
    <col min="12" max="12" width="9.125" style="297"/>
    <col min="13" max="37" width="9.125" style="297" hidden="1" customWidth="1"/>
    <col min="38" max="64" width="3.875" style="297" hidden="1" customWidth="1"/>
    <col min="65" max="16384" width="9.125" style="297"/>
  </cols>
  <sheetData>
    <row r="1" spans="1:64" ht="15.75">
      <c r="A1" s="145"/>
      <c r="B1" s="145"/>
      <c r="C1" s="145"/>
      <c r="D1" s="145"/>
      <c r="E1" s="145"/>
      <c r="F1" s="145"/>
      <c r="G1" s="145"/>
      <c r="H1" s="145"/>
      <c r="I1" s="949">
        <f>Summary!$C$1</f>
        <v>30695</v>
      </c>
      <c r="J1" s="949"/>
      <c r="K1" s="949"/>
    </row>
    <row r="2" spans="1:64" ht="18.75">
      <c r="A2" s="1050" t="str">
        <f>Summary!$A$3</f>
        <v>Principal Mahatma Gandhi Government School (English Medium) Bar, (BEAWAR)</v>
      </c>
      <c r="B2" s="1050"/>
      <c r="C2" s="1050"/>
      <c r="D2" s="1050"/>
      <c r="E2" s="1050"/>
      <c r="F2" s="1050"/>
      <c r="G2" s="1050"/>
      <c r="H2" s="1050"/>
      <c r="I2" s="1050"/>
      <c r="J2" s="1050"/>
      <c r="K2" s="1050"/>
      <c r="M2" s="298" t="s">
        <v>314</v>
      </c>
      <c r="N2" s="299">
        <v>1300</v>
      </c>
      <c r="O2" s="299">
        <v>1400</v>
      </c>
      <c r="P2" s="299">
        <v>1650</v>
      </c>
      <c r="Q2" s="299">
        <v>1800</v>
      </c>
      <c r="R2" s="299">
        <v>1850</v>
      </c>
      <c r="S2" s="299">
        <v>1900</v>
      </c>
      <c r="T2" s="299">
        <v>2000</v>
      </c>
      <c r="U2" s="299">
        <v>2100</v>
      </c>
      <c r="V2" s="299">
        <v>2400</v>
      </c>
      <c r="W2" s="299">
        <v>2800</v>
      </c>
      <c r="X2" s="299">
        <v>3200</v>
      </c>
      <c r="Y2" s="299">
        <v>3600</v>
      </c>
      <c r="Z2" s="299">
        <v>4200</v>
      </c>
      <c r="AA2" s="299">
        <v>4800</v>
      </c>
      <c r="AB2" s="299">
        <v>5400</v>
      </c>
      <c r="AC2" s="299">
        <v>6000</v>
      </c>
      <c r="AD2" s="299">
        <v>6600</v>
      </c>
      <c r="AE2" s="299">
        <v>6800</v>
      </c>
      <c r="AF2" s="299">
        <v>7200</v>
      </c>
      <c r="AG2" s="299">
        <v>7600</v>
      </c>
      <c r="AH2" s="299">
        <v>8200</v>
      </c>
      <c r="AI2" s="299">
        <v>8700</v>
      </c>
      <c r="AJ2" s="299">
        <v>8900</v>
      </c>
      <c r="AK2" s="299">
        <v>10000</v>
      </c>
    </row>
    <row r="3" spans="1:64" ht="15.75">
      <c r="A3" s="1051" t="s">
        <v>427</v>
      </c>
      <c r="B3" s="1051"/>
      <c r="C3" s="1051"/>
      <c r="D3" s="1051"/>
      <c r="E3" s="1051"/>
      <c r="F3" s="1051"/>
      <c r="G3" s="1051"/>
      <c r="H3" s="1051"/>
      <c r="I3" s="1051"/>
      <c r="J3" s="1051"/>
      <c r="K3" s="1051"/>
      <c r="M3" s="298" t="s">
        <v>428</v>
      </c>
      <c r="N3" s="300">
        <v>4850</v>
      </c>
      <c r="O3" s="300">
        <v>5050</v>
      </c>
      <c r="P3" s="300">
        <v>5300</v>
      </c>
      <c r="Q3" s="300">
        <v>5600</v>
      </c>
      <c r="R3" s="300">
        <v>5900</v>
      </c>
      <c r="S3" s="300">
        <v>6100</v>
      </c>
      <c r="T3" s="300">
        <v>6400</v>
      </c>
      <c r="U3" s="300">
        <v>6750</v>
      </c>
      <c r="V3" s="300">
        <v>7900</v>
      </c>
      <c r="W3" s="300">
        <v>8950</v>
      </c>
      <c r="X3" s="300">
        <v>10000</v>
      </c>
      <c r="Y3" s="300">
        <v>11100</v>
      </c>
      <c r="Z3" s="300">
        <v>13050</v>
      </c>
      <c r="AA3" s="300">
        <v>15000</v>
      </c>
      <c r="AB3" s="300">
        <v>16800</v>
      </c>
      <c r="AC3" s="300">
        <v>18200</v>
      </c>
      <c r="AD3" s="300">
        <v>20200</v>
      </c>
      <c r="AE3" s="300">
        <v>21300</v>
      </c>
      <c r="AF3" s="300">
        <v>22600</v>
      </c>
      <c r="AG3" s="300">
        <v>23950</v>
      </c>
      <c r="AH3" s="300">
        <v>26650</v>
      </c>
      <c r="AI3" s="300">
        <v>36900</v>
      </c>
      <c r="AJ3" s="300">
        <v>38900</v>
      </c>
      <c r="AK3" s="300">
        <v>43800</v>
      </c>
      <c r="AL3" s="301" t="s">
        <v>429</v>
      </c>
      <c r="AM3" s="301" t="s">
        <v>430</v>
      </c>
      <c r="AN3" s="302" t="s">
        <v>431</v>
      </c>
      <c r="AO3" s="301" t="s">
        <v>432</v>
      </c>
      <c r="AP3" s="301" t="s">
        <v>433</v>
      </c>
      <c r="AQ3" s="301" t="s">
        <v>434</v>
      </c>
      <c r="AR3" s="301" t="s">
        <v>435</v>
      </c>
      <c r="AS3" s="301" t="s">
        <v>436</v>
      </c>
      <c r="AT3" s="301" t="s">
        <v>437</v>
      </c>
      <c r="AU3" s="301" t="s">
        <v>438</v>
      </c>
      <c r="AV3" s="301" t="s">
        <v>439</v>
      </c>
      <c r="AW3" s="302" t="s">
        <v>440</v>
      </c>
      <c r="AX3" s="301" t="s">
        <v>441</v>
      </c>
      <c r="AY3" s="301" t="s">
        <v>442</v>
      </c>
      <c r="AZ3" s="301" t="s">
        <v>443</v>
      </c>
      <c r="BA3" s="301" t="s">
        <v>444</v>
      </c>
      <c r="BB3" s="301" t="s">
        <v>445</v>
      </c>
      <c r="BC3" s="301" t="s">
        <v>446</v>
      </c>
      <c r="BD3" s="301" t="s">
        <v>447</v>
      </c>
      <c r="BE3" s="301" t="s">
        <v>448</v>
      </c>
      <c r="BF3" s="301" t="s">
        <v>449</v>
      </c>
      <c r="BG3" s="301" t="s">
        <v>450</v>
      </c>
      <c r="BH3" s="301" t="s">
        <v>451</v>
      </c>
      <c r="BI3" s="301" t="s">
        <v>452</v>
      </c>
      <c r="BJ3" s="301" t="s">
        <v>453</v>
      </c>
      <c r="BK3" s="301" t="s">
        <v>454</v>
      </c>
      <c r="BL3" s="302" t="s">
        <v>455</v>
      </c>
    </row>
    <row r="4" spans="1:64" ht="15.75">
      <c r="A4" s="1051" t="s">
        <v>794</v>
      </c>
      <c r="B4" s="1051"/>
      <c r="C4" s="1051"/>
      <c r="D4" s="1051"/>
      <c r="E4" s="1051"/>
      <c r="F4" s="1051"/>
      <c r="G4" s="1051"/>
      <c r="H4" s="1051"/>
      <c r="I4" s="1051"/>
      <c r="J4" s="1051"/>
      <c r="K4" s="1051"/>
    </row>
    <row r="5" spans="1:64" ht="18.75">
      <c r="A5" s="1050" t="s">
        <v>463</v>
      </c>
      <c r="B5" s="1050"/>
      <c r="C5" s="1050"/>
      <c r="D5" s="1050"/>
      <c r="E5" s="1050"/>
      <c r="F5" s="1050"/>
      <c r="G5" s="1050"/>
      <c r="H5" s="1050"/>
      <c r="I5" s="1050"/>
      <c r="J5" s="1050"/>
      <c r="K5" s="1050"/>
    </row>
    <row r="6" spans="1:64" ht="15.75" customHeight="1">
      <c r="A6" s="1047" t="str">
        <f>Summary!A5</f>
        <v>BUDGET HEAD : 2202-GENERAL EDUCATION, 02-SECONDARY EDUCATION, 109-GOVT. SEC. SCHOOL, (02)-GIRLS SCHOOL (STATE FUND)</v>
      </c>
      <c r="B6" s="1047"/>
      <c r="C6" s="1047"/>
      <c r="D6" s="1047"/>
      <c r="E6" s="1047"/>
      <c r="F6" s="1047"/>
      <c r="G6" s="1047"/>
      <c r="H6" s="1047"/>
      <c r="I6" s="1047"/>
      <c r="J6" s="1047"/>
      <c r="K6" s="1047"/>
    </row>
    <row r="7" spans="1:64" ht="63.75" customHeight="1">
      <c r="A7" s="141" t="s">
        <v>354</v>
      </c>
      <c r="B7" s="141" t="s">
        <v>457</v>
      </c>
      <c r="C7" s="141" t="s">
        <v>46</v>
      </c>
      <c r="D7" s="284" t="s">
        <v>458</v>
      </c>
      <c r="E7" s="284" t="s">
        <v>459</v>
      </c>
      <c r="F7" s="141" t="s">
        <v>460</v>
      </c>
      <c r="G7" s="141" t="s">
        <v>314</v>
      </c>
      <c r="H7" s="141" t="s">
        <v>747</v>
      </c>
      <c r="I7" s="141" t="s">
        <v>461</v>
      </c>
      <c r="J7" s="141" t="s">
        <v>795</v>
      </c>
      <c r="K7" s="141" t="s">
        <v>796</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4" t="s">
        <v>464</v>
      </c>
      <c r="C9" s="29"/>
      <c r="D9" s="305"/>
      <c r="E9" s="305"/>
      <c r="F9" s="289"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3" customFormat="1" ht="33" customHeight="1">
      <c r="A10" s="199"/>
      <c r="B10" s="306" t="s">
        <v>70</v>
      </c>
      <c r="C10" s="307"/>
      <c r="D10" s="308"/>
      <c r="E10" s="308"/>
      <c r="F10" s="295"/>
      <c r="G10" s="143"/>
      <c r="H10" s="143">
        <f>SUM(H9:H9)</f>
        <v>0</v>
      </c>
      <c r="I10" s="143">
        <f>SUM(I9:I9)</f>
        <v>0</v>
      </c>
      <c r="J10" s="143">
        <f>SUM(J9:J9)</f>
        <v>0</v>
      </c>
      <c r="K10" s="143">
        <f>SUM(K9:K9)</f>
        <v>0</v>
      </c>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row>
    <row r="11" spans="1:64" ht="15.75">
      <c r="A11" s="522" t="s">
        <v>550</v>
      </c>
      <c r="B11" s="309"/>
      <c r="C11" s="309"/>
      <c r="D11" s="309"/>
      <c r="E11" s="309"/>
      <c r="F11" s="309"/>
      <c r="G11" s="309"/>
      <c r="H11" s="309"/>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910" t="str">
        <f>CONCATENATE("¼ ",Master!G3,"½")</f>
        <v>¼ m"kk ikfy;k½</v>
      </c>
      <c r="J14" s="910"/>
      <c r="K14" s="910"/>
    </row>
    <row r="15" spans="1:64" ht="16.5">
      <c r="A15" s="145"/>
      <c r="B15" s="145"/>
      <c r="C15" s="145"/>
      <c r="D15" s="145"/>
      <c r="E15" s="145"/>
      <c r="F15" s="145"/>
      <c r="G15" s="145"/>
      <c r="H15" s="145"/>
      <c r="I15" s="928" t="str">
        <f>Master!C2</f>
        <v>iz/kkukpk;Z</v>
      </c>
      <c r="J15" s="928"/>
      <c r="K15" s="928"/>
    </row>
    <row r="16" spans="1:64" ht="15" customHeight="1">
      <c r="A16" s="145"/>
      <c r="B16" s="145"/>
      <c r="C16" s="145"/>
      <c r="D16" s="145"/>
      <c r="E16" s="145"/>
      <c r="F16" s="145"/>
      <c r="G16" s="145"/>
      <c r="H16" s="145"/>
      <c r="I16" s="923" t="str">
        <f>Master!D2</f>
        <v>egkRek xka/kh jktdh; fo|ky; ¼vaxzsth ek/;e½ cj ] C;koj</v>
      </c>
      <c r="J16" s="923"/>
      <c r="K16" s="923"/>
    </row>
    <row r="17" spans="1:11" ht="15" customHeight="1">
      <c r="A17" s="145"/>
      <c r="B17" s="145"/>
      <c r="C17" s="145"/>
      <c r="D17" s="145"/>
      <c r="E17" s="145"/>
      <c r="F17" s="145"/>
      <c r="G17" s="145"/>
      <c r="H17" s="145"/>
      <c r="I17" s="923"/>
      <c r="J17" s="923"/>
      <c r="K17" s="923"/>
    </row>
    <row r="18" spans="1:11" ht="15" customHeight="1">
      <c r="A18" s="145"/>
      <c r="B18" s="145"/>
      <c r="C18" s="145"/>
      <c r="D18" s="145"/>
      <c r="E18" s="145"/>
      <c r="F18" s="145"/>
      <c r="G18" s="145"/>
      <c r="H18" s="145"/>
      <c r="I18" s="923"/>
      <c r="J18" s="923"/>
      <c r="K18" s="923"/>
    </row>
    <row r="19" spans="1:11">
      <c r="A19" s="309"/>
      <c r="B19" s="309"/>
      <c r="C19" s="309"/>
      <c r="D19" s="309"/>
      <c r="E19" s="309"/>
      <c r="F19" s="309"/>
      <c r="G19" s="309"/>
      <c r="H19" s="309"/>
      <c r="I19" s="309"/>
      <c r="J19" s="309"/>
      <c r="K19" s="309"/>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9" priority="1" operator="containsText" text="in fjDr">
      <formula>NOT(ISERROR(SEARCH("in fjDr",A11)))</formula>
    </cfRule>
  </conditionalFormatting>
  <pageMargins left="0.7" right="0.7" top="0.75" bottom="0.75" header="0.3" footer="0.3"/>
  <pageSetup paperSize="9" scale="98" orientation="landscape"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0">
    <tabColor rgb="FF00B050"/>
    <pageSetUpPr fitToPage="1"/>
  </sheetPr>
  <dimension ref="A1:BL19"/>
  <sheetViews>
    <sheetView showGridLines="0" view="pageBreakPreview" zoomScaleSheetLayoutView="100" workbookViewId="0">
      <selection activeCell="BO10" sqref="BO10"/>
    </sheetView>
  </sheetViews>
  <sheetFormatPr defaultColWidth="9.125" defaultRowHeight="15"/>
  <cols>
    <col min="1" max="1" width="5.75" style="278" customWidth="1"/>
    <col min="2" max="2" width="19" style="278" customWidth="1"/>
    <col min="3" max="5" width="16.625" style="278" customWidth="1"/>
    <col min="6" max="6" width="17" style="278" customWidth="1"/>
    <col min="7" max="7" width="9" style="278" bestFit="1" customWidth="1"/>
    <col min="8" max="8" width="10.875" style="278" bestFit="1" customWidth="1"/>
    <col min="9" max="9" width="8.25" style="278" customWidth="1"/>
    <col min="10" max="10" width="10.375" style="278" customWidth="1"/>
    <col min="11" max="11" width="10.625" style="278" customWidth="1"/>
    <col min="12" max="12" width="9.125" style="278"/>
    <col min="13" max="37" width="9.125" style="278" hidden="1" customWidth="1"/>
    <col min="38" max="64" width="3.875" style="278" hidden="1" customWidth="1"/>
    <col min="65" max="16384" width="9.125" style="278"/>
  </cols>
  <sheetData>
    <row r="1" spans="1:64" ht="18">
      <c r="A1" s="277"/>
      <c r="B1" s="277"/>
      <c r="C1" s="277"/>
      <c r="D1" s="277"/>
      <c r="E1" s="277"/>
      <c r="F1" s="277"/>
      <c r="G1" s="277"/>
      <c r="H1" s="277"/>
      <c r="I1" s="1052">
        <f>Summary!$C$1</f>
        <v>30695</v>
      </c>
      <c r="J1" s="1052"/>
      <c r="K1" s="1052"/>
    </row>
    <row r="2" spans="1:64" ht="19.5">
      <c r="A2" s="1053" t="str">
        <f>Summary!$A$3</f>
        <v>Principal Mahatma Gandhi Government School (English Medium) Bar, (BEAWAR)</v>
      </c>
      <c r="B2" s="1053"/>
      <c r="C2" s="1053"/>
      <c r="D2" s="1053"/>
      <c r="E2" s="1053"/>
      <c r="F2" s="1053"/>
      <c r="G2" s="1053"/>
      <c r="H2" s="1053"/>
      <c r="I2" s="1053"/>
      <c r="J2" s="1053"/>
      <c r="K2" s="1053"/>
      <c r="M2" s="279" t="s">
        <v>314</v>
      </c>
      <c r="N2" s="280">
        <v>1300</v>
      </c>
      <c r="O2" s="280">
        <v>1400</v>
      </c>
      <c r="P2" s="280">
        <v>1650</v>
      </c>
      <c r="Q2" s="280">
        <v>1800</v>
      </c>
      <c r="R2" s="280">
        <v>1850</v>
      </c>
      <c r="S2" s="280">
        <v>1900</v>
      </c>
      <c r="T2" s="280">
        <v>2000</v>
      </c>
      <c r="U2" s="280">
        <v>2100</v>
      </c>
      <c r="V2" s="280">
        <v>2400</v>
      </c>
      <c r="W2" s="280">
        <v>2800</v>
      </c>
      <c r="X2" s="280">
        <v>3200</v>
      </c>
      <c r="Y2" s="280">
        <v>3600</v>
      </c>
      <c r="Z2" s="280">
        <v>4200</v>
      </c>
      <c r="AA2" s="280">
        <v>4800</v>
      </c>
      <c r="AB2" s="280">
        <v>5400</v>
      </c>
      <c r="AC2" s="280">
        <v>6000</v>
      </c>
      <c r="AD2" s="280">
        <v>6600</v>
      </c>
      <c r="AE2" s="280">
        <v>6800</v>
      </c>
      <c r="AF2" s="280">
        <v>7200</v>
      </c>
      <c r="AG2" s="280">
        <v>7600</v>
      </c>
      <c r="AH2" s="280">
        <v>8200</v>
      </c>
      <c r="AI2" s="280">
        <v>8700</v>
      </c>
      <c r="AJ2" s="280">
        <v>8900</v>
      </c>
      <c r="AK2" s="280">
        <v>10000</v>
      </c>
    </row>
    <row r="3" spans="1:64" ht="15.75">
      <c r="A3" s="1051" t="s">
        <v>427</v>
      </c>
      <c r="B3" s="1051"/>
      <c r="C3" s="1051"/>
      <c r="D3" s="1051"/>
      <c r="E3" s="1051"/>
      <c r="F3" s="1051"/>
      <c r="G3" s="1051"/>
      <c r="H3" s="1051"/>
      <c r="I3" s="1051"/>
      <c r="J3" s="1051"/>
      <c r="K3" s="1051"/>
      <c r="M3" s="279" t="s">
        <v>428</v>
      </c>
      <c r="N3" s="281">
        <v>4850</v>
      </c>
      <c r="O3" s="281">
        <v>5050</v>
      </c>
      <c r="P3" s="281">
        <v>5300</v>
      </c>
      <c r="Q3" s="281">
        <v>5600</v>
      </c>
      <c r="R3" s="281">
        <v>5900</v>
      </c>
      <c r="S3" s="281">
        <v>6100</v>
      </c>
      <c r="T3" s="281">
        <v>6400</v>
      </c>
      <c r="U3" s="281">
        <v>6750</v>
      </c>
      <c r="V3" s="281">
        <v>7900</v>
      </c>
      <c r="W3" s="281">
        <v>8950</v>
      </c>
      <c r="X3" s="281">
        <v>10000</v>
      </c>
      <c r="Y3" s="281">
        <v>11100</v>
      </c>
      <c r="Z3" s="281">
        <v>13050</v>
      </c>
      <c r="AA3" s="281">
        <v>15000</v>
      </c>
      <c r="AB3" s="281">
        <v>16800</v>
      </c>
      <c r="AC3" s="281">
        <v>18200</v>
      </c>
      <c r="AD3" s="281">
        <v>20200</v>
      </c>
      <c r="AE3" s="281">
        <v>21300</v>
      </c>
      <c r="AF3" s="281">
        <v>22600</v>
      </c>
      <c r="AG3" s="281">
        <v>23950</v>
      </c>
      <c r="AH3" s="281">
        <v>26650</v>
      </c>
      <c r="AI3" s="281">
        <v>36900</v>
      </c>
      <c r="AJ3" s="281">
        <v>38900</v>
      </c>
      <c r="AK3" s="281">
        <v>43800</v>
      </c>
      <c r="AL3" s="282" t="s">
        <v>429</v>
      </c>
      <c r="AM3" s="282" t="s">
        <v>430</v>
      </c>
      <c r="AN3" s="283" t="s">
        <v>431</v>
      </c>
      <c r="AO3" s="282" t="s">
        <v>432</v>
      </c>
      <c r="AP3" s="282" t="s">
        <v>433</v>
      </c>
      <c r="AQ3" s="282" t="s">
        <v>434</v>
      </c>
      <c r="AR3" s="282" t="s">
        <v>435</v>
      </c>
      <c r="AS3" s="282" t="s">
        <v>436</v>
      </c>
      <c r="AT3" s="282" t="s">
        <v>437</v>
      </c>
      <c r="AU3" s="282" t="s">
        <v>438</v>
      </c>
      <c r="AV3" s="282" t="s">
        <v>439</v>
      </c>
      <c r="AW3" s="283" t="s">
        <v>440</v>
      </c>
      <c r="AX3" s="282" t="s">
        <v>441</v>
      </c>
      <c r="AY3" s="282" t="s">
        <v>442</v>
      </c>
      <c r="AZ3" s="282" t="s">
        <v>443</v>
      </c>
      <c r="BA3" s="282" t="s">
        <v>444</v>
      </c>
      <c r="BB3" s="282" t="s">
        <v>445</v>
      </c>
      <c r="BC3" s="282" t="s">
        <v>446</v>
      </c>
      <c r="BD3" s="282" t="s">
        <v>447</v>
      </c>
      <c r="BE3" s="282" t="s">
        <v>448</v>
      </c>
      <c r="BF3" s="282" t="s">
        <v>449</v>
      </c>
      <c r="BG3" s="282" t="s">
        <v>450</v>
      </c>
      <c r="BH3" s="282" t="s">
        <v>451</v>
      </c>
      <c r="BI3" s="282" t="s">
        <v>452</v>
      </c>
      <c r="BJ3" s="282" t="s">
        <v>453</v>
      </c>
      <c r="BK3" s="282" t="s">
        <v>454</v>
      </c>
      <c r="BL3" s="283" t="s">
        <v>455</v>
      </c>
    </row>
    <row r="4" spans="1:64" ht="15.75">
      <c r="A4" s="1051" t="str">
        <f>'Fix Pay'!A4:K4</f>
        <v>For FY - 2025-26 (April 2025 to March 2026)</v>
      </c>
      <c r="B4" s="1051"/>
      <c r="C4" s="1051"/>
      <c r="D4" s="1051"/>
      <c r="E4" s="1051"/>
      <c r="F4" s="1051"/>
      <c r="G4" s="1051"/>
      <c r="H4" s="1051"/>
      <c r="I4" s="1051"/>
      <c r="J4" s="1051"/>
      <c r="K4" s="1051"/>
    </row>
    <row r="5" spans="1:64" ht="18.75">
      <c r="A5" s="1050" t="s">
        <v>456</v>
      </c>
      <c r="B5" s="1050"/>
      <c r="C5" s="1050"/>
      <c r="D5" s="1050"/>
      <c r="E5" s="1050"/>
      <c r="F5" s="1050"/>
      <c r="G5" s="1050"/>
      <c r="H5" s="1050"/>
      <c r="I5" s="1050"/>
      <c r="J5" s="1050"/>
      <c r="K5" s="1050"/>
    </row>
    <row r="6" spans="1:64" ht="15.75" customHeight="1">
      <c r="A6" s="1047" t="str">
        <f>[1]Summary!A5</f>
        <v>BUDGET HEAD : 2202-GENERAL EDUCATION, 02-SECONDARY EDUCATION, 109-GOVT. SEC. SCHOOL, (27)-BOYS SCHOOL (01) (STATE FUND)</v>
      </c>
      <c r="B6" s="1047"/>
      <c r="C6" s="1047"/>
      <c r="D6" s="1047"/>
      <c r="E6" s="1047"/>
      <c r="F6" s="1047"/>
      <c r="G6" s="1047"/>
      <c r="H6" s="1047"/>
      <c r="I6" s="1047"/>
      <c r="J6" s="1047"/>
      <c r="K6" s="1047"/>
    </row>
    <row r="7" spans="1:64" ht="63.75" customHeight="1">
      <c r="A7" s="141" t="s">
        <v>354</v>
      </c>
      <c r="B7" s="141" t="s">
        <v>457</v>
      </c>
      <c r="C7" s="141" t="s">
        <v>46</v>
      </c>
      <c r="D7" s="284" t="s">
        <v>458</v>
      </c>
      <c r="E7" s="284" t="s">
        <v>459</v>
      </c>
      <c r="F7" s="141" t="s">
        <v>460</v>
      </c>
      <c r="G7" s="141" t="s">
        <v>314</v>
      </c>
      <c r="H7" s="141" t="str">
        <f>'Fix Pay'!H7</f>
        <v>Salary on 1st March 24</v>
      </c>
      <c r="I7" s="141" t="str">
        <f>'Fix Pay'!I7</f>
        <v>Salary of 12 Month</v>
      </c>
      <c r="J7" s="141" t="str">
        <f>'Fix Pay'!J7</f>
        <v>Budget Estimate For FY 
2025-26</v>
      </c>
      <c r="K7" s="141" t="str">
        <f>'Fix Pay'!K7</f>
        <v>Revised Estimate For FY 
2025-26</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5">
        <v>1</v>
      </c>
      <c r="B9" s="286" t="s">
        <v>462</v>
      </c>
      <c r="C9" s="287"/>
      <c r="D9" s="288" t="s">
        <v>462</v>
      </c>
      <c r="E9" s="288" t="s">
        <v>462</v>
      </c>
      <c r="F9" s="289" t="str">
        <f t="shared" ref="F9" si="0">IF(AND(G9&gt;=1300,G9&lt;=1650),"4750-7440 PB-1s",IF(AND(G9&gt;=1700,G9&lt;=2800),"5200-20200 PB-1",IF(AND(G9&gt;=3200,G9&lt;=5400),"9300-34800 PB-2",IF(AND(G9&gt;=6000,G9&lt;=8200),"15600-39100 PB-3",IF(AND(G9&gt;=8700,G9&lt;=10000),"37400-67000 PB-4",IF(G9="FIX PAY","FIX PAY",""))))))</f>
        <v/>
      </c>
      <c r="G9" s="290"/>
      <c r="H9" s="290"/>
      <c r="I9" s="291">
        <f>H9*12</f>
        <v>0</v>
      </c>
      <c r="J9" s="142">
        <f>I9</f>
        <v>0</v>
      </c>
      <c r="K9" s="142">
        <f>J9</f>
        <v>0</v>
      </c>
    </row>
    <row r="10" spans="1:64" s="296" customFormat="1" ht="33" customHeight="1">
      <c r="A10" s="285"/>
      <c r="B10" s="292" t="s">
        <v>70</v>
      </c>
      <c r="C10" s="293"/>
      <c r="D10" s="294"/>
      <c r="E10" s="294"/>
      <c r="F10" s="295"/>
      <c r="G10" s="290"/>
      <c r="H10" s="290">
        <f>SUM(H9:H9)</f>
        <v>0</v>
      </c>
      <c r="I10" s="290">
        <f>SUM(I9:I9)</f>
        <v>0</v>
      </c>
      <c r="J10" s="290">
        <f>SUM(J9:J9)</f>
        <v>0</v>
      </c>
      <c r="K10" s="290">
        <f>SUM(K9:K9)</f>
        <v>0</v>
      </c>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row>
    <row r="11" spans="1:64" s="297" customFormat="1" ht="15.75">
      <c r="A11" s="522" t="s">
        <v>550</v>
      </c>
      <c r="B11" s="309"/>
      <c r="C11" s="309"/>
      <c r="D11" s="309"/>
      <c r="E11" s="309"/>
      <c r="F11" s="309"/>
      <c r="G11" s="309"/>
      <c r="H11" s="309"/>
      <c r="I11" s="145"/>
      <c r="J11" s="145"/>
      <c r="K11" s="145"/>
    </row>
    <row r="12" spans="1:64" s="297" customFormat="1" ht="15" customHeight="1">
      <c r="A12" s="145"/>
      <c r="B12" s="145"/>
      <c r="C12" s="145"/>
      <c r="D12" s="145"/>
      <c r="E12" s="145"/>
      <c r="F12" s="145"/>
      <c r="G12" s="145"/>
      <c r="H12" s="145"/>
      <c r="I12" s="145"/>
      <c r="J12" s="145"/>
      <c r="K12" s="145"/>
    </row>
    <row r="13" spans="1:64" s="297" customFormat="1" ht="15" customHeight="1">
      <c r="A13" s="145"/>
      <c r="B13" s="145"/>
      <c r="C13" s="145"/>
      <c r="D13" s="145"/>
      <c r="E13" s="145"/>
      <c r="F13" s="145"/>
      <c r="G13" s="145"/>
      <c r="H13" s="145"/>
      <c r="I13" s="145"/>
      <c r="J13" s="145"/>
      <c r="K13" s="145"/>
    </row>
    <row r="14" spans="1:64" s="297" customFormat="1" ht="15" customHeight="1">
      <c r="A14" s="145"/>
      <c r="B14" s="145"/>
      <c r="C14" s="145"/>
      <c r="D14" s="145"/>
      <c r="E14" s="145"/>
      <c r="F14" s="145"/>
      <c r="G14" s="145"/>
      <c r="H14" s="145"/>
      <c r="I14" s="910" t="str">
        <f>CONCATENATE("¼ ",Master!G3,"½")</f>
        <v>¼ m"kk ikfy;k½</v>
      </c>
      <c r="J14" s="910"/>
      <c r="K14" s="910"/>
    </row>
    <row r="15" spans="1:64" s="297" customFormat="1" ht="16.5">
      <c r="A15" s="145"/>
      <c r="B15" s="145"/>
      <c r="C15" s="145"/>
      <c r="D15" s="145"/>
      <c r="E15" s="145"/>
      <c r="F15" s="145"/>
      <c r="G15" s="145"/>
      <c r="H15" s="145"/>
      <c r="I15" s="928" t="str">
        <f>Master!C2</f>
        <v>iz/kkukpk;Z</v>
      </c>
      <c r="J15" s="928"/>
      <c r="K15" s="928"/>
    </row>
    <row r="16" spans="1:64" s="297" customFormat="1" ht="15" customHeight="1">
      <c r="A16" s="145"/>
      <c r="B16" s="145"/>
      <c r="C16" s="145"/>
      <c r="D16" s="145"/>
      <c r="E16" s="145"/>
      <c r="F16" s="145"/>
      <c r="G16" s="145"/>
      <c r="H16" s="145"/>
      <c r="I16" s="923" t="str">
        <f>Master!D2</f>
        <v>egkRek xka/kh jktdh; fo|ky; ¼vaxzsth ek/;e½ cj ] C;koj</v>
      </c>
      <c r="J16" s="923"/>
      <c r="K16" s="923"/>
    </row>
    <row r="17" spans="1:11" s="297" customFormat="1" ht="15" customHeight="1">
      <c r="A17" s="145"/>
      <c r="B17" s="145"/>
      <c r="C17" s="145"/>
      <c r="D17" s="145"/>
      <c r="E17" s="145"/>
      <c r="F17" s="145"/>
      <c r="G17" s="145"/>
      <c r="H17" s="145"/>
      <c r="I17" s="923"/>
      <c r="J17" s="923"/>
      <c r="K17" s="923"/>
    </row>
    <row r="18" spans="1:11" s="297" customFormat="1" ht="15" customHeight="1">
      <c r="A18" s="145"/>
      <c r="B18" s="145"/>
      <c r="C18" s="145"/>
      <c r="D18" s="145"/>
      <c r="E18" s="145"/>
      <c r="F18" s="145"/>
      <c r="G18" s="145"/>
      <c r="H18" s="145"/>
      <c r="I18" s="923"/>
      <c r="J18" s="923"/>
      <c r="K18" s="923"/>
    </row>
    <row r="19" spans="1:11" s="297" customFormat="1">
      <c r="A19" s="309"/>
      <c r="B19" s="309"/>
      <c r="C19" s="309"/>
      <c r="D19" s="309"/>
      <c r="E19" s="309"/>
      <c r="F19" s="309"/>
      <c r="G19" s="309"/>
      <c r="H19" s="309"/>
      <c r="I19" s="309"/>
      <c r="J19" s="309"/>
      <c r="K19" s="309"/>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8" priority="2" operator="containsText" text="in fjDr">
      <formula>NOT(ISERROR(SEARCH("in fjDr",A11)))</formula>
    </cfRule>
  </conditionalFormatting>
  <conditionalFormatting sqref="A11">
    <cfRule type="containsText" dxfId="7"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scale="97"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1">
    <tabColor rgb="FF00B050"/>
  </sheetPr>
  <dimension ref="A1:O42"/>
  <sheetViews>
    <sheetView showGridLines="0" view="pageBreakPreview" zoomScale="110" zoomScaleSheetLayoutView="110" workbookViewId="0">
      <selection activeCell="H7" sqref="H7"/>
    </sheetView>
  </sheetViews>
  <sheetFormatPr defaultColWidth="9.125" defaultRowHeight="15"/>
  <cols>
    <col min="1" max="1" width="3.125" style="310" customWidth="1"/>
    <col min="2" max="2" width="10.375" style="310" customWidth="1"/>
    <col min="3" max="3" width="5.125" style="310" bestFit="1" customWidth="1"/>
    <col min="4" max="4" width="35.625" style="310" customWidth="1"/>
    <col min="5" max="6" width="17.75" style="310" customWidth="1"/>
    <col min="7" max="7" width="9.75" style="49" customWidth="1"/>
    <col min="8" max="8" width="9.75" style="310" customWidth="1"/>
    <col min="9" max="16384" width="9.125" style="310"/>
  </cols>
  <sheetData>
    <row r="1" spans="1:15" ht="16.5" customHeight="1">
      <c r="A1" s="318"/>
      <c r="B1" s="318"/>
      <c r="C1" s="318"/>
      <c r="D1" s="318"/>
      <c r="E1" s="1066">
        <f>Summary!$C$1</f>
        <v>30695</v>
      </c>
      <c r="F1" s="1066"/>
    </row>
    <row r="2" spans="1:15" ht="30" customHeight="1">
      <c r="A2" s="1038" t="str">
        <f>Summary!$A$2</f>
        <v>iz/kkukpk;Z egkRek xka/kh jktdh; fo|ky; ¼vaxzsth ek/;e½ cj ] C;koj</v>
      </c>
      <c r="B2" s="1038"/>
      <c r="C2" s="1038"/>
      <c r="D2" s="1038"/>
      <c r="E2" s="1038"/>
      <c r="F2" s="1038"/>
      <c r="H2" s="311"/>
    </row>
    <row r="3" spans="1:15" ht="16.5">
      <c r="A3" s="1067" t="s">
        <v>797</v>
      </c>
      <c r="B3" s="1067"/>
      <c r="C3" s="1067"/>
      <c r="D3" s="1067"/>
      <c r="E3" s="1067"/>
      <c r="F3" s="1067"/>
      <c r="H3" s="312"/>
    </row>
    <row r="4" spans="1:15" ht="15.75">
      <c r="A4" s="1065" t="s">
        <v>465</v>
      </c>
      <c r="B4" s="1065"/>
      <c r="C4" s="1065"/>
      <c r="D4" s="1065"/>
      <c r="E4" s="564"/>
      <c r="F4" s="564" t="s">
        <v>610</v>
      </c>
    </row>
    <row r="5" spans="1:15" ht="15.75">
      <c r="A5" s="1065" t="s">
        <v>466</v>
      </c>
      <c r="B5" s="1065"/>
      <c r="C5" s="1065"/>
      <c r="D5" s="1065"/>
      <c r="E5" s="564"/>
      <c r="F5" s="564"/>
      <c r="H5" s="313"/>
    </row>
    <row r="6" spans="1:15" ht="59.25" customHeight="1">
      <c r="A6" s="1055" t="s">
        <v>38</v>
      </c>
      <c r="B6" s="1055"/>
      <c r="C6" s="1055"/>
      <c r="D6" s="1055"/>
      <c r="E6" s="565" t="s">
        <v>798</v>
      </c>
      <c r="F6" s="565" t="s">
        <v>799</v>
      </c>
      <c r="H6" s="314"/>
      <c r="I6" s="314"/>
      <c r="J6" s="314"/>
      <c r="K6" s="314"/>
      <c r="L6" s="314"/>
      <c r="M6" s="314"/>
      <c r="N6" s="314"/>
      <c r="O6" s="314"/>
    </row>
    <row r="7" spans="1:15" ht="41.1" customHeight="1">
      <c r="A7" s="1056" t="s">
        <v>467</v>
      </c>
      <c r="B7" s="1059" t="s">
        <v>468</v>
      </c>
      <c r="C7" s="566" t="s">
        <v>467</v>
      </c>
      <c r="D7" s="567" t="s">
        <v>469</v>
      </c>
      <c r="E7" s="315"/>
      <c r="F7" s="316"/>
      <c r="H7" s="314"/>
      <c r="I7" s="314"/>
      <c r="J7" s="314"/>
      <c r="K7" s="314"/>
      <c r="L7" s="314"/>
      <c r="M7" s="314"/>
      <c r="N7" s="314"/>
      <c r="O7" s="314"/>
    </row>
    <row r="8" spans="1:15" ht="41.1" customHeight="1">
      <c r="A8" s="1057"/>
      <c r="B8" s="1060"/>
      <c r="C8" s="566" t="s">
        <v>470</v>
      </c>
      <c r="D8" s="568" t="s">
        <v>471</v>
      </c>
      <c r="E8" s="316">
        <v>0</v>
      </c>
      <c r="F8" s="316">
        <v>0</v>
      </c>
      <c r="H8" s="314"/>
      <c r="I8" s="314"/>
      <c r="J8" s="314"/>
      <c r="K8" s="314"/>
      <c r="L8" s="314"/>
      <c r="M8" s="314"/>
      <c r="N8" s="314"/>
      <c r="O8" s="314"/>
    </row>
    <row r="9" spans="1:15" ht="41.1" customHeight="1">
      <c r="A9" s="1058"/>
      <c r="B9" s="1061"/>
      <c r="C9" s="566" t="s">
        <v>472</v>
      </c>
      <c r="D9" s="568" t="s">
        <v>471</v>
      </c>
      <c r="E9" s="316">
        <v>0</v>
      </c>
      <c r="F9" s="316">
        <v>0</v>
      </c>
      <c r="H9" s="314"/>
      <c r="I9" s="314"/>
      <c r="J9" s="314"/>
      <c r="K9" s="314"/>
      <c r="L9" s="314"/>
      <c r="M9" s="314"/>
      <c r="N9" s="314"/>
      <c r="O9" s="314"/>
    </row>
    <row r="10" spans="1:15" ht="41.1" customHeight="1">
      <c r="A10" s="1062" t="s">
        <v>473</v>
      </c>
      <c r="B10" s="1062"/>
      <c r="C10" s="1062"/>
      <c r="D10" s="1062"/>
      <c r="E10" s="317">
        <f>SUM(E7:E9)</f>
        <v>0</v>
      </c>
      <c r="F10" s="317">
        <f>SUM(F7:F9)</f>
        <v>0</v>
      </c>
      <c r="H10" s="314"/>
      <c r="I10" s="314"/>
      <c r="J10" s="314"/>
      <c r="K10" s="314"/>
      <c r="L10" s="314"/>
      <c r="M10" s="314"/>
      <c r="N10" s="314"/>
      <c r="O10" s="314"/>
    </row>
    <row r="11" spans="1:15" ht="41.1" customHeight="1">
      <c r="A11" s="1056" t="s">
        <v>474</v>
      </c>
      <c r="B11" s="1059" t="s">
        <v>475</v>
      </c>
      <c r="C11" s="569" t="s">
        <v>467</v>
      </c>
      <c r="D11" s="568" t="s">
        <v>476</v>
      </c>
      <c r="E11" s="316">
        <v>0</v>
      </c>
      <c r="F11" s="316">
        <v>0</v>
      </c>
      <c r="H11" s="314"/>
      <c r="I11" s="314"/>
      <c r="J11" s="314"/>
      <c r="K11" s="314"/>
      <c r="L11" s="314"/>
      <c r="M11" s="314"/>
      <c r="N11" s="314"/>
      <c r="O11" s="314"/>
    </row>
    <row r="12" spans="1:15" ht="41.1" customHeight="1">
      <c r="A12" s="1057"/>
      <c r="B12" s="1060"/>
      <c r="C12" s="569" t="s">
        <v>474</v>
      </c>
      <c r="D12" s="570" t="s">
        <v>477</v>
      </c>
      <c r="E12" s="316">
        <v>0</v>
      </c>
      <c r="F12" s="316">
        <v>0</v>
      </c>
      <c r="H12" s="314"/>
      <c r="I12" s="314"/>
      <c r="J12" s="314"/>
      <c r="K12" s="314"/>
      <c r="L12" s="314"/>
      <c r="M12" s="314"/>
      <c r="N12" s="314"/>
      <c r="O12" s="314"/>
    </row>
    <row r="13" spans="1:15" ht="41.1" customHeight="1">
      <c r="A13" s="1058"/>
      <c r="B13" s="1061"/>
      <c r="C13" s="569" t="s">
        <v>478</v>
      </c>
      <c r="D13" s="568" t="s">
        <v>479</v>
      </c>
      <c r="E13" s="316">
        <v>0</v>
      </c>
      <c r="F13" s="316">
        <v>0</v>
      </c>
      <c r="H13" s="314"/>
      <c r="I13" s="314"/>
      <c r="J13" s="314"/>
      <c r="K13" s="314"/>
      <c r="L13" s="314"/>
      <c r="M13" s="314"/>
      <c r="N13" s="314"/>
      <c r="O13" s="314"/>
    </row>
    <row r="14" spans="1:15" ht="45" customHeight="1">
      <c r="A14" s="1054" t="s">
        <v>480</v>
      </c>
      <c r="B14" s="1054"/>
      <c r="C14" s="1054"/>
      <c r="D14" s="1054"/>
      <c r="E14" s="317">
        <f>SUM(E10:E13)</f>
        <v>0</v>
      </c>
      <c r="F14" s="317">
        <f>SUM(F10:F13)</f>
        <v>0</v>
      </c>
      <c r="H14" s="314"/>
      <c r="I14" s="314"/>
      <c r="J14" s="314"/>
      <c r="K14" s="314"/>
      <c r="L14" s="314"/>
      <c r="M14" s="314"/>
      <c r="N14" s="314"/>
      <c r="O14" s="314"/>
    </row>
    <row r="15" spans="1:15">
      <c r="A15" s="1063" t="s">
        <v>550</v>
      </c>
      <c r="B15" s="1063"/>
      <c r="C15" s="1063"/>
      <c r="D15" s="1063"/>
      <c r="E15" s="319"/>
      <c r="F15" s="319"/>
      <c r="H15" s="314"/>
      <c r="I15" s="314"/>
      <c r="J15" s="314"/>
      <c r="K15" s="314"/>
      <c r="L15" s="314"/>
      <c r="M15" s="314"/>
      <c r="N15" s="314"/>
      <c r="O15" s="314"/>
    </row>
    <row r="16" spans="1:15">
      <c r="A16" s="1064"/>
      <c r="B16" s="1064"/>
      <c r="C16" s="1064"/>
      <c r="D16" s="1064"/>
      <c r="E16" s="319"/>
      <c r="F16" s="319"/>
      <c r="H16" s="314"/>
      <c r="I16" s="314"/>
      <c r="J16" s="314"/>
      <c r="K16" s="314"/>
      <c r="L16" s="314"/>
      <c r="M16" s="314"/>
      <c r="N16" s="314"/>
      <c r="O16" s="314"/>
    </row>
    <row r="17" spans="1:15">
      <c r="A17" s="529"/>
      <c r="B17" s="529"/>
      <c r="C17" s="529"/>
      <c r="D17" s="529"/>
      <c r="E17" s="319"/>
      <c r="F17" s="319"/>
      <c r="H17" s="314"/>
      <c r="I17" s="314"/>
      <c r="J17" s="314"/>
      <c r="K17" s="314"/>
      <c r="L17" s="314"/>
      <c r="M17" s="314"/>
      <c r="N17" s="314"/>
      <c r="O17" s="314"/>
    </row>
    <row r="18" spans="1:15">
      <c r="A18" s="319"/>
      <c r="B18" s="319"/>
      <c r="C18" s="319"/>
      <c r="D18" s="319"/>
      <c r="E18" s="954" t="str">
        <f>CONCATENATE("¼ ",Master!G3,"½")</f>
        <v>¼ m"kk ikfy;k½</v>
      </c>
      <c r="F18" s="954"/>
      <c r="H18" s="314"/>
      <c r="I18" s="314"/>
      <c r="J18" s="314"/>
      <c r="K18" s="314"/>
      <c r="L18" s="314"/>
      <c r="M18" s="314"/>
      <c r="N18" s="314"/>
      <c r="O18" s="314"/>
    </row>
    <row r="19" spans="1:15" ht="16.5">
      <c r="A19" s="319"/>
      <c r="B19" s="319"/>
      <c r="C19" s="319"/>
      <c r="D19" s="319"/>
      <c r="E19" s="928" t="str">
        <f>Master!C2</f>
        <v>iz/kkukpk;Z</v>
      </c>
      <c r="F19" s="928"/>
      <c r="H19" s="314"/>
      <c r="I19" s="314"/>
      <c r="J19" s="314"/>
      <c r="K19" s="314"/>
      <c r="L19" s="314"/>
      <c r="M19" s="314"/>
      <c r="N19" s="314"/>
      <c r="O19" s="314"/>
    </row>
    <row r="20" spans="1:15" ht="56.25" customHeight="1">
      <c r="A20" s="319"/>
      <c r="B20" s="319"/>
      <c r="C20" s="319"/>
      <c r="D20" s="319"/>
      <c r="E20" s="923" t="str">
        <f>Master!D2</f>
        <v>egkRek xka/kh jktdh; fo|ky; ¼vaxzsth ek/;e½ cj ] C;koj</v>
      </c>
      <c r="F20" s="923"/>
      <c r="H20" s="314"/>
      <c r="I20" s="314"/>
      <c r="J20" s="314"/>
      <c r="K20" s="314"/>
      <c r="L20" s="314"/>
      <c r="M20" s="314"/>
      <c r="N20" s="314"/>
      <c r="O20" s="314"/>
    </row>
    <row r="21" spans="1:15">
      <c r="A21" s="314"/>
      <c r="B21" s="314"/>
      <c r="C21" s="314"/>
      <c r="D21" s="314"/>
      <c r="E21" s="314"/>
      <c r="F21" s="314"/>
      <c r="H21" s="314"/>
      <c r="I21" s="314"/>
      <c r="J21" s="314"/>
      <c r="K21" s="314"/>
      <c r="L21" s="314"/>
      <c r="M21" s="314"/>
      <c r="N21" s="314"/>
      <c r="O21" s="314"/>
    </row>
    <row r="22" spans="1:15">
      <c r="A22" s="314"/>
      <c r="B22" s="314"/>
      <c r="C22" s="314"/>
      <c r="D22" s="314"/>
      <c r="E22" s="314"/>
      <c r="F22" s="314"/>
      <c r="H22" s="314"/>
      <c r="I22" s="314"/>
      <c r="J22" s="314"/>
      <c r="K22" s="314"/>
      <c r="L22" s="314"/>
      <c r="M22" s="314"/>
      <c r="N22" s="314"/>
      <c r="O22" s="314"/>
    </row>
    <row r="23" spans="1:15">
      <c r="A23" s="314"/>
      <c r="B23" s="314"/>
      <c r="C23" s="314"/>
      <c r="D23" s="314"/>
      <c r="E23" s="314"/>
      <c r="F23" s="314"/>
      <c r="H23" s="314"/>
      <c r="I23" s="314"/>
      <c r="J23" s="314"/>
      <c r="K23" s="314"/>
      <c r="L23" s="314"/>
      <c r="M23" s="314"/>
      <c r="N23" s="314"/>
      <c r="O23" s="314"/>
    </row>
    <row r="24" spans="1:15">
      <c r="A24" s="314"/>
      <c r="B24" s="314"/>
      <c r="C24" s="314"/>
      <c r="D24" s="314"/>
      <c r="E24" s="314"/>
      <c r="F24" s="314"/>
      <c r="H24" s="314"/>
      <c r="I24" s="314"/>
      <c r="J24" s="314"/>
      <c r="K24" s="314"/>
      <c r="L24" s="314"/>
      <c r="M24" s="314"/>
      <c r="N24" s="314"/>
      <c r="O24" s="314"/>
    </row>
    <row r="25" spans="1:15">
      <c r="A25" s="314"/>
      <c r="B25" s="314"/>
      <c r="C25" s="314"/>
      <c r="D25" s="314"/>
      <c r="E25" s="314"/>
      <c r="F25" s="314"/>
      <c r="H25" s="314"/>
      <c r="I25" s="314"/>
      <c r="J25" s="314"/>
      <c r="K25" s="314"/>
      <c r="L25" s="314"/>
      <c r="M25" s="314"/>
      <c r="N25" s="314"/>
      <c r="O25" s="314"/>
    </row>
    <row r="26" spans="1:15">
      <c r="A26" s="314"/>
      <c r="B26" s="314"/>
      <c r="C26" s="314"/>
      <c r="D26" s="314"/>
      <c r="E26" s="314"/>
      <c r="F26" s="314"/>
      <c r="H26" s="314"/>
      <c r="I26" s="314"/>
      <c r="J26" s="314"/>
      <c r="K26" s="314"/>
      <c r="L26" s="314"/>
      <c r="M26" s="314"/>
      <c r="N26" s="314"/>
      <c r="O26" s="314"/>
    </row>
    <row r="27" spans="1:15">
      <c r="A27" s="314"/>
      <c r="B27" s="314"/>
      <c r="C27" s="314"/>
      <c r="D27" s="314"/>
      <c r="E27" s="314"/>
      <c r="F27" s="314"/>
      <c r="H27" s="314"/>
      <c r="I27" s="314"/>
      <c r="J27" s="314"/>
      <c r="K27" s="314"/>
      <c r="L27" s="314"/>
      <c r="M27" s="314"/>
      <c r="N27" s="314"/>
      <c r="O27" s="314"/>
    </row>
    <row r="28" spans="1:15">
      <c r="A28" s="314"/>
      <c r="B28" s="314"/>
      <c r="C28" s="314"/>
      <c r="D28" s="314"/>
      <c r="E28" s="314"/>
      <c r="F28" s="314"/>
      <c r="H28" s="314"/>
      <c r="I28" s="314"/>
      <c r="J28" s="314"/>
      <c r="K28" s="314"/>
      <c r="L28" s="314"/>
      <c r="M28" s="314"/>
      <c r="N28" s="314"/>
      <c r="O28" s="314"/>
    </row>
    <row r="29" spans="1:15">
      <c r="A29" s="314"/>
      <c r="B29" s="314"/>
      <c r="C29" s="314"/>
      <c r="D29" s="314"/>
      <c r="E29" s="314"/>
      <c r="F29" s="314"/>
      <c r="H29" s="314"/>
      <c r="I29" s="314"/>
      <c r="J29" s="314"/>
      <c r="K29" s="314"/>
      <c r="L29" s="314"/>
      <c r="M29" s="314"/>
      <c r="N29" s="314"/>
      <c r="O29" s="314"/>
    </row>
    <row r="30" spans="1:15">
      <c r="A30" s="314"/>
      <c r="B30" s="314"/>
      <c r="C30" s="314"/>
      <c r="D30" s="314"/>
      <c r="E30" s="314"/>
      <c r="F30" s="314"/>
      <c r="H30" s="314"/>
      <c r="I30" s="314"/>
      <c r="J30" s="314"/>
      <c r="K30" s="314"/>
      <c r="L30" s="314"/>
      <c r="M30" s="314"/>
      <c r="N30" s="314"/>
      <c r="O30" s="314"/>
    </row>
    <row r="31" spans="1:15">
      <c r="A31" s="314"/>
      <c r="B31" s="314"/>
      <c r="C31" s="314"/>
      <c r="D31" s="314"/>
      <c r="E31" s="314"/>
      <c r="F31" s="314"/>
      <c r="H31" s="314"/>
      <c r="I31" s="314"/>
      <c r="J31" s="314"/>
      <c r="K31" s="314"/>
      <c r="L31" s="314"/>
      <c r="M31" s="314"/>
      <c r="N31" s="314"/>
      <c r="O31" s="314"/>
    </row>
    <row r="32" spans="1:15">
      <c r="A32" s="314"/>
      <c r="B32" s="314"/>
      <c r="C32" s="314"/>
      <c r="D32" s="314"/>
      <c r="E32" s="314"/>
      <c r="F32" s="314"/>
      <c r="H32" s="314"/>
      <c r="I32" s="314"/>
      <c r="J32" s="314"/>
      <c r="K32" s="314"/>
      <c r="L32" s="314"/>
      <c r="M32" s="314"/>
      <c r="N32" s="314"/>
      <c r="O32" s="314"/>
    </row>
    <row r="33" spans="1:15">
      <c r="A33" s="314"/>
      <c r="B33" s="314"/>
      <c r="C33" s="314"/>
      <c r="D33" s="314"/>
      <c r="E33" s="314"/>
      <c r="F33" s="314"/>
      <c r="H33" s="314"/>
      <c r="I33" s="314"/>
      <c r="J33" s="314"/>
      <c r="K33" s="314"/>
      <c r="L33" s="314"/>
      <c r="M33" s="314"/>
      <c r="N33" s="314"/>
      <c r="O33" s="314"/>
    </row>
    <row r="34" spans="1:15">
      <c r="A34" s="314"/>
      <c r="B34" s="314"/>
      <c r="C34" s="314"/>
      <c r="D34" s="314"/>
      <c r="E34" s="314"/>
      <c r="F34" s="314"/>
      <c r="H34" s="314"/>
      <c r="I34" s="314"/>
      <c r="J34" s="314"/>
      <c r="K34" s="314"/>
      <c r="L34" s="314"/>
      <c r="M34" s="314"/>
      <c r="N34" s="314"/>
      <c r="O34" s="314"/>
    </row>
    <row r="35" spans="1:15">
      <c r="A35" s="314"/>
      <c r="B35" s="314"/>
      <c r="C35" s="314"/>
      <c r="D35" s="314"/>
      <c r="E35" s="314"/>
      <c r="F35" s="314"/>
      <c r="H35" s="314"/>
      <c r="I35" s="314"/>
      <c r="J35" s="314"/>
      <c r="K35" s="314"/>
      <c r="L35" s="314"/>
      <c r="M35" s="314"/>
      <c r="N35" s="314"/>
      <c r="O35" s="314"/>
    </row>
    <row r="36" spans="1:15">
      <c r="A36" s="314"/>
      <c r="B36" s="314"/>
      <c r="C36" s="314"/>
      <c r="D36" s="314"/>
      <c r="E36" s="314"/>
      <c r="F36" s="314"/>
      <c r="H36" s="314"/>
      <c r="I36" s="314"/>
      <c r="J36" s="314"/>
      <c r="K36" s="314"/>
      <c r="L36" s="314"/>
      <c r="M36" s="314"/>
      <c r="N36" s="314"/>
      <c r="O36" s="314"/>
    </row>
    <row r="37" spans="1:15">
      <c r="A37" s="314"/>
      <c r="B37" s="314"/>
      <c r="C37" s="314"/>
      <c r="D37" s="314"/>
      <c r="E37" s="314"/>
      <c r="F37" s="314"/>
      <c r="H37" s="314"/>
      <c r="I37" s="314"/>
      <c r="J37" s="314"/>
      <c r="K37" s="314"/>
      <c r="L37" s="314"/>
      <c r="M37" s="314"/>
      <c r="N37" s="314"/>
      <c r="O37" s="314"/>
    </row>
    <row r="38" spans="1:15">
      <c r="A38" s="314"/>
      <c r="B38" s="314"/>
      <c r="C38" s="314"/>
      <c r="D38" s="314"/>
      <c r="E38" s="314"/>
      <c r="F38" s="314"/>
      <c r="H38" s="314"/>
      <c r="I38" s="314"/>
      <c r="J38" s="314"/>
      <c r="K38" s="314"/>
      <c r="L38" s="314"/>
      <c r="M38" s="314"/>
      <c r="N38" s="314"/>
      <c r="O38" s="314"/>
    </row>
    <row r="39" spans="1:15">
      <c r="A39" s="314"/>
      <c r="B39" s="314"/>
      <c r="C39" s="314"/>
      <c r="D39" s="314"/>
      <c r="E39" s="314"/>
      <c r="F39" s="314"/>
      <c r="H39" s="314"/>
      <c r="I39" s="314"/>
      <c r="J39" s="314"/>
      <c r="K39" s="314"/>
      <c r="L39" s="314"/>
      <c r="M39" s="314"/>
      <c r="N39" s="314"/>
      <c r="O39" s="314"/>
    </row>
    <row r="40" spans="1:15">
      <c r="A40" s="314"/>
      <c r="B40" s="314"/>
      <c r="C40" s="314"/>
      <c r="D40" s="314"/>
      <c r="E40" s="314"/>
      <c r="F40" s="314"/>
      <c r="H40" s="314"/>
      <c r="I40" s="314"/>
      <c r="J40" s="314"/>
      <c r="K40" s="314"/>
      <c r="L40" s="314"/>
      <c r="M40" s="314"/>
      <c r="N40" s="314"/>
      <c r="O40" s="314"/>
    </row>
    <row r="41" spans="1:15">
      <c r="A41" s="314"/>
      <c r="B41" s="314"/>
      <c r="C41" s="314"/>
      <c r="D41" s="314"/>
      <c r="E41" s="314"/>
      <c r="F41" s="314"/>
      <c r="H41" s="314"/>
      <c r="I41" s="314"/>
      <c r="J41" s="314"/>
      <c r="K41" s="314"/>
      <c r="L41" s="314"/>
      <c r="M41" s="314"/>
      <c r="N41" s="314"/>
      <c r="O41" s="314"/>
    </row>
    <row r="42" spans="1:15">
      <c r="A42" s="314"/>
      <c r="B42" s="314"/>
      <c r="C42" s="314"/>
      <c r="D42" s="314"/>
      <c r="E42" s="314"/>
      <c r="F42" s="314"/>
      <c r="H42" s="314"/>
      <c r="I42" s="314"/>
      <c r="J42" s="314"/>
      <c r="K42" s="314"/>
      <c r="L42" s="314"/>
      <c r="M42" s="314"/>
      <c r="N42" s="314"/>
      <c r="O42" s="314"/>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6"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4.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M11" sqref="M11"/>
    </sheetView>
  </sheetViews>
  <sheetFormatPr defaultColWidth="9.125" defaultRowHeight="15"/>
  <cols>
    <col min="1" max="1" width="6.625" style="56" customWidth="1"/>
    <col min="2" max="2" width="12.75" style="56" customWidth="1"/>
    <col min="3" max="3" width="10.875" style="56" customWidth="1"/>
    <col min="4" max="4" width="12.25" style="56" customWidth="1"/>
    <col min="5" max="5" width="14.25" style="56" customWidth="1"/>
    <col min="6" max="6" width="12" style="51" customWidth="1"/>
    <col min="7" max="7" width="9.125" style="51"/>
    <col min="8" max="8" width="13.375" style="51" customWidth="1"/>
    <col min="9" max="9" width="12.25" style="51" customWidth="1"/>
    <col min="10" max="10" width="14.625" style="51" customWidth="1"/>
    <col min="11" max="11" width="14.25" style="51" customWidth="1"/>
    <col min="12" max="16384" width="9.125" style="51"/>
  </cols>
  <sheetData>
    <row r="1" spans="1:11" ht="15.75">
      <c r="A1" s="198"/>
      <c r="B1" s="198"/>
      <c r="C1" s="198"/>
      <c r="D1" s="1068"/>
      <c r="E1" s="1068"/>
      <c r="F1" s="147"/>
      <c r="I1" s="949">
        <f>Summary!$C$1</f>
        <v>30695</v>
      </c>
      <c r="J1" s="949"/>
      <c r="K1" s="949"/>
    </row>
    <row r="2" spans="1:11" ht="20.25">
      <c r="A2" s="1038" t="str">
        <f>Summary!$A$2</f>
        <v>iz/kkukpk;Z egkRek xka/kh jktdh; fo|ky; ¼vaxzsth ek/;e½ cj ] C;koj</v>
      </c>
      <c r="B2" s="1038"/>
      <c r="C2" s="1038"/>
      <c r="D2" s="1038"/>
      <c r="E2" s="1038"/>
      <c r="F2" s="1038"/>
      <c r="G2" s="1038"/>
      <c r="H2" s="1038"/>
      <c r="I2" s="1038"/>
      <c r="J2" s="1038"/>
      <c r="K2" s="1038"/>
    </row>
    <row r="3" spans="1:11" ht="20.25">
      <c r="A3" s="1038" t="s">
        <v>490</v>
      </c>
      <c r="B3" s="1038"/>
      <c r="C3" s="1038"/>
      <c r="D3" s="1038"/>
      <c r="E3" s="1038"/>
      <c r="F3" s="1038"/>
      <c r="G3" s="1038"/>
      <c r="H3" s="1038"/>
      <c r="I3" s="1038"/>
      <c r="J3" s="1038"/>
      <c r="K3" s="1038"/>
    </row>
    <row r="4" spans="1:11" ht="16.5" customHeight="1">
      <c r="A4" s="1039" t="str">
        <f>Summary!A5</f>
        <v>BUDGET HEAD : 2202-GENERAL EDUCATION, 02-SECONDARY EDUCATION, 109-GOVT. SEC. SCHOOL, (02)-GIRLS SCHOOL (STATE FUND)</v>
      </c>
      <c r="B4" s="1039"/>
      <c r="C4" s="1039"/>
      <c r="D4" s="1039"/>
      <c r="E4" s="1039"/>
      <c r="F4" s="1039"/>
      <c r="G4" s="1039"/>
      <c r="H4" s="1039"/>
      <c r="I4" s="1039"/>
      <c r="J4" s="1039"/>
      <c r="K4" s="1039"/>
    </row>
    <row r="5" spans="1:11" ht="37.5">
      <c r="A5" s="327" t="s">
        <v>491</v>
      </c>
      <c r="B5" s="327" t="s">
        <v>492</v>
      </c>
      <c r="C5" s="327" t="s">
        <v>426</v>
      </c>
      <c r="D5" s="327" t="s">
        <v>382</v>
      </c>
      <c r="E5" s="327" t="s">
        <v>40</v>
      </c>
      <c r="F5" s="327" t="s">
        <v>493</v>
      </c>
      <c r="G5" s="327" t="s">
        <v>382</v>
      </c>
      <c r="H5" s="327" t="s">
        <v>40</v>
      </c>
      <c r="I5" s="327" t="s">
        <v>424</v>
      </c>
      <c r="J5" s="758" t="s">
        <v>800</v>
      </c>
      <c r="K5" s="327" t="s">
        <v>494</v>
      </c>
    </row>
    <row r="6" spans="1:11" ht="15.75">
      <c r="A6" s="330">
        <v>1</v>
      </c>
      <c r="B6" s="330">
        <v>4</v>
      </c>
      <c r="C6" s="330">
        <v>5</v>
      </c>
      <c r="D6" s="330">
        <v>6</v>
      </c>
      <c r="E6" s="330" t="s">
        <v>495</v>
      </c>
      <c r="F6" s="330">
        <v>8</v>
      </c>
      <c r="G6" s="330">
        <v>9</v>
      </c>
      <c r="H6" s="330" t="s">
        <v>496</v>
      </c>
      <c r="I6" s="330" t="s">
        <v>497</v>
      </c>
      <c r="J6" s="330">
        <v>12</v>
      </c>
      <c r="K6" s="330" t="s">
        <v>498</v>
      </c>
    </row>
    <row r="7" spans="1:11" ht="64.5" customHeight="1">
      <c r="A7" s="333">
        <v>1</v>
      </c>
      <c r="B7" s="334">
        <v>0</v>
      </c>
      <c r="C7" s="334">
        <v>0</v>
      </c>
      <c r="D7" s="333">
        <v>1950</v>
      </c>
      <c r="E7" s="333">
        <f>C7*D7</f>
        <v>0</v>
      </c>
      <c r="F7" s="334">
        <v>1</v>
      </c>
      <c r="G7" s="333">
        <v>1650</v>
      </c>
      <c r="H7" s="333">
        <f>F7*G7</f>
        <v>1650</v>
      </c>
      <c r="I7" s="333">
        <f>E7+H7</f>
        <v>1650</v>
      </c>
      <c r="J7" s="334">
        <v>1650</v>
      </c>
      <c r="K7" s="333">
        <v>0</v>
      </c>
    </row>
    <row r="8" spans="1:11" ht="15" customHeight="1">
      <c r="A8" s="198"/>
      <c r="B8" s="1069" t="s">
        <v>550</v>
      </c>
      <c r="C8" s="1069"/>
      <c r="D8" s="1069"/>
      <c r="E8" s="1069"/>
      <c r="F8" s="1069"/>
    </row>
    <row r="9" spans="1:11" ht="15" customHeight="1">
      <c r="A9" s="198"/>
      <c r="B9" s="1069"/>
      <c r="C9" s="1069"/>
      <c r="D9" s="1069"/>
      <c r="E9" s="1069"/>
      <c r="F9" s="1069"/>
    </row>
    <row r="10" spans="1:11" ht="15" customHeight="1">
      <c r="A10" s="198"/>
      <c r="B10" s="1069"/>
      <c r="C10" s="1069"/>
      <c r="D10" s="1069"/>
      <c r="E10" s="1069"/>
      <c r="F10" s="1069"/>
    </row>
    <row r="11" spans="1:11" ht="15" customHeight="1">
      <c r="A11" s="198"/>
      <c r="B11" s="1069"/>
      <c r="C11" s="1069"/>
      <c r="D11" s="1069"/>
      <c r="E11" s="1069"/>
      <c r="F11" s="1069"/>
      <c r="I11" s="1070" t="str">
        <f>CONCATENATE("¼ ",Master!G3,"½")</f>
        <v>¼ m"kk ikfy;k½</v>
      </c>
      <c r="J11" s="1070"/>
      <c r="K11" s="1070"/>
    </row>
    <row r="12" spans="1:11" ht="16.5">
      <c r="A12" s="198"/>
      <c r="B12" s="1069"/>
      <c r="C12" s="1069"/>
      <c r="D12" s="1069"/>
      <c r="E12" s="1069"/>
      <c r="F12" s="1069"/>
      <c r="I12" s="928" t="str">
        <f>Master!C2</f>
        <v>iz/kkukpk;Z</v>
      </c>
      <c r="J12" s="928"/>
      <c r="K12" s="928"/>
    </row>
    <row r="13" spans="1:11" ht="15" customHeight="1">
      <c r="A13" s="198"/>
      <c r="B13" s="198"/>
      <c r="C13" s="272"/>
      <c r="D13" s="904"/>
      <c r="E13" s="904"/>
      <c r="F13" s="210"/>
      <c r="I13" s="923" t="str">
        <f>Master!D2</f>
        <v>egkRek xka/kh jktdh; fo|ky; ¼vaxzsth ek/;e½ cj ] C;koj</v>
      </c>
      <c r="J13" s="923"/>
      <c r="K13" s="923"/>
    </row>
    <row r="14" spans="1:11" ht="18.75" customHeight="1">
      <c r="A14" s="198"/>
      <c r="B14" s="198"/>
      <c r="C14" s="210"/>
      <c r="D14" s="904"/>
      <c r="E14" s="904"/>
      <c r="F14" s="210"/>
      <c r="I14" s="923"/>
      <c r="J14" s="923"/>
      <c r="K14" s="923"/>
    </row>
    <row r="15" spans="1:11" ht="15" customHeight="1">
      <c r="A15" s="198"/>
      <c r="B15" s="198"/>
      <c r="C15" s="210"/>
      <c r="D15" s="904"/>
      <c r="E15" s="904"/>
      <c r="F15" s="210"/>
      <c r="I15" s="923"/>
      <c r="J15" s="923"/>
      <c r="K15" s="923"/>
    </row>
    <row r="16" spans="1:11" ht="15" customHeight="1">
      <c r="A16" s="272"/>
      <c r="B16" s="272"/>
      <c r="C16" s="272"/>
      <c r="D16" s="210"/>
      <c r="E16" s="210"/>
      <c r="F16" s="210"/>
    </row>
    <row r="17" spans="1:6">
      <c r="A17" s="272"/>
      <c r="B17" s="272"/>
      <c r="C17" s="272"/>
      <c r="D17" s="272"/>
      <c r="E17" s="272"/>
      <c r="F17" s="147"/>
    </row>
    <row r="18" spans="1:6">
      <c r="A18" s="272"/>
      <c r="B18" s="272"/>
      <c r="C18" s="272"/>
      <c r="D18" s="272"/>
      <c r="E18" s="272"/>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5"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5.xml><?xml version="1.0" encoding="utf-8"?>
<worksheet xmlns="http://schemas.openxmlformats.org/spreadsheetml/2006/main" xmlns:r="http://schemas.openxmlformats.org/officeDocument/2006/relationships">
  <sheetPr codeName="Sheet23">
    <tabColor rgb="FFFFFF00"/>
    <pageSetUpPr fitToPage="1"/>
  </sheetPr>
  <dimension ref="A1:K46"/>
  <sheetViews>
    <sheetView showGridLines="0" view="pageBreakPreview" topLeftCell="A2" zoomScale="112" zoomScaleSheetLayoutView="112" workbookViewId="0">
      <selection activeCell="F14" sqref="F14"/>
    </sheetView>
  </sheetViews>
  <sheetFormatPr defaultColWidth="9.125" defaultRowHeight="15"/>
  <cols>
    <col min="1" max="1" width="5.375" style="56" customWidth="1"/>
    <col min="2" max="2" width="17" style="56" customWidth="1"/>
    <col min="3" max="3" width="16.625" style="56" customWidth="1"/>
    <col min="4" max="4" width="14.875" style="56" customWidth="1"/>
    <col min="5" max="5" width="15.75" style="56" customWidth="1"/>
    <col min="6" max="6" width="15.625" style="51" customWidth="1"/>
    <col min="7" max="7" width="17.875" style="51" customWidth="1"/>
    <col min="8" max="8" width="17" style="51" customWidth="1"/>
    <col min="9" max="9" width="17.625" style="51" customWidth="1"/>
    <col min="10" max="10" width="14.625" style="51" customWidth="1"/>
    <col min="11" max="11" width="14.25" style="51" customWidth="1"/>
    <col min="12" max="16384" width="9.125" style="51"/>
  </cols>
  <sheetData>
    <row r="1" spans="1:11" ht="15.75">
      <c r="A1" s="198"/>
      <c r="B1" s="198"/>
      <c r="C1" s="198"/>
      <c r="D1" s="1068"/>
      <c r="E1" s="1068"/>
      <c r="F1" s="147"/>
      <c r="H1" s="949">
        <f>Summary!$C$1</f>
        <v>30695</v>
      </c>
      <c r="I1" s="949"/>
      <c r="J1" s="325"/>
      <c r="K1" s="325"/>
    </row>
    <row r="2" spans="1:11" ht="20.25">
      <c r="A2" s="1038" t="str">
        <f>Summary!$A$2</f>
        <v>iz/kkukpk;Z egkRek xka/kh jktdh; fo|ky; ¼vaxzsth ek/;e½ cj ] C;koj</v>
      </c>
      <c r="B2" s="1038"/>
      <c r="C2" s="1038"/>
      <c r="D2" s="1038"/>
      <c r="E2" s="1038"/>
      <c r="F2" s="1038"/>
      <c r="G2" s="1038"/>
      <c r="H2" s="1038"/>
      <c r="I2" s="1038"/>
      <c r="J2" s="336"/>
      <c r="K2" s="336"/>
    </row>
    <row r="3" spans="1:11" ht="20.25">
      <c r="A3" s="1038" t="s">
        <v>506</v>
      </c>
      <c r="B3" s="1038"/>
      <c r="C3" s="1038"/>
      <c r="D3" s="1038"/>
      <c r="E3" s="1038"/>
      <c r="F3" s="1038"/>
      <c r="G3" s="1038"/>
      <c r="H3" s="1038"/>
      <c r="I3" s="1038"/>
      <c r="J3" s="336"/>
      <c r="K3" s="336"/>
    </row>
    <row r="4" spans="1:11" ht="16.5" customHeight="1">
      <c r="A4" s="1072" t="str">
        <f>Summary!A5</f>
        <v>BUDGET HEAD : 2202-GENERAL EDUCATION, 02-SECONDARY EDUCATION, 109-GOVT. SEC. SCHOOL, (02)-GIRLS SCHOOL (STATE FUND)</v>
      </c>
      <c r="B4" s="1072"/>
      <c r="C4" s="1072"/>
      <c r="D4" s="1072"/>
      <c r="E4" s="1072"/>
      <c r="F4" s="1072"/>
      <c r="G4" s="1072"/>
      <c r="H4" s="1072"/>
      <c r="I4" s="1072"/>
      <c r="J4" s="337"/>
      <c r="K4" s="337"/>
    </row>
    <row r="5" spans="1:11" ht="18.75">
      <c r="A5" s="1071" t="s">
        <v>801</v>
      </c>
      <c r="B5" s="1071"/>
      <c r="C5" s="1071"/>
      <c r="D5" s="1071"/>
      <c r="E5" s="1071"/>
      <c r="F5" s="1071"/>
      <c r="G5" s="1071"/>
      <c r="H5" s="1071"/>
      <c r="I5" s="1071"/>
    </row>
    <row r="6" spans="1:11" ht="32.25" customHeight="1">
      <c r="A6" s="338" t="s">
        <v>504</v>
      </c>
      <c r="B6" s="338" t="s">
        <v>499</v>
      </c>
      <c r="C6" s="338" t="s">
        <v>500</v>
      </c>
      <c r="D6" s="338" t="s">
        <v>502</v>
      </c>
      <c r="E6" s="338" t="s">
        <v>503</v>
      </c>
      <c r="F6" s="338" t="s">
        <v>505</v>
      </c>
      <c r="G6" s="338" t="s">
        <v>501</v>
      </c>
      <c r="H6" s="338" t="s">
        <v>347</v>
      </c>
      <c r="I6" s="339" t="s">
        <v>572</v>
      </c>
    </row>
    <row r="7" spans="1:11" ht="15.75">
      <c r="A7" s="329">
        <v>1</v>
      </c>
      <c r="B7" s="332" t="str">
        <f>IF(AND(Master!B60=""),"",Master!B60)</f>
        <v>Jherh m"kk ikfy;k</v>
      </c>
      <c r="C7" s="329" t="str">
        <f>IF(AND(Master!C60=""),"",Master!C60)</f>
        <v>PRINCIPAL</v>
      </c>
      <c r="D7" s="329"/>
      <c r="E7" s="329"/>
      <c r="F7" s="329"/>
      <c r="G7" s="329"/>
      <c r="H7" s="338">
        <f>IF(AND(B7=""),"",D7+E7+F7+G7)</f>
        <v>0</v>
      </c>
      <c r="I7" s="329"/>
    </row>
    <row r="8" spans="1:11" ht="15.75">
      <c r="A8" s="329">
        <v>2</v>
      </c>
      <c r="B8" s="332" t="str">
        <f>IF(AND(Master!B61=""),"",Master!B61)</f>
        <v>Jh nsokuUn</v>
      </c>
      <c r="C8" s="329" t="str">
        <f>IF(AND(Master!C61=""),"",Master!C61)</f>
        <v>VICE-PRINCIPAL</v>
      </c>
      <c r="D8" s="329"/>
      <c r="E8" s="329"/>
      <c r="F8" s="329"/>
      <c r="G8" s="329"/>
      <c r="H8" s="338">
        <f t="shared" ref="H8:H37" si="0">IF(AND(B8=""),"",D8+E8+F8+G8)</f>
        <v>0</v>
      </c>
      <c r="I8" s="329"/>
    </row>
    <row r="9" spans="1:11" ht="15.75">
      <c r="A9" s="329">
        <v>3</v>
      </c>
      <c r="B9" s="332" t="str">
        <f>IF(AND(Master!B62=""),"",Master!B62)</f>
        <v>Jh lqjs'k pUn flaxkfM+;k</v>
      </c>
      <c r="C9" s="329" t="str">
        <f>IF(AND(Master!C62=""),"",Master!C62)</f>
        <v>TEACHER-II</v>
      </c>
      <c r="D9" s="329"/>
      <c r="E9" s="329"/>
      <c r="F9" s="329"/>
      <c r="G9" s="329"/>
      <c r="H9" s="338">
        <f t="shared" si="0"/>
        <v>0</v>
      </c>
      <c r="I9" s="329"/>
    </row>
    <row r="10" spans="1:11" ht="15.75">
      <c r="A10" s="329">
        <v>4</v>
      </c>
      <c r="B10" s="332" t="str">
        <f>IF(AND(Master!B63=""),"",Master!B63)</f>
        <v>Jh jkds'k dqekj 'kekZ</v>
      </c>
      <c r="C10" s="329" t="str">
        <f>IF(AND(Master!C63=""),"",Master!C63)</f>
        <v>TEACHER-II</v>
      </c>
      <c r="D10" s="329"/>
      <c r="E10" s="329"/>
      <c r="F10" s="329"/>
      <c r="G10" s="329"/>
      <c r="H10" s="338">
        <f t="shared" si="0"/>
        <v>0</v>
      </c>
      <c r="I10" s="329"/>
    </row>
    <row r="11" spans="1:11" ht="15.75">
      <c r="A11" s="329">
        <v>5</v>
      </c>
      <c r="B11" s="332" t="str">
        <f>IF(AND(Master!B64=""),"",Master!B64)</f>
        <v>Jh ghjkyky tkV</v>
      </c>
      <c r="C11" s="329" t="str">
        <f>IF(AND(Master!C64=""),"",Master!C64)</f>
        <v>TEACHER-II</v>
      </c>
      <c r="D11" s="329"/>
      <c r="E11" s="329"/>
      <c r="F11" s="329"/>
      <c r="G11" s="329"/>
      <c r="H11" s="338">
        <f t="shared" si="0"/>
        <v>0</v>
      </c>
      <c r="I11" s="329"/>
    </row>
    <row r="12" spans="1:11" ht="15.75">
      <c r="A12" s="329">
        <v>6</v>
      </c>
      <c r="B12" s="332" t="str">
        <f>IF(AND(Master!B65=""),"",Master!B65)</f>
        <v>Jh 'kjn 'kekZ</v>
      </c>
      <c r="C12" s="329" t="str">
        <f>IF(AND(Master!C65=""),"",Master!C65)</f>
        <v>TEACHER-II</v>
      </c>
      <c r="D12" s="329"/>
      <c r="E12" s="329"/>
      <c r="F12" s="329"/>
      <c r="G12" s="329"/>
      <c r="H12" s="338">
        <f t="shared" si="0"/>
        <v>0</v>
      </c>
      <c r="I12" s="329"/>
    </row>
    <row r="13" spans="1:11" ht="15.75">
      <c r="A13" s="329">
        <v>7</v>
      </c>
      <c r="B13" s="332" t="str">
        <f>IF(AND(Master!B66=""),"",Master!B66)</f>
        <v>Jh jk/ks';ke</v>
      </c>
      <c r="C13" s="329" t="str">
        <f>IF(AND(Master!C66=""),"",Master!C66)</f>
        <v>TEACHER-II</v>
      </c>
      <c r="D13" s="329"/>
      <c r="E13" s="329"/>
      <c r="F13" s="329"/>
      <c r="G13" s="329"/>
      <c r="H13" s="338">
        <f t="shared" si="0"/>
        <v>0</v>
      </c>
      <c r="I13" s="329"/>
    </row>
    <row r="14" spans="1:11" ht="15.75">
      <c r="A14" s="329">
        <v>8</v>
      </c>
      <c r="B14" s="332" t="str">
        <f>IF(AND(Master!B67=""),"",Master!B67)</f>
        <v>Jh izdk'k pUn</v>
      </c>
      <c r="C14" s="329" t="str">
        <f>IF(AND(Master!C67=""),"",Master!C67)</f>
        <v>TEACHER-III</v>
      </c>
      <c r="D14" s="329"/>
      <c r="E14" s="329"/>
      <c r="F14" s="329"/>
      <c r="G14" s="329"/>
      <c r="H14" s="338">
        <f t="shared" si="0"/>
        <v>0</v>
      </c>
      <c r="I14" s="329"/>
    </row>
    <row r="15" spans="1:11" ht="15.75">
      <c r="A15" s="329">
        <v>9</v>
      </c>
      <c r="B15" s="332" t="str">
        <f>IF(AND(Master!B68=""),"",Master!B68)</f>
        <v>Jherh eerk yokfu;k</v>
      </c>
      <c r="C15" s="329" t="str">
        <f>IF(AND(Master!C68=""),"",Master!C68)</f>
        <v>TEACHER-III</v>
      </c>
      <c r="D15" s="329"/>
      <c r="E15" s="329"/>
      <c r="F15" s="329"/>
      <c r="G15" s="329"/>
      <c r="H15" s="338">
        <f t="shared" si="0"/>
        <v>0</v>
      </c>
      <c r="I15" s="329"/>
    </row>
    <row r="16" spans="1:11" ht="15.75">
      <c r="A16" s="329">
        <v>10</v>
      </c>
      <c r="B16" s="332" t="str">
        <f>IF(AND(Master!B69=""),"",Master!B69)</f>
        <v>Jh lEirjkt</v>
      </c>
      <c r="C16" s="329" t="str">
        <f>IF(AND(Master!C69=""),"",Master!C69)</f>
        <v>TEACHER-III</v>
      </c>
      <c r="D16" s="329"/>
      <c r="E16" s="329"/>
      <c r="F16" s="329"/>
      <c r="G16" s="329"/>
      <c r="H16" s="338">
        <f t="shared" si="0"/>
        <v>0</v>
      </c>
      <c r="I16" s="329"/>
    </row>
    <row r="17" spans="1:9" ht="15.75">
      <c r="A17" s="329">
        <v>11</v>
      </c>
      <c r="B17" s="332" t="str">
        <f>IF(AND(Master!B70=""),"",Master!B70)</f>
        <v>Jh eukst ikpksjh</v>
      </c>
      <c r="C17" s="329" t="str">
        <f>IF(AND(Master!C70=""),"",Master!C70)</f>
        <v>TEACHER-III</v>
      </c>
      <c r="D17" s="329"/>
      <c r="E17" s="329"/>
      <c r="F17" s="329"/>
      <c r="G17" s="329"/>
      <c r="H17" s="338">
        <f t="shared" si="0"/>
        <v>0</v>
      </c>
      <c r="I17" s="329"/>
    </row>
    <row r="18" spans="1:9" ht="15.75">
      <c r="A18" s="329">
        <v>12</v>
      </c>
      <c r="B18" s="332" t="str">
        <f>IF(AND(Master!B71=""),"",Master!B71)</f>
        <v>Jh iznhiflag</v>
      </c>
      <c r="C18" s="329" t="str">
        <f>IF(AND(Master!C71=""),"",Master!C71)</f>
        <v>TEACHER-III</v>
      </c>
      <c r="D18" s="329"/>
      <c r="E18" s="329"/>
      <c r="F18" s="329"/>
      <c r="G18" s="329"/>
      <c r="H18" s="338">
        <f t="shared" si="0"/>
        <v>0</v>
      </c>
      <c r="I18" s="329"/>
    </row>
    <row r="19" spans="1:9" ht="15.75">
      <c r="A19" s="329">
        <v>13</v>
      </c>
      <c r="B19" s="332" t="str">
        <f>IF(AND(Master!B72=""),"",Master!B72)</f>
        <v>Jh vfHkeU;q flag</v>
      </c>
      <c r="C19" s="329" t="str">
        <f>IF(AND(Master!C72=""),"",Master!C72)</f>
        <v>TEACHER-III</v>
      </c>
      <c r="D19" s="329"/>
      <c r="E19" s="329"/>
      <c r="F19" s="329"/>
      <c r="G19" s="329"/>
      <c r="H19" s="338">
        <f t="shared" si="0"/>
        <v>0</v>
      </c>
      <c r="I19" s="329"/>
    </row>
    <row r="20" spans="1:9" ht="15.75">
      <c r="A20" s="329">
        <v>14</v>
      </c>
      <c r="B20" s="332" t="str">
        <f>IF(AND(Master!B73=""),"",Master!B73)</f>
        <v>Jh iq"isUn toM+k</v>
      </c>
      <c r="C20" s="329" t="str">
        <f>IF(AND(Master!C73=""),"",Master!C73)</f>
        <v>TEACHER-III</v>
      </c>
      <c r="D20" s="329"/>
      <c r="E20" s="329"/>
      <c r="F20" s="329"/>
      <c r="G20" s="329"/>
      <c r="H20" s="338">
        <f t="shared" si="0"/>
        <v>0</v>
      </c>
      <c r="I20" s="329"/>
    </row>
    <row r="21" spans="1:9" ht="15.75">
      <c r="A21" s="329">
        <v>15</v>
      </c>
      <c r="B21" s="332" t="str">
        <f>IF(AND(Master!B74=""),"",Master!B74)</f>
        <v>Jh lq[kohjflag</v>
      </c>
      <c r="C21" s="329" t="str">
        <f>IF(AND(Master!C74=""),"",Master!C74)</f>
        <v>TEACHER-III</v>
      </c>
      <c r="D21" s="329"/>
      <c r="E21" s="329"/>
      <c r="F21" s="329"/>
      <c r="G21" s="329"/>
      <c r="H21" s="338">
        <f t="shared" si="0"/>
        <v>0</v>
      </c>
      <c r="I21" s="329"/>
    </row>
    <row r="22" spans="1:9" ht="15.75">
      <c r="A22" s="329">
        <v>16</v>
      </c>
      <c r="B22" s="332" t="str">
        <f>IF(AND(Master!B75=""),"",Master!B75)</f>
        <v>Jh izoh.k lksyadh</v>
      </c>
      <c r="C22" s="329" t="str">
        <f>IF(AND(Master!C75=""),"",Master!C75)</f>
        <v>LIBRARIAN III</v>
      </c>
      <c r="D22" s="329"/>
      <c r="E22" s="329"/>
      <c r="F22" s="329"/>
      <c r="G22" s="329"/>
      <c r="H22" s="338">
        <f t="shared" si="0"/>
        <v>0</v>
      </c>
      <c r="I22" s="329"/>
    </row>
    <row r="23" spans="1:9" ht="15.75">
      <c r="A23" s="329">
        <v>17</v>
      </c>
      <c r="B23" s="332" t="str">
        <f>IF(AND(Master!B76=""),"",Master!B76)</f>
        <v>Jherh 'kkjnk pkS/kjh</v>
      </c>
      <c r="C23" s="329" t="str">
        <f>IF(AND(Master!C76=""),"",Master!C76)</f>
        <v>PTI  III</v>
      </c>
      <c r="D23" s="329"/>
      <c r="E23" s="329"/>
      <c r="F23" s="329"/>
      <c r="G23" s="329"/>
      <c r="H23" s="338">
        <f t="shared" si="0"/>
        <v>0</v>
      </c>
      <c r="I23" s="329"/>
    </row>
    <row r="24" spans="1:9" ht="15.75">
      <c r="A24" s="329">
        <v>18</v>
      </c>
      <c r="B24" s="332" t="str">
        <f>IF(AND(Master!B77=""),"",Master!B77)</f>
        <v>Jh eqds'k dqekj</v>
      </c>
      <c r="C24" s="329" t="str">
        <f>IF(AND(Master!C77=""),"",Master!C77)</f>
        <v>LAB ASST</v>
      </c>
      <c r="D24" s="329"/>
      <c r="E24" s="329"/>
      <c r="F24" s="329"/>
      <c r="G24" s="329"/>
      <c r="H24" s="338">
        <f t="shared" si="0"/>
        <v>0</v>
      </c>
      <c r="I24" s="329"/>
    </row>
    <row r="25" spans="1:9" ht="15.75">
      <c r="A25" s="329">
        <v>19</v>
      </c>
      <c r="B25" s="332" t="str">
        <f>IF(AND(Master!B78=""),"",Master!B78)</f>
        <v xml:space="preserve">Jh cgknqj jke </v>
      </c>
      <c r="C25" s="329" t="str">
        <f>IF(AND(Master!C78=""),"",Master!C78)</f>
        <v>CLERK GRADE II</v>
      </c>
      <c r="D25" s="329"/>
      <c r="E25" s="329"/>
      <c r="F25" s="329"/>
      <c r="G25" s="329"/>
      <c r="H25" s="338">
        <f t="shared" si="0"/>
        <v>0</v>
      </c>
      <c r="I25" s="329"/>
    </row>
    <row r="26" spans="1:9" ht="15.75">
      <c r="A26" s="329">
        <v>20</v>
      </c>
      <c r="B26" s="332" t="str">
        <f>IF(AND(Master!B79=""),"",Master!B79)</f>
        <v xml:space="preserve">Jh gseUr vkgqtk </v>
      </c>
      <c r="C26" s="329" t="str">
        <f>IF(AND(Master!C79=""),"",Master!C79)</f>
        <v>CLERK GRADE III</v>
      </c>
      <c r="D26" s="329"/>
      <c r="E26" s="329"/>
      <c r="F26" s="329"/>
      <c r="G26" s="329"/>
      <c r="H26" s="338">
        <f t="shared" si="0"/>
        <v>0</v>
      </c>
      <c r="I26" s="329"/>
    </row>
    <row r="27" spans="1:9" ht="15.75">
      <c r="A27" s="329">
        <v>21</v>
      </c>
      <c r="B27" s="332" t="str">
        <f>IF(AND(Master!B80=""),"",Master!B80)</f>
        <v>Jherh lhek</v>
      </c>
      <c r="C27" s="329" t="str">
        <f>IF(AND(Master!C80=""),"",Master!C80)</f>
        <v>LECTURER</v>
      </c>
      <c r="D27" s="329"/>
      <c r="E27" s="329"/>
      <c r="F27" s="329"/>
      <c r="G27" s="329"/>
      <c r="H27" s="338">
        <f t="shared" si="0"/>
        <v>0</v>
      </c>
      <c r="I27" s="329"/>
    </row>
    <row r="28" spans="1:9" ht="15.75">
      <c r="A28" s="329">
        <v>22</v>
      </c>
      <c r="B28" s="332" t="str">
        <f>IF(AND(Master!B81=""),"",Master!B81)</f>
        <v>fjDr in</v>
      </c>
      <c r="C28" s="329" t="str">
        <f>IF(AND(Master!C81=""),"",Master!C81)</f>
        <v>LECTURER</v>
      </c>
      <c r="D28" s="329"/>
      <c r="E28" s="329"/>
      <c r="F28" s="329"/>
      <c r="G28" s="329"/>
      <c r="H28" s="338">
        <f t="shared" si="0"/>
        <v>0</v>
      </c>
      <c r="I28" s="329"/>
    </row>
    <row r="29" spans="1:9" ht="15.75">
      <c r="A29" s="329">
        <v>23</v>
      </c>
      <c r="B29" s="332" t="str">
        <f>IF(AND(Master!B82=""),"",Master!B82)</f>
        <v>fjDr in</v>
      </c>
      <c r="C29" s="329" t="str">
        <f>IF(AND(Master!C82=""),"",Master!C82)</f>
        <v>LECTURER</v>
      </c>
      <c r="D29" s="329"/>
      <c r="E29" s="329"/>
      <c r="F29" s="329"/>
      <c r="G29" s="329"/>
      <c r="H29" s="338">
        <f t="shared" si="0"/>
        <v>0</v>
      </c>
      <c r="I29" s="329"/>
    </row>
    <row r="30" spans="1:9" ht="15.75">
      <c r="A30" s="329">
        <v>24</v>
      </c>
      <c r="B30" s="332" t="str">
        <f>IF(AND(Master!B83=""),"",Master!B83)</f>
        <v>fjDr in</v>
      </c>
      <c r="C30" s="329" t="str">
        <f>IF(AND(Master!C83=""),"",Master!C83)</f>
        <v>PEON</v>
      </c>
      <c r="D30" s="329"/>
      <c r="E30" s="329"/>
      <c r="F30" s="329"/>
      <c r="G30" s="329"/>
      <c r="H30" s="338">
        <f t="shared" si="0"/>
        <v>0</v>
      </c>
      <c r="I30" s="329"/>
    </row>
    <row r="31" spans="1:9" ht="15.75">
      <c r="A31" s="329">
        <v>25</v>
      </c>
      <c r="B31" s="332" t="str">
        <f>IF(AND(Master!B84=""),"",Master!B84)</f>
        <v>fjDr in</v>
      </c>
      <c r="C31" s="329" t="str">
        <f>IF(AND(Master!C84=""),"",Master!C84)</f>
        <v>PEON</v>
      </c>
      <c r="D31" s="329"/>
      <c r="E31" s="329"/>
      <c r="F31" s="329"/>
      <c r="G31" s="329"/>
      <c r="H31" s="338">
        <f t="shared" si="0"/>
        <v>0</v>
      </c>
      <c r="I31" s="329"/>
    </row>
    <row r="32" spans="1:9" ht="15.75">
      <c r="A32" s="329">
        <v>26</v>
      </c>
      <c r="B32" s="332" t="str">
        <f>IF(AND(Master!B85=""),"",Master!B85)</f>
        <v/>
      </c>
      <c r="C32" s="329" t="str">
        <f>IF(AND(Master!C85=""),"",Master!C85)</f>
        <v/>
      </c>
      <c r="D32" s="329"/>
      <c r="E32" s="329"/>
      <c r="F32" s="329"/>
      <c r="G32" s="329"/>
      <c r="H32" s="338" t="str">
        <f t="shared" si="0"/>
        <v/>
      </c>
      <c r="I32" s="329"/>
    </row>
    <row r="33" spans="1:11" ht="15.75">
      <c r="A33" s="329">
        <v>27</v>
      </c>
      <c r="B33" s="332" t="str">
        <f>IF(AND(Master!B86=""),"",Master!B86)</f>
        <v/>
      </c>
      <c r="C33" s="329" t="str">
        <f>IF(AND(Master!C86=""),"",Master!C86)</f>
        <v/>
      </c>
      <c r="D33" s="329"/>
      <c r="E33" s="329"/>
      <c r="F33" s="329"/>
      <c r="G33" s="329"/>
      <c r="H33" s="338" t="str">
        <f t="shared" si="0"/>
        <v/>
      </c>
      <c r="I33" s="329"/>
    </row>
    <row r="34" spans="1:11" ht="15.75">
      <c r="A34" s="329">
        <v>28</v>
      </c>
      <c r="B34" s="332" t="str">
        <f>IF(AND(Master!B87=""),"",Master!B87)</f>
        <v/>
      </c>
      <c r="C34" s="329" t="str">
        <f>IF(AND(Master!C87=""),"",Master!C87)</f>
        <v/>
      </c>
      <c r="D34" s="329"/>
      <c r="E34" s="329"/>
      <c r="F34" s="329"/>
      <c r="G34" s="329"/>
      <c r="H34" s="338" t="str">
        <f t="shared" si="0"/>
        <v/>
      </c>
      <c r="I34" s="329"/>
    </row>
    <row r="35" spans="1:11" ht="15.75">
      <c r="A35" s="329">
        <v>29</v>
      </c>
      <c r="B35" s="332" t="str">
        <f>IF(AND(Master!B88=""),"",Master!B88)</f>
        <v/>
      </c>
      <c r="C35" s="329" t="str">
        <f>IF(AND(Master!C88=""),"",Master!C88)</f>
        <v/>
      </c>
      <c r="D35" s="329"/>
      <c r="E35" s="329"/>
      <c r="F35" s="329"/>
      <c r="G35" s="329"/>
      <c r="H35" s="338" t="str">
        <f t="shared" si="0"/>
        <v/>
      </c>
      <c r="I35" s="329"/>
    </row>
    <row r="36" spans="1:11" ht="15.75">
      <c r="A36" s="329">
        <v>30</v>
      </c>
      <c r="B36" s="332" t="str">
        <f>IF(AND(Master!B89=""),"",Master!B89)</f>
        <v/>
      </c>
      <c r="C36" s="329" t="str">
        <f>IF(AND(Master!C89=""),"",Master!C89)</f>
        <v/>
      </c>
      <c r="D36" s="329"/>
      <c r="E36" s="329"/>
      <c r="F36" s="329"/>
      <c r="G36" s="329"/>
      <c r="H36" s="338" t="str">
        <f t="shared" si="0"/>
        <v/>
      </c>
      <c r="I36" s="329"/>
    </row>
    <row r="37" spans="1:11" ht="15.75">
      <c r="A37" s="329">
        <v>31</v>
      </c>
      <c r="B37" s="332" t="str">
        <f>IF(AND(Master!B90=""),"",Master!B90)</f>
        <v/>
      </c>
      <c r="C37" s="329" t="str">
        <f>IF(AND(Master!C90=""),"",Master!C90)</f>
        <v/>
      </c>
      <c r="D37" s="329"/>
      <c r="E37" s="329"/>
      <c r="F37" s="329"/>
      <c r="G37" s="329"/>
      <c r="H37" s="338" t="str">
        <f t="shared" si="0"/>
        <v/>
      </c>
      <c r="I37" s="329"/>
    </row>
    <row r="38" spans="1:11" ht="18.75" customHeight="1">
      <c r="A38" s="198"/>
      <c r="B38" s="1073" t="s">
        <v>550</v>
      </c>
      <c r="C38" s="1073"/>
      <c r="D38" s="1073"/>
      <c r="E38" s="1073"/>
      <c r="F38" s="1073"/>
    </row>
    <row r="39" spans="1:11" ht="18.75" customHeight="1">
      <c r="A39" s="198"/>
      <c r="B39" s="1069"/>
      <c r="C39" s="1069"/>
      <c r="D39" s="1069"/>
      <c r="E39" s="1069"/>
      <c r="F39" s="1069"/>
    </row>
    <row r="40" spans="1:11" ht="18.75" customHeight="1">
      <c r="A40" s="198"/>
      <c r="B40" s="1069"/>
      <c r="C40" s="1069"/>
      <c r="D40" s="1069"/>
      <c r="E40" s="1069"/>
      <c r="F40" s="1069"/>
      <c r="H40" s="1070" t="str">
        <f>CONCATENATE("¼ ",Master!G3,"½")</f>
        <v>¼ m"kk ikfy;k½</v>
      </c>
      <c r="I40" s="1070"/>
    </row>
    <row r="41" spans="1:11" ht="18.75">
      <c r="A41" s="198"/>
      <c r="B41" s="1069"/>
      <c r="C41" s="1069"/>
      <c r="D41" s="1069"/>
      <c r="E41" s="1069"/>
      <c r="F41" s="1069"/>
      <c r="H41" s="928" t="str">
        <f>Master!C2</f>
        <v>iz/kkukpk;Z</v>
      </c>
      <c r="I41" s="928"/>
      <c r="J41" s="263"/>
      <c r="K41" s="263"/>
    </row>
    <row r="42" spans="1:11" ht="18.75" customHeight="1">
      <c r="A42" s="198"/>
      <c r="B42" s="198"/>
      <c r="C42" s="272"/>
      <c r="D42" s="109"/>
      <c r="E42" s="109"/>
      <c r="F42" s="210"/>
      <c r="H42" s="923" t="str">
        <f>Master!D2</f>
        <v>egkRek xka/kh jktdh; fo|ky; ¼vaxzsth ek/;e½ cj ] C;koj</v>
      </c>
      <c r="I42" s="923"/>
      <c r="J42" s="109"/>
      <c r="K42" s="109"/>
    </row>
    <row r="43" spans="1:11" ht="18.75" customHeight="1">
      <c r="A43" s="198"/>
      <c r="B43" s="198"/>
      <c r="C43" s="210"/>
      <c r="D43" s="109"/>
      <c r="E43" s="109"/>
      <c r="F43" s="210"/>
      <c r="H43" s="923"/>
      <c r="I43" s="923"/>
      <c r="J43" s="109"/>
      <c r="K43" s="109"/>
    </row>
    <row r="44" spans="1:11" ht="15" customHeight="1">
      <c r="A44" s="272"/>
      <c r="B44" s="272"/>
      <c r="C44" s="272"/>
      <c r="D44" s="210"/>
      <c r="E44" s="210"/>
      <c r="F44" s="210"/>
    </row>
    <row r="45" spans="1:11">
      <c r="A45" s="272"/>
      <c r="B45" s="272"/>
      <c r="C45" s="272"/>
      <c r="D45" s="272"/>
      <c r="E45" s="272"/>
      <c r="F45" s="147"/>
    </row>
    <row r="46" spans="1:11">
      <c r="A46" s="272"/>
      <c r="B46" s="272"/>
      <c r="C46" s="272"/>
      <c r="D46" s="272"/>
      <c r="E46" s="272"/>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4" priority="1" operator="containsText" text="in fjDr">
      <formula>NOT(ISERROR(SEARCH("in fjDr",B38)))</formula>
    </cfRule>
  </conditionalFormatting>
  <pageMargins left="0.62" right="0.36" top="0.39" bottom="0.39" header="0.3" footer="0.3"/>
  <pageSetup paperSize="9" scale="99" fitToHeight="2" orientation="landscape" blackAndWhite="1" horizontalDpi="300" verticalDpi="300" r:id="rId1"/>
  <drawing r:id="rId2"/>
</worksheet>
</file>

<file path=xl/worksheets/sheet26.xml><?xml version="1.0" encoding="utf-8"?>
<worksheet xmlns="http://schemas.openxmlformats.org/spreadsheetml/2006/main" xmlns:r="http://schemas.openxmlformats.org/officeDocument/2006/relationships">
  <sheetPr codeName="Sheet24">
    <tabColor rgb="FFFFFF00"/>
    <pageSetUpPr fitToPage="1"/>
  </sheetPr>
  <dimension ref="A1:H19"/>
  <sheetViews>
    <sheetView showGridLines="0" view="pageBreakPreview" zoomScale="110" zoomScaleSheetLayoutView="110" workbookViewId="0">
      <selection activeCell="K12" sqref="K12"/>
    </sheetView>
  </sheetViews>
  <sheetFormatPr defaultColWidth="9.125" defaultRowHeight="15"/>
  <cols>
    <col min="1" max="1" width="6.375" style="326" customWidth="1"/>
    <col min="2" max="2" width="13.125" style="326" customWidth="1"/>
    <col min="3" max="3" width="28" style="326" customWidth="1"/>
    <col min="4" max="4" width="16.375" style="326" customWidth="1"/>
    <col min="5" max="5" width="12.25" style="326" customWidth="1"/>
    <col min="6" max="6" width="19.25" style="326" customWidth="1"/>
    <col min="7" max="7" width="18.375" style="326" customWidth="1"/>
    <col min="8" max="8" width="17.875" style="326" customWidth="1"/>
    <col min="9" max="16384" width="9.125" style="326"/>
  </cols>
  <sheetData>
    <row r="1" spans="1:8" ht="26.25" customHeight="1">
      <c r="A1" s="1078" t="str">
        <f>Summary!A2</f>
        <v>iz/kkukpk;Z egkRek xka/kh jktdh; fo|ky; ¼vaxzsth ek/;e½ cj ] C;koj</v>
      </c>
      <c r="B1" s="1078"/>
      <c r="C1" s="1078"/>
      <c r="D1" s="1078"/>
      <c r="E1" s="1078"/>
      <c r="F1" s="1078"/>
      <c r="G1" s="1078"/>
      <c r="H1" s="1078"/>
    </row>
    <row r="2" spans="1:8" ht="18.75" customHeight="1">
      <c r="A2" s="340"/>
      <c r="B2" s="340"/>
      <c r="G2" s="949">
        <f>Summary!$C$1</f>
        <v>30695</v>
      </c>
      <c r="H2" s="949"/>
    </row>
    <row r="3" spans="1:8" ht="18.75" customHeight="1">
      <c r="A3" s="1079" t="s">
        <v>507</v>
      </c>
      <c r="B3" s="1079"/>
      <c r="C3" s="1079"/>
      <c r="D3" s="1079"/>
      <c r="E3" s="1079"/>
      <c r="F3" s="1079"/>
      <c r="G3" s="1079"/>
      <c r="H3" s="1079"/>
    </row>
    <row r="4" spans="1:8" ht="18.75" customHeight="1">
      <c r="A4" s="1076">
        <f>Summary!$C$1</f>
        <v>30695</v>
      </c>
      <c r="B4" s="1076"/>
      <c r="C4" s="1077" t="str">
        <f>Summary!A5</f>
        <v>BUDGET HEAD : 2202-GENERAL EDUCATION, 02-SECONDARY EDUCATION, 109-GOVT. SEC. SCHOOL, (02)-GIRLS SCHOOL (STATE FUND)</v>
      </c>
      <c r="D4" s="1077"/>
      <c r="E4" s="1077"/>
      <c r="F4" s="1077"/>
      <c r="G4" s="1077"/>
      <c r="H4" s="1077"/>
    </row>
    <row r="5" spans="1:8" ht="29.25" customHeight="1">
      <c r="A5" s="1080" t="s">
        <v>802</v>
      </c>
      <c r="B5" s="1080"/>
      <c r="C5" s="1080"/>
      <c r="D5" s="1080"/>
      <c r="E5" s="1080"/>
      <c r="F5" s="1080"/>
      <c r="G5" s="1080"/>
      <c r="H5" s="1080"/>
    </row>
    <row r="6" spans="1:8" ht="18.75" customHeight="1">
      <c r="A6" s="1074"/>
      <c r="B6" s="1074"/>
      <c r="C6" s="1074"/>
      <c r="D6" s="1074"/>
      <c r="E6" s="1074"/>
      <c r="F6" s="1074"/>
      <c r="G6" s="1074"/>
      <c r="H6" s="1074"/>
    </row>
    <row r="7" spans="1:8" s="342" customFormat="1" ht="75.75" customHeight="1">
      <c r="A7" s="341" t="s">
        <v>508</v>
      </c>
      <c r="B7" s="341" t="s">
        <v>509</v>
      </c>
      <c r="C7" s="341" t="s">
        <v>510</v>
      </c>
      <c r="D7" s="341" t="s">
        <v>511</v>
      </c>
      <c r="E7" s="341" t="s">
        <v>512</v>
      </c>
      <c r="F7" s="341" t="s">
        <v>513</v>
      </c>
      <c r="G7" s="341" t="s">
        <v>514</v>
      </c>
      <c r="H7" s="341" t="s">
        <v>803</v>
      </c>
    </row>
    <row r="8" spans="1:8" s="342" customFormat="1" ht="20.25" customHeight="1">
      <c r="A8" s="341">
        <v>1</v>
      </c>
      <c r="B8" s="341">
        <v>2</v>
      </c>
      <c r="C8" s="341">
        <v>3</v>
      </c>
      <c r="D8" s="341">
        <v>4</v>
      </c>
      <c r="E8" s="341">
        <v>5</v>
      </c>
      <c r="F8" s="341">
        <v>6</v>
      </c>
      <c r="G8" s="341">
        <v>7</v>
      </c>
      <c r="H8" s="341">
        <v>8</v>
      </c>
    </row>
    <row r="9" spans="1:8" s="345" customFormat="1" ht="37.5" customHeight="1">
      <c r="A9" s="343"/>
      <c r="B9" s="343"/>
      <c r="C9" s="344"/>
      <c r="D9" s="343"/>
      <c r="E9" s="343"/>
      <c r="F9" s="343"/>
      <c r="G9" s="343"/>
      <c r="H9" s="343"/>
    </row>
    <row r="10" spans="1:8" s="345" customFormat="1" ht="37.5" customHeight="1">
      <c r="A10" s="343"/>
      <c r="B10" s="343"/>
      <c r="C10" s="344"/>
      <c r="D10" s="343"/>
      <c r="E10" s="346" t="s">
        <v>515</v>
      </c>
      <c r="F10" s="343"/>
      <c r="G10" s="343"/>
      <c r="H10" s="343"/>
    </row>
    <row r="11" spans="1:8" s="345" customFormat="1" ht="37.5" customHeight="1">
      <c r="A11" s="343"/>
      <c r="B11" s="343"/>
      <c r="C11" s="344"/>
      <c r="D11" s="343"/>
      <c r="E11" s="343"/>
      <c r="F11" s="343"/>
      <c r="G11" s="343"/>
      <c r="H11" s="343"/>
    </row>
    <row r="12" spans="1:8" s="345" customFormat="1" ht="37.5" customHeight="1">
      <c r="A12" s="343"/>
      <c r="B12" s="343"/>
      <c r="C12" s="344"/>
      <c r="D12" s="344"/>
      <c r="E12" s="343"/>
      <c r="F12" s="343"/>
      <c r="G12" s="343" t="s">
        <v>424</v>
      </c>
      <c r="H12" s="343">
        <f>SUM(H9:H11)</f>
        <v>0</v>
      </c>
    </row>
    <row r="13" spans="1:8">
      <c r="A13" s="1073" t="s">
        <v>550</v>
      </c>
      <c r="B13" s="1073"/>
      <c r="C13" s="1073"/>
      <c r="D13" s="1073"/>
      <c r="E13" s="1073"/>
    </row>
    <row r="14" spans="1:8">
      <c r="A14" s="1069"/>
      <c r="B14" s="1069"/>
      <c r="C14" s="1069"/>
      <c r="D14" s="1069"/>
      <c r="E14" s="1069"/>
    </row>
    <row r="15" spans="1:8">
      <c r="A15" s="1069"/>
      <c r="B15" s="1069"/>
      <c r="C15" s="1069"/>
      <c r="D15" s="1069"/>
      <c r="E15" s="1069"/>
    </row>
    <row r="16" spans="1:8" ht="15.75">
      <c r="A16" s="1069"/>
      <c r="B16" s="1069"/>
      <c r="C16" s="1069"/>
      <c r="D16" s="1069"/>
      <c r="E16" s="1069"/>
      <c r="F16" s="1075" t="str">
        <f>CONCATENATE("¼ ",Master!G3,"½")</f>
        <v>¼ m"kk ikfy;k½</v>
      </c>
      <c r="G16" s="1075"/>
      <c r="H16" s="1075"/>
    </row>
    <row r="17" spans="1:8" ht="16.5">
      <c r="A17" s="1069"/>
      <c r="B17" s="1069"/>
      <c r="C17" s="1069"/>
      <c r="D17" s="1069"/>
      <c r="E17" s="1069"/>
      <c r="F17" s="928" t="str">
        <f>Master!C2</f>
        <v>iz/kkukpk;Z</v>
      </c>
      <c r="G17" s="928"/>
      <c r="H17" s="928"/>
    </row>
    <row r="18" spans="1:8" ht="18.75" customHeight="1">
      <c r="F18" s="923" t="str">
        <f>Master!D2</f>
        <v>egkRek xka/kh jktdh; fo|ky; ¼vaxzsth ek/;e½ cj ] C;koj</v>
      </c>
      <c r="G18" s="923"/>
      <c r="H18" s="923"/>
    </row>
    <row r="19" spans="1:8" ht="15" customHeight="1">
      <c r="F19" s="923"/>
      <c r="G19" s="923"/>
      <c r="H19" s="923"/>
    </row>
  </sheetData>
  <mergeCells count="11">
    <mergeCell ref="A4:B4"/>
    <mergeCell ref="C4:H4"/>
    <mergeCell ref="A1:H1"/>
    <mergeCell ref="A3:H3"/>
    <mergeCell ref="A5:H5"/>
    <mergeCell ref="G2:H2"/>
    <mergeCell ref="A6:H6"/>
    <mergeCell ref="A13:E17"/>
    <mergeCell ref="F17:H17"/>
    <mergeCell ref="F18:H19"/>
    <mergeCell ref="F16:H16"/>
  </mergeCells>
  <conditionalFormatting sqref="A13:A16">
    <cfRule type="containsText" dxfId="3" priority="1" operator="containsText" text="in fjDr">
      <formula>NOT(ISERROR(SEARCH("in fjDr",A13)))</formula>
    </cfRule>
  </conditionalFormatting>
  <pageMargins left="0.7" right="0.7" top="0.75" bottom="0.75" header="0.3" footer="0.3"/>
  <pageSetup paperSize="9" scale="99" orientation="landscape" blackAndWhite="1" horizontalDpi="300" verticalDpi="300" r:id="rId1"/>
  <drawing r:id="rId2"/>
</worksheet>
</file>

<file path=xl/worksheets/sheet27.xml><?xml version="1.0" encoding="utf-8"?>
<worksheet xmlns="http://schemas.openxmlformats.org/spreadsheetml/2006/main" xmlns:r="http://schemas.openxmlformats.org/officeDocument/2006/relationships">
  <sheetPr codeName="Sheet25">
    <tabColor theme="9" tint="-0.249977111117893"/>
    <pageSetUpPr fitToPage="1"/>
  </sheetPr>
  <dimension ref="A1:V129"/>
  <sheetViews>
    <sheetView showGridLines="0" view="pageBreakPreview" topLeftCell="C1" zoomScaleSheetLayoutView="100" workbookViewId="0">
      <selection activeCell="T29" sqref="T29"/>
    </sheetView>
  </sheetViews>
  <sheetFormatPr defaultRowHeight="15"/>
  <cols>
    <col min="1" max="1" width="3.75" style="326" customWidth="1"/>
    <col min="2" max="2" width="20.625" style="326" customWidth="1"/>
    <col min="3" max="3" width="4.875" style="326" customWidth="1"/>
    <col min="4" max="4" width="16.125" style="326" customWidth="1"/>
    <col min="5" max="5" width="9.375" style="326" customWidth="1"/>
    <col min="6" max="6" width="7.125" style="326" customWidth="1"/>
    <col min="7" max="7" width="7.75" style="326" customWidth="1"/>
    <col min="8" max="8" width="8.625" style="326" customWidth="1"/>
    <col min="9" max="9" width="8.875" style="326" customWidth="1"/>
    <col min="10" max="10" width="8" style="326" customWidth="1"/>
    <col min="11" max="11" width="10.125" style="326" customWidth="1"/>
    <col min="12" max="12" width="6.875" style="550" customWidth="1"/>
    <col min="13" max="13" width="11.375" style="326" customWidth="1"/>
    <col min="14" max="14" width="7.25" style="326" customWidth="1"/>
    <col min="15" max="15" width="10.375" style="326" customWidth="1"/>
    <col min="16" max="16" width="10.625" style="326" customWidth="1"/>
    <col min="17" max="17" width="9.875" style="326" customWidth="1"/>
    <col min="18" max="18" width="10" style="550" customWidth="1"/>
    <col min="19" max="19" width="10.125" style="550" customWidth="1"/>
    <col min="20" max="20" width="9.75" style="550" customWidth="1"/>
    <col min="21" max="21" width="12.375" style="326" customWidth="1"/>
    <col min="22" max="22" width="6" style="326" customWidth="1"/>
    <col min="23" max="255" width="9.125" style="326"/>
    <col min="256" max="256" width="2.875" style="326" customWidth="1"/>
    <col min="257" max="257" width="3.75" style="326" customWidth="1"/>
    <col min="258" max="258" width="20" style="326" customWidth="1"/>
    <col min="259" max="259" width="17.875" style="326" customWidth="1"/>
    <col min="260" max="261" width="7.875" style="326" customWidth="1"/>
    <col min="262" max="262" width="14.875" style="326" customWidth="1"/>
    <col min="263" max="263" width="8.875" style="326" customWidth="1"/>
    <col min="264" max="264" width="7.125" style="326" customWidth="1"/>
    <col min="265" max="265" width="6.875" style="326" customWidth="1"/>
    <col min="266" max="266" width="5.875" style="326" customWidth="1"/>
    <col min="267" max="267" width="7.75" style="326" customWidth="1"/>
    <col min="268" max="268" width="7.875" style="326" customWidth="1"/>
    <col min="269" max="269" width="7.125" style="326" customWidth="1"/>
    <col min="270" max="270" width="5" style="326" customWidth="1"/>
    <col min="271" max="271" width="6.875" style="326" customWidth="1"/>
    <col min="272" max="272" width="10" style="326" customWidth="1"/>
    <col min="273" max="273" width="5.375" style="326" customWidth="1"/>
    <col min="274" max="274" width="5.75" style="326" customWidth="1"/>
    <col min="275" max="275" width="10" style="326" customWidth="1"/>
    <col min="276" max="276" width="5.25" style="326" customWidth="1"/>
    <col min="277" max="511" width="9.125" style="326"/>
    <col min="512" max="512" width="2.875" style="326" customWidth="1"/>
    <col min="513" max="513" width="3.75" style="326" customWidth="1"/>
    <col min="514" max="514" width="20" style="326" customWidth="1"/>
    <col min="515" max="515" width="17.875" style="326" customWidth="1"/>
    <col min="516" max="517" width="7.875" style="326" customWidth="1"/>
    <col min="518" max="518" width="14.875" style="326" customWidth="1"/>
    <col min="519" max="519" width="8.875" style="326" customWidth="1"/>
    <col min="520" max="520" width="7.125" style="326" customWidth="1"/>
    <col min="521" max="521" width="6.875" style="326" customWidth="1"/>
    <col min="522" max="522" width="5.875" style="326" customWidth="1"/>
    <col min="523" max="523" width="7.75" style="326" customWidth="1"/>
    <col min="524" max="524" width="7.875" style="326" customWidth="1"/>
    <col min="525" max="525" width="7.125" style="326" customWidth="1"/>
    <col min="526" max="526" width="5" style="326" customWidth="1"/>
    <col min="527" max="527" width="6.875" style="326" customWidth="1"/>
    <col min="528" max="528" width="10" style="326" customWidth="1"/>
    <col min="529" max="529" width="5.375" style="326" customWidth="1"/>
    <col min="530" max="530" width="5.75" style="326" customWidth="1"/>
    <col min="531" max="531" width="10" style="326" customWidth="1"/>
    <col min="532" max="532" width="5.25" style="326" customWidth="1"/>
    <col min="533" max="767" width="9.125" style="326"/>
    <col min="768" max="768" width="2.875" style="326" customWidth="1"/>
    <col min="769" max="769" width="3.75" style="326" customWidth="1"/>
    <col min="770" max="770" width="20" style="326" customWidth="1"/>
    <col min="771" max="771" width="17.875" style="326" customWidth="1"/>
    <col min="772" max="773" width="7.875" style="326" customWidth="1"/>
    <col min="774" max="774" width="14.875" style="326" customWidth="1"/>
    <col min="775" max="775" width="8.875" style="326" customWidth="1"/>
    <col min="776" max="776" width="7.125" style="326" customWidth="1"/>
    <col min="777" max="777" width="6.875" style="326" customWidth="1"/>
    <col min="778" max="778" width="5.875" style="326" customWidth="1"/>
    <col min="779" max="779" width="7.75" style="326" customWidth="1"/>
    <col min="780" max="780" width="7.875" style="326" customWidth="1"/>
    <col min="781" max="781" width="7.125" style="326" customWidth="1"/>
    <col min="782" max="782" width="5" style="326" customWidth="1"/>
    <col min="783" max="783" width="6.875" style="326" customWidth="1"/>
    <col min="784" max="784" width="10" style="326" customWidth="1"/>
    <col min="785" max="785" width="5.375" style="326" customWidth="1"/>
    <col min="786" max="786" width="5.75" style="326" customWidth="1"/>
    <col min="787" max="787" width="10" style="326" customWidth="1"/>
    <col min="788" max="788" width="5.25" style="326" customWidth="1"/>
    <col min="789" max="1023" width="9.125" style="326"/>
    <col min="1024" max="1024" width="2.875" style="326" customWidth="1"/>
    <col min="1025" max="1025" width="3.75" style="326" customWidth="1"/>
    <col min="1026" max="1026" width="20" style="326" customWidth="1"/>
    <col min="1027" max="1027" width="17.875" style="326" customWidth="1"/>
    <col min="1028" max="1029" width="7.875" style="326" customWidth="1"/>
    <col min="1030" max="1030" width="14.875" style="326" customWidth="1"/>
    <col min="1031" max="1031" width="8.875" style="326" customWidth="1"/>
    <col min="1032" max="1032" width="7.125" style="326" customWidth="1"/>
    <col min="1033" max="1033" width="6.875" style="326" customWidth="1"/>
    <col min="1034" max="1034" width="5.875" style="326" customWidth="1"/>
    <col min="1035" max="1035" width="7.75" style="326" customWidth="1"/>
    <col min="1036" max="1036" width="7.875" style="326" customWidth="1"/>
    <col min="1037" max="1037" width="7.125" style="326" customWidth="1"/>
    <col min="1038" max="1038" width="5" style="326" customWidth="1"/>
    <col min="1039" max="1039" width="6.875" style="326" customWidth="1"/>
    <col min="1040" max="1040" width="10" style="326" customWidth="1"/>
    <col min="1041" max="1041" width="5.375" style="326" customWidth="1"/>
    <col min="1042" max="1042" width="5.75" style="326" customWidth="1"/>
    <col min="1043" max="1043" width="10" style="326" customWidth="1"/>
    <col min="1044" max="1044" width="5.25" style="326" customWidth="1"/>
    <col min="1045" max="1279" width="9.125" style="326"/>
    <col min="1280" max="1280" width="2.875" style="326" customWidth="1"/>
    <col min="1281" max="1281" width="3.75" style="326" customWidth="1"/>
    <col min="1282" max="1282" width="20" style="326" customWidth="1"/>
    <col min="1283" max="1283" width="17.875" style="326" customWidth="1"/>
    <col min="1284" max="1285" width="7.875" style="326" customWidth="1"/>
    <col min="1286" max="1286" width="14.875" style="326" customWidth="1"/>
    <col min="1287" max="1287" width="8.875" style="326" customWidth="1"/>
    <col min="1288" max="1288" width="7.125" style="326" customWidth="1"/>
    <col min="1289" max="1289" width="6.875" style="326" customWidth="1"/>
    <col min="1290" max="1290" width="5.875" style="326" customWidth="1"/>
    <col min="1291" max="1291" width="7.75" style="326" customWidth="1"/>
    <col min="1292" max="1292" width="7.875" style="326" customWidth="1"/>
    <col min="1293" max="1293" width="7.125" style="326" customWidth="1"/>
    <col min="1294" max="1294" width="5" style="326" customWidth="1"/>
    <col min="1295" max="1295" width="6.875" style="326" customWidth="1"/>
    <col min="1296" max="1296" width="10" style="326" customWidth="1"/>
    <col min="1297" max="1297" width="5.375" style="326" customWidth="1"/>
    <col min="1298" max="1298" width="5.75" style="326" customWidth="1"/>
    <col min="1299" max="1299" width="10" style="326" customWidth="1"/>
    <col min="1300" max="1300" width="5.25" style="326" customWidth="1"/>
    <col min="1301" max="1535" width="9.125" style="326"/>
    <col min="1536" max="1536" width="2.875" style="326" customWidth="1"/>
    <col min="1537" max="1537" width="3.75" style="326" customWidth="1"/>
    <col min="1538" max="1538" width="20" style="326" customWidth="1"/>
    <col min="1539" max="1539" width="17.875" style="326" customWidth="1"/>
    <col min="1540" max="1541" width="7.875" style="326" customWidth="1"/>
    <col min="1542" max="1542" width="14.875" style="326" customWidth="1"/>
    <col min="1543" max="1543" width="8.875" style="326" customWidth="1"/>
    <col min="1544" max="1544" width="7.125" style="326" customWidth="1"/>
    <col min="1545" max="1545" width="6.875" style="326" customWidth="1"/>
    <col min="1546" max="1546" width="5.875" style="326" customWidth="1"/>
    <col min="1547" max="1547" width="7.75" style="326" customWidth="1"/>
    <col min="1548" max="1548" width="7.875" style="326" customWidth="1"/>
    <col min="1549" max="1549" width="7.125" style="326" customWidth="1"/>
    <col min="1550" max="1550" width="5" style="326" customWidth="1"/>
    <col min="1551" max="1551" width="6.875" style="326" customWidth="1"/>
    <col min="1552" max="1552" width="10" style="326" customWidth="1"/>
    <col min="1553" max="1553" width="5.375" style="326" customWidth="1"/>
    <col min="1554" max="1554" width="5.75" style="326" customWidth="1"/>
    <col min="1555" max="1555" width="10" style="326" customWidth="1"/>
    <col min="1556" max="1556" width="5.25" style="326" customWidth="1"/>
    <col min="1557" max="1791" width="9.125" style="326"/>
    <col min="1792" max="1792" width="2.875" style="326" customWidth="1"/>
    <col min="1793" max="1793" width="3.75" style="326" customWidth="1"/>
    <col min="1794" max="1794" width="20" style="326" customWidth="1"/>
    <col min="1795" max="1795" width="17.875" style="326" customWidth="1"/>
    <col min="1796" max="1797" width="7.875" style="326" customWidth="1"/>
    <col min="1798" max="1798" width="14.875" style="326" customWidth="1"/>
    <col min="1799" max="1799" width="8.875" style="326" customWidth="1"/>
    <col min="1800" max="1800" width="7.125" style="326" customWidth="1"/>
    <col min="1801" max="1801" width="6.875" style="326" customWidth="1"/>
    <col min="1802" max="1802" width="5.875" style="326" customWidth="1"/>
    <col min="1803" max="1803" width="7.75" style="326" customWidth="1"/>
    <col min="1804" max="1804" width="7.875" style="326" customWidth="1"/>
    <col min="1805" max="1805" width="7.125" style="326" customWidth="1"/>
    <col min="1806" max="1806" width="5" style="326" customWidth="1"/>
    <col min="1807" max="1807" width="6.875" style="326" customWidth="1"/>
    <col min="1808" max="1808" width="10" style="326" customWidth="1"/>
    <col min="1809" max="1809" width="5.375" style="326" customWidth="1"/>
    <col min="1810" max="1810" width="5.75" style="326" customWidth="1"/>
    <col min="1811" max="1811" width="10" style="326" customWidth="1"/>
    <col min="1812" max="1812" width="5.25" style="326" customWidth="1"/>
    <col min="1813" max="2047" width="9.125" style="326"/>
    <col min="2048" max="2048" width="2.875" style="326" customWidth="1"/>
    <col min="2049" max="2049" width="3.75" style="326" customWidth="1"/>
    <col min="2050" max="2050" width="20" style="326" customWidth="1"/>
    <col min="2051" max="2051" width="17.875" style="326" customWidth="1"/>
    <col min="2052" max="2053" width="7.875" style="326" customWidth="1"/>
    <col min="2054" max="2054" width="14.875" style="326" customWidth="1"/>
    <col min="2055" max="2055" width="8.875" style="326" customWidth="1"/>
    <col min="2056" max="2056" width="7.125" style="326" customWidth="1"/>
    <col min="2057" max="2057" width="6.875" style="326" customWidth="1"/>
    <col min="2058" max="2058" width="5.875" style="326" customWidth="1"/>
    <col min="2059" max="2059" width="7.75" style="326" customWidth="1"/>
    <col min="2060" max="2060" width="7.875" style="326" customWidth="1"/>
    <col min="2061" max="2061" width="7.125" style="326" customWidth="1"/>
    <col min="2062" max="2062" width="5" style="326" customWidth="1"/>
    <col min="2063" max="2063" width="6.875" style="326" customWidth="1"/>
    <col min="2064" max="2064" width="10" style="326" customWidth="1"/>
    <col min="2065" max="2065" width="5.375" style="326" customWidth="1"/>
    <col min="2066" max="2066" width="5.75" style="326" customWidth="1"/>
    <col min="2067" max="2067" width="10" style="326" customWidth="1"/>
    <col min="2068" max="2068" width="5.25" style="326" customWidth="1"/>
    <col min="2069" max="2303" width="9.125" style="326"/>
    <col min="2304" max="2304" width="2.875" style="326" customWidth="1"/>
    <col min="2305" max="2305" width="3.75" style="326" customWidth="1"/>
    <col min="2306" max="2306" width="20" style="326" customWidth="1"/>
    <col min="2307" max="2307" width="17.875" style="326" customWidth="1"/>
    <col min="2308" max="2309" width="7.875" style="326" customWidth="1"/>
    <col min="2310" max="2310" width="14.875" style="326" customWidth="1"/>
    <col min="2311" max="2311" width="8.875" style="326" customWidth="1"/>
    <col min="2312" max="2312" width="7.125" style="326" customWidth="1"/>
    <col min="2313" max="2313" width="6.875" style="326" customWidth="1"/>
    <col min="2314" max="2314" width="5.875" style="326" customWidth="1"/>
    <col min="2315" max="2315" width="7.75" style="326" customWidth="1"/>
    <col min="2316" max="2316" width="7.875" style="326" customWidth="1"/>
    <col min="2317" max="2317" width="7.125" style="326" customWidth="1"/>
    <col min="2318" max="2318" width="5" style="326" customWidth="1"/>
    <col min="2319" max="2319" width="6.875" style="326" customWidth="1"/>
    <col min="2320" max="2320" width="10" style="326" customWidth="1"/>
    <col min="2321" max="2321" width="5.375" style="326" customWidth="1"/>
    <col min="2322" max="2322" width="5.75" style="326" customWidth="1"/>
    <col min="2323" max="2323" width="10" style="326" customWidth="1"/>
    <col min="2324" max="2324" width="5.25" style="326" customWidth="1"/>
    <col min="2325" max="2559" width="9.125" style="326"/>
    <col min="2560" max="2560" width="2.875" style="326" customWidth="1"/>
    <col min="2561" max="2561" width="3.75" style="326" customWidth="1"/>
    <col min="2562" max="2562" width="20" style="326" customWidth="1"/>
    <col min="2563" max="2563" width="17.875" style="326" customWidth="1"/>
    <col min="2564" max="2565" width="7.875" style="326" customWidth="1"/>
    <col min="2566" max="2566" width="14.875" style="326" customWidth="1"/>
    <col min="2567" max="2567" width="8.875" style="326" customWidth="1"/>
    <col min="2568" max="2568" width="7.125" style="326" customWidth="1"/>
    <col min="2569" max="2569" width="6.875" style="326" customWidth="1"/>
    <col min="2570" max="2570" width="5.875" style="326" customWidth="1"/>
    <col min="2571" max="2571" width="7.75" style="326" customWidth="1"/>
    <col min="2572" max="2572" width="7.875" style="326" customWidth="1"/>
    <col min="2573" max="2573" width="7.125" style="326" customWidth="1"/>
    <col min="2574" max="2574" width="5" style="326" customWidth="1"/>
    <col min="2575" max="2575" width="6.875" style="326" customWidth="1"/>
    <col min="2576" max="2576" width="10" style="326" customWidth="1"/>
    <col min="2577" max="2577" width="5.375" style="326" customWidth="1"/>
    <col min="2578" max="2578" width="5.75" style="326" customWidth="1"/>
    <col min="2579" max="2579" width="10" style="326" customWidth="1"/>
    <col min="2580" max="2580" width="5.25" style="326" customWidth="1"/>
    <col min="2581" max="2815" width="9.125" style="326"/>
    <col min="2816" max="2816" width="2.875" style="326" customWidth="1"/>
    <col min="2817" max="2817" width="3.75" style="326" customWidth="1"/>
    <col min="2818" max="2818" width="20" style="326" customWidth="1"/>
    <col min="2819" max="2819" width="17.875" style="326" customWidth="1"/>
    <col min="2820" max="2821" width="7.875" style="326" customWidth="1"/>
    <col min="2822" max="2822" width="14.875" style="326" customWidth="1"/>
    <col min="2823" max="2823" width="8.875" style="326" customWidth="1"/>
    <col min="2824" max="2824" width="7.125" style="326" customWidth="1"/>
    <col min="2825" max="2825" width="6.875" style="326" customWidth="1"/>
    <col min="2826" max="2826" width="5.875" style="326" customWidth="1"/>
    <col min="2827" max="2827" width="7.75" style="326" customWidth="1"/>
    <col min="2828" max="2828" width="7.875" style="326" customWidth="1"/>
    <col min="2829" max="2829" width="7.125" style="326" customWidth="1"/>
    <col min="2830" max="2830" width="5" style="326" customWidth="1"/>
    <col min="2831" max="2831" width="6.875" style="326" customWidth="1"/>
    <col min="2832" max="2832" width="10" style="326" customWidth="1"/>
    <col min="2833" max="2833" width="5.375" style="326" customWidth="1"/>
    <col min="2834" max="2834" width="5.75" style="326" customWidth="1"/>
    <col min="2835" max="2835" width="10" style="326" customWidth="1"/>
    <col min="2836" max="2836" width="5.25" style="326" customWidth="1"/>
    <col min="2837" max="3071" width="9.125" style="326"/>
    <col min="3072" max="3072" width="2.875" style="326" customWidth="1"/>
    <col min="3073" max="3073" width="3.75" style="326" customWidth="1"/>
    <col min="3074" max="3074" width="20" style="326" customWidth="1"/>
    <col min="3075" max="3075" width="17.875" style="326" customWidth="1"/>
    <col min="3076" max="3077" width="7.875" style="326" customWidth="1"/>
    <col min="3078" max="3078" width="14.875" style="326" customWidth="1"/>
    <col min="3079" max="3079" width="8.875" style="326" customWidth="1"/>
    <col min="3080" max="3080" width="7.125" style="326" customWidth="1"/>
    <col min="3081" max="3081" width="6.875" style="326" customWidth="1"/>
    <col min="3082" max="3082" width="5.875" style="326" customWidth="1"/>
    <col min="3083" max="3083" width="7.75" style="326" customWidth="1"/>
    <col min="3084" max="3084" width="7.875" style="326" customWidth="1"/>
    <col min="3085" max="3085" width="7.125" style="326" customWidth="1"/>
    <col min="3086" max="3086" width="5" style="326" customWidth="1"/>
    <col min="3087" max="3087" width="6.875" style="326" customWidth="1"/>
    <col min="3088" max="3088" width="10" style="326" customWidth="1"/>
    <col min="3089" max="3089" width="5.375" style="326" customWidth="1"/>
    <col min="3090" max="3090" width="5.75" style="326" customWidth="1"/>
    <col min="3091" max="3091" width="10" style="326" customWidth="1"/>
    <col min="3092" max="3092" width="5.25" style="326" customWidth="1"/>
    <col min="3093" max="3327" width="9.125" style="326"/>
    <col min="3328" max="3328" width="2.875" style="326" customWidth="1"/>
    <col min="3329" max="3329" width="3.75" style="326" customWidth="1"/>
    <col min="3330" max="3330" width="20" style="326" customWidth="1"/>
    <col min="3331" max="3331" width="17.875" style="326" customWidth="1"/>
    <col min="3332" max="3333" width="7.875" style="326" customWidth="1"/>
    <col min="3334" max="3334" width="14.875" style="326" customWidth="1"/>
    <col min="3335" max="3335" width="8.875" style="326" customWidth="1"/>
    <col min="3336" max="3336" width="7.125" style="326" customWidth="1"/>
    <col min="3337" max="3337" width="6.875" style="326" customWidth="1"/>
    <col min="3338" max="3338" width="5.875" style="326" customWidth="1"/>
    <col min="3339" max="3339" width="7.75" style="326" customWidth="1"/>
    <col min="3340" max="3340" width="7.875" style="326" customWidth="1"/>
    <col min="3341" max="3341" width="7.125" style="326" customWidth="1"/>
    <col min="3342" max="3342" width="5" style="326" customWidth="1"/>
    <col min="3343" max="3343" width="6.875" style="326" customWidth="1"/>
    <col min="3344" max="3344" width="10" style="326" customWidth="1"/>
    <col min="3345" max="3345" width="5.375" style="326" customWidth="1"/>
    <col min="3346" max="3346" width="5.75" style="326" customWidth="1"/>
    <col min="3347" max="3347" width="10" style="326" customWidth="1"/>
    <col min="3348" max="3348" width="5.25" style="326" customWidth="1"/>
    <col min="3349" max="3583" width="9.125" style="326"/>
    <col min="3584" max="3584" width="2.875" style="326" customWidth="1"/>
    <col min="3585" max="3585" width="3.75" style="326" customWidth="1"/>
    <col min="3586" max="3586" width="20" style="326" customWidth="1"/>
    <col min="3587" max="3587" width="17.875" style="326" customWidth="1"/>
    <col min="3588" max="3589" width="7.875" style="326" customWidth="1"/>
    <col min="3590" max="3590" width="14.875" style="326" customWidth="1"/>
    <col min="3591" max="3591" width="8.875" style="326" customWidth="1"/>
    <col min="3592" max="3592" width="7.125" style="326" customWidth="1"/>
    <col min="3593" max="3593" width="6.875" style="326" customWidth="1"/>
    <col min="3594" max="3594" width="5.875" style="326" customWidth="1"/>
    <col min="3595" max="3595" width="7.75" style="326" customWidth="1"/>
    <col min="3596" max="3596" width="7.875" style="326" customWidth="1"/>
    <col min="3597" max="3597" width="7.125" style="326" customWidth="1"/>
    <col min="3598" max="3598" width="5" style="326" customWidth="1"/>
    <col min="3599" max="3599" width="6.875" style="326" customWidth="1"/>
    <col min="3600" max="3600" width="10" style="326" customWidth="1"/>
    <col min="3601" max="3601" width="5.375" style="326" customWidth="1"/>
    <col min="3602" max="3602" width="5.75" style="326" customWidth="1"/>
    <col min="3603" max="3603" width="10" style="326" customWidth="1"/>
    <col min="3604" max="3604" width="5.25" style="326" customWidth="1"/>
    <col min="3605" max="3839" width="9.125" style="326"/>
    <col min="3840" max="3840" width="2.875" style="326" customWidth="1"/>
    <col min="3841" max="3841" width="3.75" style="326" customWidth="1"/>
    <col min="3842" max="3842" width="20" style="326" customWidth="1"/>
    <col min="3843" max="3843" width="17.875" style="326" customWidth="1"/>
    <col min="3844" max="3845" width="7.875" style="326" customWidth="1"/>
    <col min="3846" max="3846" width="14.875" style="326" customWidth="1"/>
    <col min="3847" max="3847" width="8.875" style="326" customWidth="1"/>
    <col min="3848" max="3848" width="7.125" style="326" customWidth="1"/>
    <col min="3849" max="3849" width="6.875" style="326" customWidth="1"/>
    <col min="3850" max="3850" width="5.875" style="326" customWidth="1"/>
    <col min="3851" max="3851" width="7.75" style="326" customWidth="1"/>
    <col min="3852" max="3852" width="7.875" style="326" customWidth="1"/>
    <col min="3853" max="3853" width="7.125" style="326" customWidth="1"/>
    <col min="3854" max="3854" width="5" style="326" customWidth="1"/>
    <col min="3855" max="3855" width="6.875" style="326" customWidth="1"/>
    <col min="3856" max="3856" width="10" style="326" customWidth="1"/>
    <col min="3857" max="3857" width="5.375" style="326" customWidth="1"/>
    <col min="3858" max="3858" width="5.75" style="326" customWidth="1"/>
    <col min="3859" max="3859" width="10" style="326" customWidth="1"/>
    <col min="3860" max="3860" width="5.25" style="326" customWidth="1"/>
    <col min="3861" max="4095" width="9.125" style="326"/>
    <col min="4096" max="4096" width="2.875" style="326" customWidth="1"/>
    <col min="4097" max="4097" width="3.75" style="326" customWidth="1"/>
    <col min="4098" max="4098" width="20" style="326" customWidth="1"/>
    <col min="4099" max="4099" width="17.875" style="326" customWidth="1"/>
    <col min="4100" max="4101" width="7.875" style="326" customWidth="1"/>
    <col min="4102" max="4102" width="14.875" style="326" customWidth="1"/>
    <col min="4103" max="4103" width="8.875" style="326" customWidth="1"/>
    <col min="4104" max="4104" width="7.125" style="326" customWidth="1"/>
    <col min="4105" max="4105" width="6.875" style="326" customWidth="1"/>
    <col min="4106" max="4106" width="5.875" style="326" customWidth="1"/>
    <col min="4107" max="4107" width="7.75" style="326" customWidth="1"/>
    <col min="4108" max="4108" width="7.875" style="326" customWidth="1"/>
    <col min="4109" max="4109" width="7.125" style="326" customWidth="1"/>
    <col min="4110" max="4110" width="5" style="326" customWidth="1"/>
    <col min="4111" max="4111" width="6.875" style="326" customWidth="1"/>
    <col min="4112" max="4112" width="10" style="326" customWidth="1"/>
    <col min="4113" max="4113" width="5.375" style="326" customWidth="1"/>
    <col min="4114" max="4114" width="5.75" style="326" customWidth="1"/>
    <col min="4115" max="4115" width="10" style="326" customWidth="1"/>
    <col min="4116" max="4116" width="5.25" style="326" customWidth="1"/>
    <col min="4117" max="4351" width="9.125" style="326"/>
    <col min="4352" max="4352" width="2.875" style="326" customWidth="1"/>
    <col min="4353" max="4353" width="3.75" style="326" customWidth="1"/>
    <col min="4354" max="4354" width="20" style="326" customWidth="1"/>
    <col min="4355" max="4355" width="17.875" style="326" customWidth="1"/>
    <col min="4356" max="4357" width="7.875" style="326" customWidth="1"/>
    <col min="4358" max="4358" width="14.875" style="326" customWidth="1"/>
    <col min="4359" max="4359" width="8.875" style="326" customWidth="1"/>
    <col min="4360" max="4360" width="7.125" style="326" customWidth="1"/>
    <col min="4361" max="4361" width="6.875" style="326" customWidth="1"/>
    <col min="4362" max="4362" width="5.875" style="326" customWidth="1"/>
    <col min="4363" max="4363" width="7.75" style="326" customWidth="1"/>
    <col min="4364" max="4364" width="7.875" style="326" customWidth="1"/>
    <col min="4365" max="4365" width="7.125" style="326" customWidth="1"/>
    <col min="4366" max="4366" width="5" style="326" customWidth="1"/>
    <col min="4367" max="4367" width="6.875" style="326" customWidth="1"/>
    <col min="4368" max="4368" width="10" style="326" customWidth="1"/>
    <col min="4369" max="4369" width="5.375" style="326" customWidth="1"/>
    <col min="4370" max="4370" width="5.75" style="326" customWidth="1"/>
    <col min="4371" max="4371" width="10" style="326" customWidth="1"/>
    <col min="4372" max="4372" width="5.25" style="326" customWidth="1"/>
    <col min="4373" max="4607" width="9.125" style="326"/>
    <col min="4608" max="4608" width="2.875" style="326" customWidth="1"/>
    <col min="4609" max="4609" width="3.75" style="326" customWidth="1"/>
    <col min="4610" max="4610" width="20" style="326" customWidth="1"/>
    <col min="4611" max="4611" width="17.875" style="326" customWidth="1"/>
    <col min="4612" max="4613" width="7.875" style="326" customWidth="1"/>
    <col min="4614" max="4614" width="14.875" style="326" customWidth="1"/>
    <col min="4615" max="4615" width="8.875" style="326" customWidth="1"/>
    <col min="4616" max="4616" width="7.125" style="326" customWidth="1"/>
    <col min="4617" max="4617" width="6.875" style="326" customWidth="1"/>
    <col min="4618" max="4618" width="5.875" style="326" customWidth="1"/>
    <col min="4619" max="4619" width="7.75" style="326" customWidth="1"/>
    <col min="4620" max="4620" width="7.875" style="326" customWidth="1"/>
    <col min="4621" max="4621" width="7.125" style="326" customWidth="1"/>
    <col min="4622" max="4622" width="5" style="326" customWidth="1"/>
    <col min="4623" max="4623" width="6.875" style="326" customWidth="1"/>
    <col min="4624" max="4624" width="10" style="326" customWidth="1"/>
    <col min="4625" max="4625" width="5.375" style="326" customWidth="1"/>
    <col min="4626" max="4626" width="5.75" style="326" customWidth="1"/>
    <col min="4627" max="4627" width="10" style="326" customWidth="1"/>
    <col min="4628" max="4628" width="5.25" style="326" customWidth="1"/>
    <col min="4629" max="4863" width="9.125" style="326"/>
    <col min="4864" max="4864" width="2.875" style="326" customWidth="1"/>
    <col min="4865" max="4865" width="3.75" style="326" customWidth="1"/>
    <col min="4866" max="4866" width="20" style="326" customWidth="1"/>
    <col min="4867" max="4867" width="17.875" style="326" customWidth="1"/>
    <col min="4868" max="4869" width="7.875" style="326" customWidth="1"/>
    <col min="4870" max="4870" width="14.875" style="326" customWidth="1"/>
    <col min="4871" max="4871" width="8.875" style="326" customWidth="1"/>
    <col min="4872" max="4872" width="7.125" style="326" customWidth="1"/>
    <col min="4873" max="4873" width="6.875" style="326" customWidth="1"/>
    <col min="4874" max="4874" width="5.875" style="326" customWidth="1"/>
    <col min="4875" max="4875" width="7.75" style="326" customWidth="1"/>
    <col min="4876" max="4876" width="7.875" style="326" customWidth="1"/>
    <col min="4877" max="4877" width="7.125" style="326" customWidth="1"/>
    <col min="4878" max="4878" width="5" style="326" customWidth="1"/>
    <col min="4879" max="4879" width="6.875" style="326" customWidth="1"/>
    <col min="4880" max="4880" width="10" style="326" customWidth="1"/>
    <col min="4881" max="4881" width="5.375" style="326" customWidth="1"/>
    <col min="4882" max="4882" width="5.75" style="326" customWidth="1"/>
    <col min="4883" max="4883" width="10" style="326" customWidth="1"/>
    <col min="4884" max="4884" width="5.25" style="326" customWidth="1"/>
    <col min="4885" max="5119" width="9.125" style="326"/>
    <col min="5120" max="5120" width="2.875" style="326" customWidth="1"/>
    <col min="5121" max="5121" width="3.75" style="326" customWidth="1"/>
    <col min="5122" max="5122" width="20" style="326" customWidth="1"/>
    <col min="5123" max="5123" width="17.875" style="326" customWidth="1"/>
    <col min="5124" max="5125" width="7.875" style="326" customWidth="1"/>
    <col min="5126" max="5126" width="14.875" style="326" customWidth="1"/>
    <col min="5127" max="5127" width="8.875" style="326" customWidth="1"/>
    <col min="5128" max="5128" width="7.125" style="326" customWidth="1"/>
    <col min="5129" max="5129" width="6.875" style="326" customWidth="1"/>
    <col min="5130" max="5130" width="5.875" style="326" customWidth="1"/>
    <col min="5131" max="5131" width="7.75" style="326" customWidth="1"/>
    <col min="5132" max="5132" width="7.875" style="326" customWidth="1"/>
    <col min="5133" max="5133" width="7.125" style="326" customWidth="1"/>
    <col min="5134" max="5134" width="5" style="326" customWidth="1"/>
    <col min="5135" max="5135" width="6.875" style="326" customWidth="1"/>
    <col min="5136" max="5136" width="10" style="326" customWidth="1"/>
    <col min="5137" max="5137" width="5.375" style="326" customWidth="1"/>
    <col min="5138" max="5138" width="5.75" style="326" customWidth="1"/>
    <col min="5139" max="5139" width="10" style="326" customWidth="1"/>
    <col min="5140" max="5140" width="5.25" style="326" customWidth="1"/>
    <col min="5141" max="5375" width="9.125" style="326"/>
    <col min="5376" max="5376" width="2.875" style="326" customWidth="1"/>
    <col min="5377" max="5377" width="3.75" style="326" customWidth="1"/>
    <col min="5378" max="5378" width="20" style="326" customWidth="1"/>
    <col min="5379" max="5379" width="17.875" style="326" customWidth="1"/>
    <col min="5380" max="5381" width="7.875" style="326" customWidth="1"/>
    <col min="5382" max="5382" width="14.875" style="326" customWidth="1"/>
    <col min="5383" max="5383" width="8.875" style="326" customWidth="1"/>
    <col min="5384" max="5384" width="7.125" style="326" customWidth="1"/>
    <col min="5385" max="5385" width="6.875" style="326" customWidth="1"/>
    <col min="5386" max="5386" width="5.875" style="326" customWidth="1"/>
    <col min="5387" max="5387" width="7.75" style="326" customWidth="1"/>
    <col min="5388" max="5388" width="7.875" style="326" customWidth="1"/>
    <col min="5389" max="5389" width="7.125" style="326" customWidth="1"/>
    <col min="5390" max="5390" width="5" style="326" customWidth="1"/>
    <col min="5391" max="5391" width="6.875" style="326" customWidth="1"/>
    <col min="5392" max="5392" width="10" style="326" customWidth="1"/>
    <col min="5393" max="5393" width="5.375" style="326" customWidth="1"/>
    <col min="5394" max="5394" width="5.75" style="326" customWidth="1"/>
    <col min="5395" max="5395" width="10" style="326" customWidth="1"/>
    <col min="5396" max="5396" width="5.25" style="326" customWidth="1"/>
    <col min="5397" max="5631" width="9.125" style="326"/>
    <col min="5632" max="5632" width="2.875" style="326" customWidth="1"/>
    <col min="5633" max="5633" width="3.75" style="326" customWidth="1"/>
    <col min="5634" max="5634" width="20" style="326" customWidth="1"/>
    <col min="5635" max="5635" width="17.875" style="326" customWidth="1"/>
    <col min="5636" max="5637" width="7.875" style="326" customWidth="1"/>
    <col min="5638" max="5638" width="14.875" style="326" customWidth="1"/>
    <col min="5639" max="5639" width="8.875" style="326" customWidth="1"/>
    <col min="5640" max="5640" width="7.125" style="326" customWidth="1"/>
    <col min="5641" max="5641" width="6.875" style="326" customWidth="1"/>
    <col min="5642" max="5642" width="5.875" style="326" customWidth="1"/>
    <col min="5643" max="5643" width="7.75" style="326" customWidth="1"/>
    <col min="5644" max="5644" width="7.875" style="326" customWidth="1"/>
    <col min="5645" max="5645" width="7.125" style="326" customWidth="1"/>
    <col min="5646" max="5646" width="5" style="326" customWidth="1"/>
    <col min="5647" max="5647" width="6.875" style="326" customWidth="1"/>
    <col min="5648" max="5648" width="10" style="326" customWidth="1"/>
    <col min="5649" max="5649" width="5.375" style="326" customWidth="1"/>
    <col min="5650" max="5650" width="5.75" style="326" customWidth="1"/>
    <col min="5651" max="5651" width="10" style="326" customWidth="1"/>
    <col min="5652" max="5652" width="5.25" style="326" customWidth="1"/>
    <col min="5653" max="5887" width="9.125" style="326"/>
    <col min="5888" max="5888" width="2.875" style="326" customWidth="1"/>
    <col min="5889" max="5889" width="3.75" style="326" customWidth="1"/>
    <col min="5890" max="5890" width="20" style="326" customWidth="1"/>
    <col min="5891" max="5891" width="17.875" style="326" customWidth="1"/>
    <col min="5892" max="5893" width="7.875" style="326" customWidth="1"/>
    <col min="5894" max="5894" width="14.875" style="326" customWidth="1"/>
    <col min="5895" max="5895" width="8.875" style="326" customWidth="1"/>
    <col min="5896" max="5896" width="7.125" style="326" customWidth="1"/>
    <col min="5897" max="5897" width="6.875" style="326" customWidth="1"/>
    <col min="5898" max="5898" width="5.875" style="326" customWidth="1"/>
    <col min="5899" max="5899" width="7.75" style="326" customWidth="1"/>
    <col min="5900" max="5900" width="7.875" style="326" customWidth="1"/>
    <col min="5901" max="5901" width="7.125" style="326" customWidth="1"/>
    <col min="5902" max="5902" width="5" style="326" customWidth="1"/>
    <col min="5903" max="5903" width="6.875" style="326" customWidth="1"/>
    <col min="5904" max="5904" width="10" style="326" customWidth="1"/>
    <col min="5905" max="5905" width="5.375" style="326" customWidth="1"/>
    <col min="5906" max="5906" width="5.75" style="326" customWidth="1"/>
    <col min="5907" max="5907" width="10" style="326" customWidth="1"/>
    <col min="5908" max="5908" width="5.25" style="326" customWidth="1"/>
    <col min="5909" max="6143" width="9.125" style="326"/>
    <col min="6144" max="6144" width="2.875" style="326" customWidth="1"/>
    <col min="6145" max="6145" width="3.75" style="326" customWidth="1"/>
    <col min="6146" max="6146" width="20" style="326" customWidth="1"/>
    <col min="6147" max="6147" width="17.875" style="326" customWidth="1"/>
    <col min="6148" max="6149" width="7.875" style="326" customWidth="1"/>
    <col min="6150" max="6150" width="14.875" style="326" customWidth="1"/>
    <col min="6151" max="6151" width="8.875" style="326" customWidth="1"/>
    <col min="6152" max="6152" width="7.125" style="326" customWidth="1"/>
    <col min="6153" max="6153" width="6.875" style="326" customWidth="1"/>
    <col min="6154" max="6154" width="5.875" style="326" customWidth="1"/>
    <col min="6155" max="6155" width="7.75" style="326" customWidth="1"/>
    <col min="6156" max="6156" width="7.875" style="326" customWidth="1"/>
    <col min="6157" max="6157" width="7.125" style="326" customWidth="1"/>
    <col min="6158" max="6158" width="5" style="326" customWidth="1"/>
    <col min="6159" max="6159" width="6.875" style="326" customWidth="1"/>
    <col min="6160" max="6160" width="10" style="326" customWidth="1"/>
    <col min="6161" max="6161" width="5.375" style="326" customWidth="1"/>
    <col min="6162" max="6162" width="5.75" style="326" customWidth="1"/>
    <col min="6163" max="6163" width="10" style="326" customWidth="1"/>
    <col min="6164" max="6164" width="5.25" style="326" customWidth="1"/>
    <col min="6165" max="6399" width="9.125" style="326"/>
    <col min="6400" max="6400" width="2.875" style="326" customWidth="1"/>
    <col min="6401" max="6401" width="3.75" style="326" customWidth="1"/>
    <col min="6402" max="6402" width="20" style="326" customWidth="1"/>
    <col min="6403" max="6403" width="17.875" style="326" customWidth="1"/>
    <col min="6404" max="6405" width="7.875" style="326" customWidth="1"/>
    <col min="6406" max="6406" width="14.875" style="326" customWidth="1"/>
    <col min="6407" max="6407" width="8.875" style="326" customWidth="1"/>
    <col min="6408" max="6408" width="7.125" style="326" customWidth="1"/>
    <col min="6409" max="6409" width="6.875" style="326" customWidth="1"/>
    <col min="6410" max="6410" width="5.875" style="326" customWidth="1"/>
    <col min="6411" max="6411" width="7.75" style="326" customWidth="1"/>
    <col min="6412" max="6412" width="7.875" style="326" customWidth="1"/>
    <col min="6413" max="6413" width="7.125" style="326" customWidth="1"/>
    <col min="6414" max="6414" width="5" style="326" customWidth="1"/>
    <col min="6415" max="6415" width="6.875" style="326" customWidth="1"/>
    <col min="6416" max="6416" width="10" style="326" customWidth="1"/>
    <col min="6417" max="6417" width="5.375" style="326" customWidth="1"/>
    <col min="6418" max="6418" width="5.75" style="326" customWidth="1"/>
    <col min="6419" max="6419" width="10" style="326" customWidth="1"/>
    <col min="6420" max="6420" width="5.25" style="326" customWidth="1"/>
    <col min="6421" max="6655" width="9.125" style="326"/>
    <col min="6656" max="6656" width="2.875" style="326" customWidth="1"/>
    <col min="6657" max="6657" width="3.75" style="326" customWidth="1"/>
    <col min="6658" max="6658" width="20" style="326" customWidth="1"/>
    <col min="6659" max="6659" width="17.875" style="326" customWidth="1"/>
    <col min="6660" max="6661" width="7.875" style="326" customWidth="1"/>
    <col min="6662" max="6662" width="14.875" style="326" customWidth="1"/>
    <col min="6663" max="6663" width="8.875" style="326" customWidth="1"/>
    <col min="6664" max="6664" width="7.125" style="326" customWidth="1"/>
    <col min="6665" max="6665" width="6.875" style="326" customWidth="1"/>
    <col min="6666" max="6666" width="5.875" style="326" customWidth="1"/>
    <col min="6667" max="6667" width="7.75" style="326" customWidth="1"/>
    <col min="6668" max="6668" width="7.875" style="326" customWidth="1"/>
    <col min="6669" max="6669" width="7.125" style="326" customWidth="1"/>
    <col min="6670" max="6670" width="5" style="326" customWidth="1"/>
    <col min="6671" max="6671" width="6.875" style="326" customWidth="1"/>
    <col min="6672" max="6672" width="10" style="326" customWidth="1"/>
    <col min="6673" max="6673" width="5.375" style="326" customWidth="1"/>
    <col min="6674" max="6674" width="5.75" style="326" customWidth="1"/>
    <col min="6675" max="6675" width="10" style="326" customWidth="1"/>
    <col min="6676" max="6676" width="5.25" style="326" customWidth="1"/>
    <col min="6677" max="6911" width="9.125" style="326"/>
    <col min="6912" max="6912" width="2.875" style="326" customWidth="1"/>
    <col min="6913" max="6913" width="3.75" style="326" customWidth="1"/>
    <col min="6914" max="6914" width="20" style="326" customWidth="1"/>
    <col min="6915" max="6915" width="17.875" style="326" customWidth="1"/>
    <col min="6916" max="6917" width="7.875" style="326" customWidth="1"/>
    <col min="6918" max="6918" width="14.875" style="326" customWidth="1"/>
    <col min="6919" max="6919" width="8.875" style="326" customWidth="1"/>
    <col min="6920" max="6920" width="7.125" style="326" customWidth="1"/>
    <col min="6921" max="6921" width="6.875" style="326" customWidth="1"/>
    <col min="6922" max="6922" width="5.875" style="326" customWidth="1"/>
    <col min="6923" max="6923" width="7.75" style="326" customWidth="1"/>
    <col min="6924" max="6924" width="7.875" style="326" customWidth="1"/>
    <col min="6925" max="6925" width="7.125" style="326" customWidth="1"/>
    <col min="6926" max="6926" width="5" style="326" customWidth="1"/>
    <col min="6927" max="6927" width="6.875" style="326" customWidth="1"/>
    <col min="6928" max="6928" width="10" style="326" customWidth="1"/>
    <col min="6929" max="6929" width="5.375" style="326" customWidth="1"/>
    <col min="6930" max="6930" width="5.75" style="326" customWidth="1"/>
    <col min="6931" max="6931" width="10" style="326" customWidth="1"/>
    <col min="6932" max="6932" width="5.25" style="326" customWidth="1"/>
    <col min="6933" max="7167" width="9.125" style="326"/>
    <col min="7168" max="7168" width="2.875" style="326" customWidth="1"/>
    <col min="7169" max="7169" width="3.75" style="326" customWidth="1"/>
    <col min="7170" max="7170" width="20" style="326" customWidth="1"/>
    <col min="7171" max="7171" width="17.875" style="326" customWidth="1"/>
    <col min="7172" max="7173" width="7.875" style="326" customWidth="1"/>
    <col min="7174" max="7174" width="14.875" style="326" customWidth="1"/>
    <col min="7175" max="7175" width="8.875" style="326" customWidth="1"/>
    <col min="7176" max="7176" width="7.125" style="326" customWidth="1"/>
    <col min="7177" max="7177" width="6.875" style="326" customWidth="1"/>
    <col min="7178" max="7178" width="5.875" style="326" customWidth="1"/>
    <col min="7179" max="7179" width="7.75" style="326" customWidth="1"/>
    <col min="7180" max="7180" width="7.875" style="326" customWidth="1"/>
    <col min="7181" max="7181" width="7.125" style="326" customWidth="1"/>
    <col min="7182" max="7182" width="5" style="326" customWidth="1"/>
    <col min="7183" max="7183" width="6.875" style="326" customWidth="1"/>
    <col min="7184" max="7184" width="10" style="326" customWidth="1"/>
    <col min="7185" max="7185" width="5.375" style="326" customWidth="1"/>
    <col min="7186" max="7186" width="5.75" style="326" customWidth="1"/>
    <col min="7187" max="7187" width="10" style="326" customWidth="1"/>
    <col min="7188" max="7188" width="5.25" style="326" customWidth="1"/>
    <col min="7189" max="7423" width="9.125" style="326"/>
    <col min="7424" max="7424" width="2.875" style="326" customWidth="1"/>
    <col min="7425" max="7425" width="3.75" style="326" customWidth="1"/>
    <col min="7426" max="7426" width="20" style="326" customWidth="1"/>
    <col min="7427" max="7427" width="17.875" style="326" customWidth="1"/>
    <col min="7428" max="7429" width="7.875" style="326" customWidth="1"/>
    <col min="7430" max="7430" width="14.875" style="326" customWidth="1"/>
    <col min="7431" max="7431" width="8.875" style="326" customWidth="1"/>
    <col min="7432" max="7432" width="7.125" style="326" customWidth="1"/>
    <col min="7433" max="7433" width="6.875" style="326" customWidth="1"/>
    <col min="7434" max="7434" width="5.875" style="326" customWidth="1"/>
    <col min="7435" max="7435" width="7.75" style="326" customWidth="1"/>
    <col min="7436" max="7436" width="7.875" style="326" customWidth="1"/>
    <col min="7437" max="7437" width="7.125" style="326" customWidth="1"/>
    <col min="7438" max="7438" width="5" style="326" customWidth="1"/>
    <col min="7439" max="7439" width="6.875" style="326" customWidth="1"/>
    <col min="7440" max="7440" width="10" style="326" customWidth="1"/>
    <col min="7441" max="7441" width="5.375" style="326" customWidth="1"/>
    <col min="7442" max="7442" width="5.75" style="326" customWidth="1"/>
    <col min="7443" max="7443" width="10" style="326" customWidth="1"/>
    <col min="7444" max="7444" width="5.25" style="326" customWidth="1"/>
    <col min="7445" max="7679" width="9.125" style="326"/>
    <col min="7680" max="7680" width="2.875" style="326" customWidth="1"/>
    <col min="7681" max="7681" width="3.75" style="326" customWidth="1"/>
    <col min="7682" max="7682" width="20" style="326" customWidth="1"/>
    <col min="7683" max="7683" width="17.875" style="326" customWidth="1"/>
    <col min="7684" max="7685" width="7.875" style="326" customWidth="1"/>
    <col min="7686" max="7686" width="14.875" style="326" customWidth="1"/>
    <col min="7687" max="7687" width="8.875" style="326" customWidth="1"/>
    <col min="7688" max="7688" width="7.125" style="326" customWidth="1"/>
    <col min="7689" max="7689" width="6.875" style="326" customWidth="1"/>
    <col min="7690" max="7690" width="5.875" style="326" customWidth="1"/>
    <col min="7691" max="7691" width="7.75" style="326" customWidth="1"/>
    <col min="7692" max="7692" width="7.875" style="326" customWidth="1"/>
    <col min="7693" max="7693" width="7.125" style="326" customWidth="1"/>
    <col min="7694" max="7694" width="5" style="326" customWidth="1"/>
    <col min="7695" max="7695" width="6.875" style="326" customWidth="1"/>
    <col min="7696" max="7696" width="10" style="326" customWidth="1"/>
    <col min="7697" max="7697" width="5.375" style="326" customWidth="1"/>
    <col min="7698" max="7698" width="5.75" style="326" customWidth="1"/>
    <col min="7699" max="7699" width="10" style="326" customWidth="1"/>
    <col min="7700" max="7700" width="5.25" style="326" customWidth="1"/>
    <col min="7701" max="7935" width="9.125" style="326"/>
    <col min="7936" max="7936" width="2.875" style="326" customWidth="1"/>
    <col min="7937" max="7937" width="3.75" style="326" customWidth="1"/>
    <col min="7938" max="7938" width="20" style="326" customWidth="1"/>
    <col min="7939" max="7939" width="17.875" style="326" customWidth="1"/>
    <col min="7940" max="7941" width="7.875" style="326" customWidth="1"/>
    <col min="7942" max="7942" width="14.875" style="326" customWidth="1"/>
    <col min="7943" max="7943" width="8.875" style="326" customWidth="1"/>
    <col min="7944" max="7944" width="7.125" style="326" customWidth="1"/>
    <col min="7945" max="7945" width="6.875" style="326" customWidth="1"/>
    <col min="7946" max="7946" width="5.875" style="326" customWidth="1"/>
    <col min="7947" max="7947" width="7.75" style="326" customWidth="1"/>
    <col min="7948" max="7948" width="7.875" style="326" customWidth="1"/>
    <col min="7949" max="7949" width="7.125" style="326" customWidth="1"/>
    <col min="7950" max="7950" width="5" style="326" customWidth="1"/>
    <col min="7951" max="7951" width="6.875" style="326" customWidth="1"/>
    <col min="7952" max="7952" width="10" style="326" customWidth="1"/>
    <col min="7953" max="7953" width="5.375" style="326" customWidth="1"/>
    <col min="7954" max="7954" width="5.75" style="326" customWidth="1"/>
    <col min="7955" max="7955" width="10" style="326" customWidth="1"/>
    <col min="7956" max="7956" width="5.25" style="326" customWidth="1"/>
    <col min="7957" max="8191" width="9.125" style="326"/>
    <col min="8192" max="8192" width="2.875" style="326" customWidth="1"/>
    <col min="8193" max="8193" width="3.75" style="326" customWidth="1"/>
    <col min="8194" max="8194" width="20" style="326" customWidth="1"/>
    <col min="8195" max="8195" width="17.875" style="326" customWidth="1"/>
    <col min="8196" max="8197" width="7.875" style="326" customWidth="1"/>
    <col min="8198" max="8198" width="14.875" style="326" customWidth="1"/>
    <col min="8199" max="8199" width="8.875" style="326" customWidth="1"/>
    <col min="8200" max="8200" width="7.125" style="326" customWidth="1"/>
    <col min="8201" max="8201" width="6.875" style="326" customWidth="1"/>
    <col min="8202" max="8202" width="5.875" style="326" customWidth="1"/>
    <col min="8203" max="8203" width="7.75" style="326" customWidth="1"/>
    <col min="8204" max="8204" width="7.875" style="326" customWidth="1"/>
    <col min="8205" max="8205" width="7.125" style="326" customWidth="1"/>
    <col min="8206" max="8206" width="5" style="326" customWidth="1"/>
    <col min="8207" max="8207" width="6.875" style="326" customWidth="1"/>
    <col min="8208" max="8208" width="10" style="326" customWidth="1"/>
    <col min="8209" max="8209" width="5.375" style="326" customWidth="1"/>
    <col min="8210" max="8210" width="5.75" style="326" customWidth="1"/>
    <col min="8211" max="8211" width="10" style="326" customWidth="1"/>
    <col min="8212" max="8212" width="5.25" style="326" customWidth="1"/>
    <col min="8213" max="8447" width="9.125" style="326"/>
    <col min="8448" max="8448" width="2.875" style="326" customWidth="1"/>
    <col min="8449" max="8449" width="3.75" style="326" customWidth="1"/>
    <col min="8450" max="8450" width="20" style="326" customWidth="1"/>
    <col min="8451" max="8451" width="17.875" style="326" customWidth="1"/>
    <col min="8452" max="8453" width="7.875" style="326" customWidth="1"/>
    <col min="8454" max="8454" width="14.875" style="326" customWidth="1"/>
    <col min="8455" max="8455" width="8.875" style="326" customWidth="1"/>
    <col min="8456" max="8456" width="7.125" style="326" customWidth="1"/>
    <col min="8457" max="8457" width="6.875" style="326" customWidth="1"/>
    <col min="8458" max="8458" width="5.875" style="326" customWidth="1"/>
    <col min="8459" max="8459" width="7.75" style="326" customWidth="1"/>
    <col min="8460" max="8460" width="7.875" style="326" customWidth="1"/>
    <col min="8461" max="8461" width="7.125" style="326" customWidth="1"/>
    <col min="8462" max="8462" width="5" style="326" customWidth="1"/>
    <col min="8463" max="8463" width="6.875" style="326" customWidth="1"/>
    <col min="8464" max="8464" width="10" style="326" customWidth="1"/>
    <col min="8465" max="8465" width="5.375" style="326" customWidth="1"/>
    <col min="8466" max="8466" width="5.75" style="326" customWidth="1"/>
    <col min="8467" max="8467" width="10" style="326" customWidth="1"/>
    <col min="8468" max="8468" width="5.25" style="326" customWidth="1"/>
    <col min="8469" max="8703" width="9.125" style="326"/>
    <col min="8704" max="8704" width="2.875" style="326" customWidth="1"/>
    <col min="8705" max="8705" width="3.75" style="326" customWidth="1"/>
    <col min="8706" max="8706" width="20" style="326" customWidth="1"/>
    <col min="8707" max="8707" width="17.875" style="326" customWidth="1"/>
    <col min="8708" max="8709" width="7.875" style="326" customWidth="1"/>
    <col min="8710" max="8710" width="14.875" style="326" customWidth="1"/>
    <col min="8711" max="8711" width="8.875" style="326" customWidth="1"/>
    <col min="8712" max="8712" width="7.125" style="326" customWidth="1"/>
    <col min="8713" max="8713" width="6.875" style="326" customWidth="1"/>
    <col min="8714" max="8714" width="5.875" style="326" customWidth="1"/>
    <col min="8715" max="8715" width="7.75" style="326" customWidth="1"/>
    <col min="8716" max="8716" width="7.875" style="326" customWidth="1"/>
    <col min="8717" max="8717" width="7.125" style="326" customWidth="1"/>
    <col min="8718" max="8718" width="5" style="326" customWidth="1"/>
    <col min="8719" max="8719" width="6.875" style="326" customWidth="1"/>
    <col min="8720" max="8720" width="10" style="326" customWidth="1"/>
    <col min="8721" max="8721" width="5.375" style="326" customWidth="1"/>
    <col min="8722" max="8722" width="5.75" style="326" customWidth="1"/>
    <col min="8723" max="8723" width="10" style="326" customWidth="1"/>
    <col min="8724" max="8724" width="5.25" style="326" customWidth="1"/>
    <col min="8725" max="8959" width="9.125" style="326"/>
    <col min="8960" max="8960" width="2.875" style="326" customWidth="1"/>
    <col min="8961" max="8961" width="3.75" style="326" customWidth="1"/>
    <col min="8962" max="8962" width="20" style="326" customWidth="1"/>
    <col min="8963" max="8963" width="17.875" style="326" customWidth="1"/>
    <col min="8964" max="8965" width="7.875" style="326" customWidth="1"/>
    <col min="8966" max="8966" width="14.875" style="326" customWidth="1"/>
    <col min="8967" max="8967" width="8.875" style="326" customWidth="1"/>
    <col min="8968" max="8968" width="7.125" style="326" customWidth="1"/>
    <col min="8969" max="8969" width="6.875" style="326" customWidth="1"/>
    <col min="8970" max="8970" width="5.875" style="326" customWidth="1"/>
    <col min="8971" max="8971" width="7.75" style="326" customWidth="1"/>
    <col min="8972" max="8972" width="7.875" style="326" customWidth="1"/>
    <col min="8973" max="8973" width="7.125" style="326" customWidth="1"/>
    <col min="8974" max="8974" width="5" style="326" customWidth="1"/>
    <col min="8975" max="8975" width="6.875" style="326" customWidth="1"/>
    <col min="8976" max="8976" width="10" style="326" customWidth="1"/>
    <col min="8977" max="8977" width="5.375" style="326" customWidth="1"/>
    <col min="8978" max="8978" width="5.75" style="326" customWidth="1"/>
    <col min="8979" max="8979" width="10" style="326" customWidth="1"/>
    <col min="8980" max="8980" width="5.25" style="326" customWidth="1"/>
    <col min="8981" max="9215" width="9.125" style="326"/>
    <col min="9216" max="9216" width="2.875" style="326" customWidth="1"/>
    <col min="9217" max="9217" width="3.75" style="326" customWidth="1"/>
    <col min="9218" max="9218" width="20" style="326" customWidth="1"/>
    <col min="9219" max="9219" width="17.875" style="326" customWidth="1"/>
    <col min="9220" max="9221" width="7.875" style="326" customWidth="1"/>
    <col min="9222" max="9222" width="14.875" style="326" customWidth="1"/>
    <col min="9223" max="9223" width="8.875" style="326" customWidth="1"/>
    <col min="9224" max="9224" width="7.125" style="326" customWidth="1"/>
    <col min="9225" max="9225" width="6.875" style="326" customWidth="1"/>
    <col min="9226" max="9226" width="5.875" style="326" customWidth="1"/>
    <col min="9227" max="9227" width="7.75" style="326" customWidth="1"/>
    <col min="9228" max="9228" width="7.875" style="326" customWidth="1"/>
    <col min="9229" max="9229" width="7.125" style="326" customWidth="1"/>
    <col min="9230" max="9230" width="5" style="326" customWidth="1"/>
    <col min="9231" max="9231" width="6.875" style="326" customWidth="1"/>
    <col min="9232" max="9232" width="10" style="326" customWidth="1"/>
    <col min="9233" max="9233" width="5.375" style="326" customWidth="1"/>
    <col min="9234" max="9234" width="5.75" style="326" customWidth="1"/>
    <col min="9235" max="9235" width="10" style="326" customWidth="1"/>
    <col min="9236" max="9236" width="5.25" style="326" customWidth="1"/>
    <col min="9237" max="9471" width="9.125" style="326"/>
    <col min="9472" max="9472" width="2.875" style="326" customWidth="1"/>
    <col min="9473" max="9473" width="3.75" style="326" customWidth="1"/>
    <col min="9474" max="9474" width="20" style="326" customWidth="1"/>
    <col min="9475" max="9475" width="17.875" style="326" customWidth="1"/>
    <col min="9476" max="9477" width="7.875" style="326" customWidth="1"/>
    <col min="9478" max="9478" width="14.875" style="326" customWidth="1"/>
    <col min="9479" max="9479" width="8.875" style="326" customWidth="1"/>
    <col min="9480" max="9480" width="7.125" style="326" customWidth="1"/>
    <col min="9481" max="9481" width="6.875" style="326" customWidth="1"/>
    <col min="9482" max="9482" width="5.875" style="326" customWidth="1"/>
    <col min="9483" max="9483" width="7.75" style="326" customWidth="1"/>
    <col min="9484" max="9484" width="7.875" style="326" customWidth="1"/>
    <col min="9485" max="9485" width="7.125" style="326" customWidth="1"/>
    <col min="9486" max="9486" width="5" style="326" customWidth="1"/>
    <col min="9487" max="9487" width="6.875" style="326" customWidth="1"/>
    <col min="9488" max="9488" width="10" style="326" customWidth="1"/>
    <col min="9489" max="9489" width="5.375" style="326" customWidth="1"/>
    <col min="9490" max="9490" width="5.75" style="326" customWidth="1"/>
    <col min="9491" max="9491" width="10" style="326" customWidth="1"/>
    <col min="9492" max="9492" width="5.25" style="326" customWidth="1"/>
    <col min="9493" max="9727" width="9.125" style="326"/>
    <col min="9728" max="9728" width="2.875" style="326" customWidth="1"/>
    <col min="9729" max="9729" width="3.75" style="326" customWidth="1"/>
    <col min="9730" max="9730" width="20" style="326" customWidth="1"/>
    <col min="9731" max="9731" width="17.875" style="326" customWidth="1"/>
    <col min="9732" max="9733" width="7.875" style="326" customWidth="1"/>
    <col min="9734" max="9734" width="14.875" style="326" customWidth="1"/>
    <col min="9735" max="9735" width="8.875" style="326" customWidth="1"/>
    <col min="9736" max="9736" width="7.125" style="326" customWidth="1"/>
    <col min="9737" max="9737" width="6.875" style="326" customWidth="1"/>
    <col min="9738" max="9738" width="5.875" style="326" customWidth="1"/>
    <col min="9739" max="9739" width="7.75" style="326" customWidth="1"/>
    <col min="9740" max="9740" width="7.875" style="326" customWidth="1"/>
    <col min="9741" max="9741" width="7.125" style="326" customWidth="1"/>
    <col min="9742" max="9742" width="5" style="326" customWidth="1"/>
    <col min="9743" max="9743" width="6.875" style="326" customWidth="1"/>
    <col min="9744" max="9744" width="10" style="326" customWidth="1"/>
    <col min="9745" max="9745" width="5.375" style="326" customWidth="1"/>
    <col min="9746" max="9746" width="5.75" style="326" customWidth="1"/>
    <col min="9747" max="9747" width="10" style="326" customWidth="1"/>
    <col min="9748" max="9748" width="5.25" style="326" customWidth="1"/>
    <col min="9749" max="9983" width="9.125" style="326"/>
    <col min="9984" max="9984" width="2.875" style="326" customWidth="1"/>
    <col min="9985" max="9985" width="3.75" style="326" customWidth="1"/>
    <col min="9986" max="9986" width="20" style="326" customWidth="1"/>
    <col min="9987" max="9987" width="17.875" style="326" customWidth="1"/>
    <col min="9988" max="9989" width="7.875" style="326" customWidth="1"/>
    <col min="9990" max="9990" width="14.875" style="326" customWidth="1"/>
    <col min="9991" max="9991" width="8.875" style="326" customWidth="1"/>
    <col min="9992" max="9992" width="7.125" style="326" customWidth="1"/>
    <col min="9993" max="9993" width="6.875" style="326" customWidth="1"/>
    <col min="9994" max="9994" width="5.875" style="326" customWidth="1"/>
    <col min="9995" max="9995" width="7.75" style="326" customWidth="1"/>
    <col min="9996" max="9996" width="7.875" style="326" customWidth="1"/>
    <col min="9997" max="9997" width="7.125" style="326" customWidth="1"/>
    <col min="9998" max="9998" width="5" style="326" customWidth="1"/>
    <col min="9999" max="9999" width="6.875" style="326" customWidth="1"/>
    <col min="10000" max="10000" width="10" style="326" customWidth="1"/>
    <col min="10001" max="10001" width="5.375" style="326" customWidth="1"/>
    <col min="10002" max="10002" width="5.75" style="326" customWidth="1"/>
    <col min="10003" max="10003" width="10" style="326" customWidth="1"/>
    <col min="10004" max="10004" width="5.25" style="326" customWidth="1"/>
    <col min="10005" max="10239" width="9.125" style="326"/>
    <col min="10240" max="10240" width="2.875" style="326" customWidth="1"/>
    <col min="10241" max="10241" width="3.75" style="326" customWidth="1"/>
    <col min="10242" max="10242" width="20" style="326" customWidth="1"/>
    <col min="10243" max="10243" width="17.875" style="326" customWidth="1"/>
    <col min="10244" max="10245" width="7.875" style="326" customWidth="1"/>
    <col min="10246" max="10246" width="14.875" style="326" customWidth="1"/>
    <col min="10247" max="10247" width="8.875" style="326" customWidth="1"/>
    <col min="10248" max="10248" width="7.125" style="326" customWidth="1"/>
    <col min="10249" max="10249" width="6.875" style="326" customWidth="1"/>
    <col min="10250" max="10250" width="5.875" style="326" customWidth="1"/>
    <col min="10251" max="10251" width="7.75" style="326" customWidth="1"/>
    <col min="10252" max="10252" width="7.875" style="326" customWidth="1"/>
    <col min="10253" max="10253" width="7.125" style="326" customWidth="1"/>
    <col min="10254" max="10254" width="5" style="326" customWidth="1"/>
    <col min="10255" max="10255" width="6.875" style="326" customWidth="1"/>
    <col min="10256" max="10256" width="10" style="326" customWidth="1"/>
    <col min="10257" max="10257" width="5.375" style="326" customWidth="1"/>
    <col min="10258" max="10258" width="5.75" style="326" customWidth="1"/>
    <col min="10259" max="10259" width="10" style="326" customWidth="1"/>
    <col min="10260" max="10260" width="5.25" style="326" customWidth="1"/>
    <col min="10261" max="10495" width="9.125" style="326"/>
    <col min="10496" max="10496" width="2.875" style="326" customWidth="1"/>
    <col min="10497" max="10497" width="3.75" style="326" customWidth="1"/>
    <col min="10498" max="10498" width="20" style="326" customWidth="1"/>
    <col min="10499" max="10499" width="17.875" style="326" customWidth="1"/>
    <col min="10500" max="10501" width="7.875" style="326" customWidth="1"/>
    <col min="10502" max="10502" width="14.875" style="326" customWidth="1"/>
    <col min="10503" max="10503" width="8.875" style="326" customWidth="1"/>
    <col min="10504" max="10504" width="7.125" style="326" customWidth="1"/>
    <col min="10505" max="10505" width="6.875" style="326" customWidth="1"/>
    <col min="10506" max="10506" width="5.875" style="326" customWidth="1"/>
    <col min="10507" max="10507" width="7.75" style="326" customWidth="1"/>
    <col min="10508" max="10508" width="7.875" style="326" customWidth="1"/>
    <col min="10509" max="10509" width="7.125" style="326" customWidth="1"/>
    <col min="10510" max="10510" width="5" style="326" customWidth="1"/>
    <col min="10511" max="10511" width="6.875" style="326" customWidth="1"/>
    <col min="10512" max="10512" width="10" style="326" customWidth="1"/>
    <col min="10513" max="10513" width="5.375" style="326" customWidth="1"/>
    <col min="10514" max="10514" width="5.75" style="326" customWidth="1"/>
    <col min="10515" max="10515" width="10" style="326" customWidth="1"/>
    <col min="10516" max="10516" width="5.25" style="326" customWidth="1"/>
    <col min="10517" max="10751" width="9.125" style="326"/>
    <col min="10752" max="10752" width="2.875" style="326" customWidth="1"/>
    <col min="10753" max="10753" width="3.75" style="326" customWidth="1"/>
    <col min="10754" max="10754" width="20" style="326" customWidth="1"/>
    <col min="10755" max="10755" width="17.875" style="326" customWidth="1"/>
    <col min="10756" max="10757" width="7.875" style="326" customWidth="1"/>
    <col min="10758" max="10758" width="14.875" style="326" customWidth="1"/>
    <col min="10759" max="10759" width="8.875" style="326" customWidth="1"/>
    <col min="10760" max="10760" width="7.125" style="326" customWidth="1"/>
    <col min="10761" max="10761" width="6.875" style="326" customWidth="1"/>
    <col min="10762" max="10762" width="5.875" style="326" customWidth="1"/>
    <col min="10763" max="10763" width="7.75" style="326" customWidth="1"/>
    <col min="10764" max="10764" width="7.875" style="326" customWidth="1"/>
    <col min="10765" max="10765" width="7.125" style="326" customWidth="1"/>
    <col min="10766" max="10766" width="5" style="326" customWidth="1"/>
    <col min="10767" max="10767" width="6.875" style="326" customWidth="1"/>
    <col min="10768" max="10768" width="10" style="326" customWidth="1"/>
    <col min="10769" max="10769" width="5.375" style="326" customWidth="1"/>
    <col min="10770" max="10770" width="5.75" style="326" customWidth="1"/>
    <col min="10771" max="10771" width="10" style="326" customWidth="1"/>
    <col min="10772" max="10772" width="5.25" style="326" customWidth="1"/>
    <col min="10773" max="11007" width="9.125" style="326"/>
    <col min="11008" max="11008" width="2.875" style="326" customWidth="1"/>
    <col min="11009" max="11009" width="3.75" style="326" customWidth="1"/>
    <col min="11010" max="11010" width="20" style="326" customWidth="1"/>
    <col min="11011" max="11011" width="17.875" style="326" customWidth="1"/>
    <col min="11012" max="11013" width="7.875" style="326" customWidth="1"/>
    <col min="11014" max="11014" width="14.875" style="326" customWidth="1"/>
    <col min="11015" max="11015" width="8.875" style="326" customWidth="1"/>
    <col min="11016" max="11016" width="7.125" style="326" customWidth="1"/>
    <col min="11017" max="11017" width="6.875" style="326" customWidth="1"/>
    <col min="11018" max="11018" width="5.875" style="326" customWidth="1"/>
    <col min="11019" max="11019" width="7.75" style="326" customWidth="1"/>
    <col min="11020" max="11020" width="7.875" style="326" customWidth="1"/>
    <col min="11021" max="11021" width="7.125" style="326" customWidth="1"/>
    <col min="11022" max="11022" width="5" style="326" customWidth="1"/>
    <col min="11023" max="11023" width="6.875" style="326" customWidth="1"/>
    <col min="11024" max="11024" width="10" style="326" customWidth="1"/>
    <col min="11025" max="11025" width="5.375" style="326" customWidth="1"/>
    <col min="11026" max="11026" width="5.75" style="326" customWidth="1"/>
    <col min="11027" max="11027" width="10" style="326" customWidth="1"/>
    <col min="11028" max="11028" width="5.25" style="326" customWidth="1"/>
    <col min="11029" max="11263" width="9.125" style="326"/>
    <col min="11264" max="11264" width="2.875" style="326" customWidth="1"/>
    <col min="11265" max="11265" width="3.75" style="326" customWidth="1"/>
    <col min="11266" max="11266" width="20" style="326" customWidth="1"/>
    <col min="11267" max="11267" width="17.875" style="326" customWidth="1"/>
    <col min="11268" max="11269" width="7.875" style="326" customWidth="1"/>
    <col min="11270" max="11270" width="14.875" style="326" customWidth="1"/>
    <col min="11271" max="11271" width="8.875" style="326" customWidth="1"/>
    <col min="11272" max="11272" width="7.125" style="326" customWidth="1"/>
    <col min="11273" max="11273" width="6.875" style="326" customWidth="1"/>
    <col min="11274" max="11274" width="5.875" style="326" customWidth="1"/>
    <col min="11275" max="11275" width="7.75" style="326" customWidth="1"/>
    <col min="11276" max="11276" width="7.875" style="326" customWidth="1"/>
    <col min="11277" max="11277" width="7.125" style="326" customWidth="1"/>
    <col min="11278" max="11278" width="5" style="326" customWidth="1"/>
    <col min="11279" max="11279" width="6.875" style="326" customWidth="1"/>
    <col min="11280" max="11280" width="10" style="326" customWidth="1"/>
    <col min="11281" max="11281" width="5.375" style="326" customWidth="1"/>
    <col min="11282" max="11282" width="5.75" style="326" customWidth="1"/>
    <col min="11283" max="11283" width="10" style="326" customWidth="1"/>
    <col min="11284" max="11284" width="5.25" style="326" customWidth="1"/>
    <col min="11285" max="11519" width="9.125" style="326"/>
    <col min="11520" max="11520" width="2.875" style="326" customWidth="1"/>
    <col min="11521" max="11521" width="3.75" style="326" customWidth="1"/>
    <col min="11522" max="11522" width="20" style="326" customWidth="1"/>
    <col min="11523" max="11523" width="17.875" style="326" customWidth="1"/>
    <col min="11524" max="11525" width="7.875" style="326" customWidth="1"/>
    <col min="11526" max="11526" width="14.875" style="326" customWidth="1"/>
    <col min="11527" max="11527" width="8.875" style="326" customWidth="1"/>
    <col min="11528" max="11528" width="7.125" style="326" customWidth="1"/>
    <col min="11529" max="11529" width="6.875" style="326" customWidth="1"/>
    <col min="11530" max="11530" width="5.875" style="326" customWidth="1"/>
    <col min="11531" max="11531" width="7.75" style="326" customWidth="1"/>
    <col min="11532" max="11532" width="7.875" style="326" customWidth="1"/>
    <col min="11533" max="11533" width="7.125" style="326" customWidth="1"/>
    <col min="11534" max="11534" width="5" style="326" customWidth="1"/>
    <col min="11535" max="11535" width="6.875" style="326" customWidth="1"/>
    <col min="11536" max="11536" width="10" style="326" customWidth="1"/>
    <col min="11537" max="11537" width="5.375" style="326" customWidth="1"/>
    <col min="11538" max="11538" width="5.75" style="326" customWidth="1"/>
    <col min="11539" max="11539" width="10" style="326" customWidth="1"/>
    <col min="11540" max="11540" width="5.25" style="326" customWidth="1"/>
    <col min="11541" max="11775" width="9.125" style="326"/>
    <col min="11776" max="11776" width="2.875" style="326" customWidth="1"/>
    <col min="11777" max="11777" width="3.75" style="326" customWidth="1"/>
    <col min="11778" max="11778" width="20" style="326" customWidth="1"/>
    <col min="11779" max="11779" width="17.875" style="326" customWidth="1"/>
    <col min="11780" max="11781" width="7.875" style="326" customWidth="1"/>
    <col min="11782" max="11782" width="14.875" style="326" customWidth="1"/>
    <col min="11783" max="11783" width="8.875" style="326" customWidth="1"/>
    <col min="11784" max="11784" width="7.125" style="326" customWidth="1"/>
    <col min="11785" max="11785" width="6.875" style="326" customWidth="1"/>
    <col min="11786" max="11786" width="5.875" style="326" customWidth="1"/>
    <col min="11787" max="11787" width="7.75" style="326" customWidth="1"/>
    <col min="11788" max="11788" width="7.875" style="326" customWidth="1"/>
    <col min="11789" max="11789" width="7.125" style="326" customWidth="1"/>
    <col min="11790" max="11790" width="5" style="326" customWidth="1"/>
    <col min="11791" max="11791" width="6.875" style="326" customWidth="1"/>
    <col min="11792" max="11792" width="10" style="326" customWidth="1"/>
    <col min="11793" max="11793" width="5.375" style="326" customWidth="1"/>
    <col min="11794" max="11794" width="5.75" style="326" customWidth="1"/>
    <col min="11795" max="11795" width="10" style="326" customWidth="1"/>
    <col min="11796" max="11796" width="5.25" style="326" customWidth="1"/>
    <col min="11797" max="12031" width="9.125" style="326"/>
    <col min="12032" max="12032" width="2.875" style="326" customWidth="1"/>
    <col min="12033" max="12033" width="3.75" style="326" customWidth="1"/>
    <col min="12034" max="12034" width="20" style="326" customWidth="1"/>
    <col min="12035" max="12035" width="17.875" style="326" customWidth="1"/>
    <col min="12036" max="12037" width="7.875" style="326" customWidth="1"/>
    <col min="12038" max="12038" width="14.875" style="326" customWidth="1"/>
    <col min="12039" max="12039" width="8.875" style="326" customWidth="1"/>
    <col min="12040" max="12040" width="7.125" style="326" customWidth="1"/>
    <col min="12041" max="12041" width="6.875" style="326" customWidth="1"/>
    <col min="12042" max="12042" width="5.875" style="326" customWidth="1"/>
    <col min="12043" max="12043" width="7.75" style="326" customWidth="1"/>
    <col min="12044" max="12044" width="7.875" style="326" customWidth="1"/>
    <col min="12045" max="12045" width="7.125" style="326" customWidth="1"/>
    <col min="12046" max="12046" width="5" style="326" customWidth="1"/>
    <col min="12047" max="12047" width="6.875" style="326" customWidth="1"/>
    <col min="12048" max="12048" width="10" style="326" customWidth="1"/>
    <col min="12049" max="12049" width="5.375" style="326" customWidth="1"/>
    <col min="12050" max="12050" width="5.75" style="326" customWidth="1"/>
    <col min="12051" max="12051" width="10" style="326" customWidth="1"/>
    <col min="12052" max="12052" width="5.25" style="326" customWidth="1"/>
    <col min="12053" max="12287" width="9.125" style="326"/>
    <col min="12288" max="12288" width="2.875" style="326" customWidth="1"/>
    <col min="12289" max="12289" width="3.75" style="326" customWidth="1"/>
    <col min="12290" max="12290" width="20" style="326" customWidth="1"/>
    <col min="12291" max="12291" width="17.875" style="326" customWidth="1"/>
    <col min="12292" max="12293" width="7.875" style="326" customWidth="1"/>
    <col min="12294" max="12294" width="14.875" style="326" customWidth="1"/>
    <col min="12295" max="12295" width="8.875" style="326" customWidth="1"/>
    <col min="12296" max="12296" width="7.125" style="326" customWidth="1"/>
    <col min="12297" max="12297" width="6.875" style="326" customWidth="1"/>
    <col min="12298" max="12298" width="5.875" style="326" customWidth="1"/>
    <col min="12299" max="12299" width="7.75" style="326" customWidth="1"/>
    <col min="12300" max="12300" width="7.875" style="326" customWidth="1"/>
    <col min="12301" max="12301" width="7.125" style="326" customWidth="1"/>
    <col min="12302" max="12302" width="5" style="326" customWidth="1"/>
    <col min="12303" max="12303" width="6.875" style="326" customWidth="1"/>
    <col min="12304" max="12304" width="10" style="326" customWidth="1"/>
    <col min="12305" max="12305" width="5.375" style="326" customWidth="1"/>
    <col min="12306" max="12306" width="5.75" style="326" customWidth="1"/>
    <col min="12307" max="12307" width="10" style="326" customWidth="1"/>
    <col min="12308" max="12308" width="5.25" style="326" customWidth="1"/>
    <col min="12309" max="12543" width="9.125" style="326"/>
    <col min="12544" max="12544" width="2.875" style="326" customWidth="1"/>
    <col min="12545" max="12545" width="3.75" style="326" customWidth="1"/>
    <col min="12546" max="12546" width="20" style="326" customWidth="1"/>
    <col min="12547" max="12547" width="17.875" style="326" customWidth="1"/>
    <col min="12548" max="12549" width="7.875" style="326" customWidth="1"/>
    <col min="12550" max="12550" width="14.875" style="326" customWidth="1"/>
    <col min="12551" max="12551" width="8.875" style="326" customWidth="1"/>
    <col min="12552" max="12552" width="7.125" style="326" customWidth="1"/>
    <col min="12553" max="12553" width="6.875" style="326" customWidth="1"/>
    <col min="12554" max="12554" width="5.875" style="326" customWidth="1"/>
    <col min="12555" max="12555" width="7.75" style="326" customWidth="1"/>
    <col min="12556" max="12556" width="7.875" style="326" customWidth="1"/>
    <col min="12557" max="12557" width="7.125" style="326" customWidth="1"/>
    <col min="12558" max="12558" width="5" style="326" customWidth="1"/>
    <col min="12559" max="12559" width="6.875" style="326" customWidth="1"/>
    <col min="12560" max="12560" width="10" style="326" customWidth="1"/>
    <col min="12561" max="12561" width="5.375" style="326" customWidth="1"/>
    <col min="12562" max="12562" width="5.75" style="326" customWidth="1"/>
    <col min="12563" max="12563" width="10" style="326" customWidth="1"/>
    <col min="12564" max="12564" width="5.25" style="326" customWidth="1"/>
    <col min="12565" max="12799" width="9.125" style="326"/>
    <col min="12800" max="12800" width="2.875" style="326" customWidth="1"/>
    <col min="12801" max="12801" width="3.75" style="326" customWidth="1"/>
    <col min="12802" max="12802" width="20" style="326" customWidth="1"/>
    <col min="12803" max="12803" width="17.875" style="326" customWidth="1"/>
    <col min="12804" max="12805" width="7.875" style="326" customWidth="1"/>
    <col min="12806" max="12806" width="14.875" style="326" customWidth="1"/>
    <col min="12807" max="12807" width="8.875" style="326" customWidth="1"/>
    <col min="12808" max="12808" width="7.125" style="326" customWidth="1"/>
    <col min="12809" max="12809" width="6.875" style="326" customWidth="1"/>
    <col min="12810" max="12810" width="5.875" style="326" customWidth="1"/>
    <col min="12811" max="12811" width="7.75" style="326" customWidth="1"/>
    <col min="12812" max="12812" width="7.875" style="326" customWidth="1"/>
    <col min="12813" max="12813" width="7.125" style="326" customWidth="1"/>
    <col min="12814" max="12814" width="5" style="326" customWidth="1"/>
    <col min="12815" max="12815" width="6.875" style="326" customWidth="1"/>
    <col min="12816" max="12816" width="10" style="326" customWidth="1"/>
    <col min="12817" max="12817" width="5.375" style="326" customWidth="1"/>
    <col min="12818" max="12818" width="5.75" style="326" customWidth="1"/>
    <col min="12819" max="12819" width="10" style="326" customWidth="1"/>
    <col min="12820" max="12820" width="5.25" style="326" customWidth="1"/>
    <col min="12821" max="13055" width="9.125" style="326"/>
    <col min="13056" max="13056" width="2.875" style="326" customWidth="1"/>
    <col min="13057" max="13057" width="3.75" style="326" customWidth="1"/>
    <col min="13058" max="13058" width="20" style="326" customWidth="1"/>
    <col min="13059" max="13059" width="17.875" style="326" customWidth="1"/>
    <col min="13060" max="13061" width="7.875" style="326" customWidth="1"/>
    <col min="13062" max="13062" width="14.875" style="326" customWidth="1"/>
    <col min="13063" max="13063" width="8.875" style="326" customWidth="1"/>
    <col min="13064" max="13064" width="7.125" style="326" customWidth="1"/>
    <col min="13065" max="13065" width="6.875" style="326" customWidth="1"/>
    <col min="13066" max="13066" width="5.875" style="326" customWidth="1"/>
    <col min="13067" max="13067" width="7.75" style="326" customWidth="1"/>
    <col min="13068" max="13068" width="7.875" style="326" customWidth="1"/>
    <col min="13069" max="13069" width="7.125" style="326" customWidth="1"/>
    <col min="13070" max="13070" width="5" style="326" customWidth="1"/>
    <col min="13071" max="13071" width="6.875" style="326" customWidth="1"/>
    <col min="13072" max="13072" width="10" style="326" customWidth="1"/>
    <col min="13073" max="13073" width="5.375" style="326" customWidth="1"/>
    <col min="13074" max="13074" width="5.75" style="326" customWidth="1"/>
    <col min="13075" max="13075" width="10" style="326" customWidth="1"/>
    <col min="13076" max="13076" width="5.25" style="326" customWidth="1"/>
    <col min="13077" max="13311" width="9.125" style="326"/>
    <col min="13312" max="13312" width="2.875" style="326" customWidth="1"/>
    <col min="13313" max="13313" width="3.75" style="326" customWidth="1"/>
    <col min="13314" max="13314" width="20" style="326" customWidth="1"/>
    <col min="13315" max="13315" width="17.875" style="326" customWidth="1"/>
    <col min="13316" max="13317" width="7.875" style="326" customWidth="1"/>
    <col min="13318" max="13318" width="14.875" style="326" customWidth="1"/>
    <col min="13319" max="13319" width="8.875" style="326" customWidth="1"/>
    <col min="13320" max="13320" width="7.125" style="326" customWidth="1"/>
    <col min="13321" max="13321" width="6.875" style="326" customWidth="1"/>
    <col min="13322" max="13322" width="5.875" style="326" customWidth="1"/>
    <col min="13323" max="13323" width="7.75" style="326" customWidth="1"/>
    <col min="13324" max="13324" width="7.875" style="326" customWidth="1"/>
    <col min="13325" max="13325" width="7.125" style="326" customWidth="1"/>
    <col min="13326" max="13326" width="5" style="326" customWidth="1"/>
    <col min="13327" max="13327" width="6.875" style="326" customWidth="1"/>
    <col min="13328" max="13328" width="10" style="326" customWidth="1"/>
    <col min="13329" max="13329" width="5.375" style="326" customWidth="1"/>
    <col min="13330" max="13330" width="5.75" style="326" customWidth="1"/>
    <col min="13331" max="13331" width="10" style="326" customWidth="1"/>
    <col min="13332" max="13332" width="5.25" style="326" customWidth="1"/>
    <col min="13333" max="13567" width="9.125" style="326"/>
    <col min="13568" max="13568" width="2.875" style="326" customWidth="1"/>
    <col min="13569" max="13569" width="3.75" style="326" customWidth="1"/>
    <col min="13570" max="13570" width="20" style="326" customWidth="1"/>
    <col min="13571" max="13571" width="17.875" style="326" customWidth="1"/>
    <col min="13572" max="13573" width="7.875" style="326" customWidth="1"/>
    <col min="13574" max="13574" width="14.875" style="326" customWidth="1"/>
    <col min="13575" max="13575" width="8.875" style="326" customWidth="1"/>
    <col min="13576" max="13576" width="7.125" style="326" customWidth="1"/>
    <col min="13577" max="13577" width="6.875" style="326" customWidth="1"/>
    <col min="13578" max="13578" width="5.875" style="326" customWidth="1"/>
    <col min="13579" max="13579" width="7.75" style="326" customWidth="1"/>
    <col min="13580" max="13580" width="7.875" style="326" customWidth="1"/>
    <col min="13581" max="13581" width="7.125" style="326" customWidth="1"/>
    <col min="13582" max="13582" width="5" style="326" customWidth="1"/>
    <col min="13583" max="13583" width="6.875" style="326" customWidth="1"/>
    <col min="13584" max="13584" width="10" style="326" customWidth="1"/>
    <col min="13585" max="13585" width="5.375" style="326" customWidth="1"/>
    <col min="13586" max="13586" width="5.75" style="326" customWidth="1"/>
    <col min="13587" max="13587" width="10" style="326" customWidth="1"/>
    <col min="13588" max="13588" width="5.25" style="326" customWidth="1"/>
    <col min="13589" max="13823" width="9.125" style="326"/>
    <col min="13824" max="13824" width="2.875" style="326" customWidth="1"/>
    <col min="13825" max="13825" width="3.75" style="326" customWidth="1"/>
    <col min="13826" max="13826" width="20" style="326" customWidth="1"/>
    <col min="13827" max="13827" width="17.875" style="326" customWidth="1"/>
    <col min="13828" max="13829" width="7.875" style="326" customWidth="1"/>
    <col min="13830" max="13830" width="14.875" style="326" customWidth="1"/>
    <col min="13831" max="13831" width="8.875" style="326" customWidth="1"/>
    <col min="13832" max="13832" width="7.125" style="326" customWidth="1"/>
    <col min="13833" max="13833" width="6.875" style="326" customWidth="1"/>
    <col min="13834" max="13834" width="5.875" style="326" customWidth="1"/>
    <col min="13835" max="13835" width="7.75" style="326" customWidth="1"/>
    <col min="13836" max="13836" width="7.875" style="326" customWidth="1"/>
    <col min="13837" max="13837" width="7.125" style="326" customWidth="1"/>
    <col min="13838" max="13838" width="5" style="326" customWidth="1"/>
    <col min="13839" max="13839" width="6.875" style="326" customWidth="1"/>
    <col min="13840" max="13840" width="10" style="326" customWidth="1"/>
    <col min="13841" max="13841" width="5.375" style="326" customWidth="1"/>
    <col min="13842" max="13842" width="5.75" style="326" customWidth="1"/>
    <col min="13843" max="13843" width="10" style="326" customWidth="1"/>
    <col min="13844" max="13844" width="5.25" style="326" customWidth="1"/>
    <col min="13845" max="14079" width="9.125" style="326"/>
    <col min="14080" max="14080" width="2.875" style="326" customWidth="1"/>
    <col min="14081" max="14081" width="3.75" style="326" customWidth="1"/>
    <col min="14082" max="14082" width="20" style="326" customWidth="1"/>
    <col min="14083" max="14083" width="17.875" style="326" customWidth="1"/>
    <col min="14084" max="14085" width="7.875" style="326" customWidth="1"/>
    <col min="14086" max="14086" width="14.875" style="326" customWidth="1"/>
    <col min="14087" max="14087" width="8.875" style="326" customWidth="1"/>
    <col min="14088" max="14088" width="7.125" style="326" customWidth="1"/>
    <col min="14089" max="14089" width="6.875" style="326" customWidth="1"/>
    <col min="14090" max="14090" width="5.875" style="326" customWidth="1"/>
    <col min="14091" max="14091" width="7.75" style="326" customWidth="1"/>
    <col min="14092" max="14092" width="7.875" style="326" customWidth="1"/>
    <col min="14093" max="14093" width="7.125" style="326" customWidth="1"/>
    <col min="14094" max="14094" width="5" style="326" customWidth="1"/>
    <col min="14095" max="14095" width="6.875" style="326" customWidth="1"/>
    <col min="14096" max="14096" width="10" style="326" customWidth="1"/>
    <col min="14097" max="14097" width="5.375" style="326" customWidth="1"/>
    <col min="14098" max="14098" width="5.75" style="326" customWidth="1"/>
    <col min="14099" max="14099" width="10" style="326" customWidth="1"/>
    <col min="14100" max="14100" width="5.25" style="326" customWidth="1"/>
    <col min="14101" max="14335" width="9.125" style="326"/>
    <col min="14336" max="14336" width="2.875" style="326" customWidth="1"/>
    <col min="14337" max="14337" width="3.75" style="326" customWidth="1"/>
    <col min="14338" max="14338" width="20" style="326" customWidth="1"/>
    <col min="14339" max="14339" width="17.875" style="326" customWidth="1"/>
    <col min="14340" max="14341" width="7.875" style="326" customWidth="1"/>
    <col min="14342" max="14342" width="14.875" style="326" customWidth="1"/>
    <col min="14343" max="14343" width="8.875" style="326" customWidth="1"/>
    <col min="14344" max="14344" width="7.125" style="326" customWidth="1"/>
    <col min="14345" max="14345" width="6.875" style="326" customWidth="1"/>
    <col min="14346" max="14346" width="5.875" style="326" customWidth="1"/>
    <col min="14347" max="14347" width="7.75" style="326" customWidth="1"/>
    <col min="14348" max="14348" width="7.875" style="326" customWidth="1"/>
    <col min="14349" max="14349" width="7.125" style="326" customWidth="1"/>
    <col min="14350" max="14350" width="5" style="326" customWidth="1"/>
    <col min="14351" max="14351" width="6.875" style="326" customWidth="1"/>
    <col min="14352" max="14352" width="10" style="326" customWidth="1"/>
    <col min="14353" max="14353" width="5.375" style="326" customWidth="1"/>
    <col min="14354" max="14354" width="5.75" style="326" customWidth="1"/>
    <col min="14355" max="14355" width="10" style="326" customWidth="1"/>
    <col min="14356" max="14356" width="5.25" style="326" customWidth="1"/>
    <col min="14357" max="14591" width="9.125" style="326"/>
    <col min="14592" max="14592" width="2.875" style="326" customWidth="1"/>
    <col min="14593" max="14593" width="3.75" style="326" customWidth="1"/>
    <col min="14594" max="14594" width="20" style="326" customWidth="1"/>
    <col min="14595" max="14595" width="17.875" style="326" customWidth="1"/>
    <col min="14596" max="14597" width="7.875" style="326" customWidth="1"/>
    <col min="14598" max="14598" width="14.875" style="326" customWidth="1"/>
    <col min="14599" max="14599" width="8.875" style="326" customWidth="1"/>
    <col min="14600" max="14600" width="7.125" style="326" customWidth="1"/>
    <col min="14601" max="14601" width="6.875" style="326" customWidth="1"/>
    <col min="14602" max="14602" width="5.875" style="326" customWidth="1"/>
    <col min="14603" max="14603" width="7.75" style="326" customWidth="1"/>
    <col min="14604" max="14604" width="7.875" style="326" customWidth="1"/>
    <col min="14605" max="14605" width="7.125" style="326" customWidth="1"/>
    <col min="14606" max="14606" width="5" style="326" customWidth="1"/>
    <col min="14607" max="14607" width="6.875" style="326" customWidth="1"/>
    <col min="14608" max="14608" width="10" style="326" customWidth="1"/>
    <col min="14609" max="14609" width="5.375" style="326" customWidth="1"/>
    <col min="14610" max="14610" width="5.75" style="326" customWidth="1"/>
    <col min="14611" max="14611" width="10" style="326" customWidth="1"/>
    <col min="14612" max="14612" width="5.25" style="326" customWidth="1"/>
    <col min="14613" max="14847" width="9.125" style="326"/>
    <col min="14848" max="14848" width="2.875" style="326" customWidth="1"/>
    <col min="14849" max="14849" width="3.75" style="326" customWidth="1"/>
    <col min="14850" max="14850" width="20" style="326" customWidth="1"/>
    <col min="14851" max="14851" width="17.875" style="326" customWidth="1"/>
    <col min="14852" max="14853" width="7.875" style="326" customWidth="1"/>
    <col min="14854" max="14854" width="14.875" style="326" customWidth="1"/>
    <col min="14855" max="14855" width="8.875" style="326" customWidth="1"/>
    <col min="14856" max="14856" width="7.125" style="326" customWidth="1"/>
    <col min="14857" max="14857" width="6.875" style="326" customWidth="1"/>
    <col min="14858" max="14858" width="5.875" style="326" customWidth="1"/>
    <col min="14859" max="14859" width="7.75" style="326" customWidth="1"/>
    <col min="14860" max="14860" width="7.875" style="326" customWidth="1"/>
    <col min="14861" max="14861" width="7.125" style="326" customWidth="1"/>
    <col min="14862" max="14862" width="5" style="326" customWidth="1"/>
    <col min="14863" max="14863" width="6.875" style="326" customWidth="1"/>
    <col min="14864" max="14864" width="10" style="326" customWidth="1"/>
    <col min="14865" max="14865" width="5.375" style="326" customWidth="1"/>
    <col min="14866" max="14866" width="5.75" style="326" customWidth="1"/>
    <col min="14867" max="14867" width="10" style="326" customWidth="1"/>
    <col min="14868" max="14868" width="5.25" style="326" customWidth="1"/>
    <col min="14869" max="15103" width="9.125" style="326"/>
    <col min="15104" max="15104" width="2.875" style="326" customWidth="1"/>
    <col min="15105" max="15105" width="3.75" style="326" customWidth="1"/>
    <col min="15106" max="15106" width="20" style="326" customWidth="1"/>
    <col min="15107" max="15107" width="17.875" style="326" customWidth="1"/>
    <col min="15108" max="15109" width="7.875" style="326" customWidth="1"/>
    <col min="15110" max="15110" width="14.875" style="326" customWidth="1"/>
    <col min="15111" max="15111" width="8.875" style="326" customWidth="1"/>
    <col min="15112" max="15112" width="7.125" style="326" customWidth="1"/>
    <col min="15113" max="15113" width="6.875" style="326" customWidth="1"/>
    <col min="15114" max="15114" width="5.875" style="326" customWidth="1"/>
    <col min="15115" max="15115" width="7.75" style="326" customWidth="1"/>
    <col min="15116" max="15116" width="7.875" style="326" customWidth="1"/>
    <col min="15117" max="15117" width="7.125" style="326" customWidth="1"/>
    <col min="15118" max="15118" width="5" style="326" customWidth="1"/>
    <col min="15119" max="15119" width="6.875" style="326" customWidth="1"/>
    <col min="15120" max="15120" width="10" style="326" customWidth="1"/>
    <col min="15121" max="15121" width="5.375" style="326" customWidth="1"/>
    <col min="15122" max="15122" width="5.75" style="326" customWidth="1"/>
    <col min="15123" max="15123" width="10" style="326" customWidth="1"/>
    <col min="15124" max="15124" width="5.25" style="326" customWidth="1"/>
    <col min="15125" max="15359" width="9.125" style="326"/>
    <col min="15360" max="15360" width="2.875" style="326" customWidth="1"/>
    <col min="15361" max="15361" width="3.75" style="326" customWidth="1"/>
    <col min="15362" max="15362" width="20" style="326" customWidth="1"/>
    <col min="15363" max="15363" width="17.875" style="326" customWidth="1"/>
    <col min="15364" max="15365" width="7.875" style="326" customWidth="1"/>
    <col min="15366" max="15366" width="14.875" style="326" customWidth="1"/>
    <col min="15367" max="15367" width="8.875" style="326" customWidth="1"/>
    <col min="15368" max="15368" width="7.125" style="326" customWidth="1"/>
    <col min="15369" max="15369" width="6.875" style="326" customWidth="1"/>
    <col min="15370" max="15370" width="5.875" style="326" customWidth="1"/>
    <col min="15371" max="15371" width="7.75" style="326" customWidth="1"/>
    <col min="15372" max="15372" width="7.875" style="326" customWidth="1"/>
    <col min="15373" max="15373" width="7.125" style="326" customWidth="1"/>
    <col min="15374" max="15374" width="5" style="326" customWidth="1"/>
    <col min="15375" max="15375" width="6.875" style="326" customWidth="1"/>
    <col min="15376" max="15376" width="10" style="326" customWidth="1"/>
    <col min="15377" max="15377" width="5.375" style="326" customWidth="1"/>
    <col min="15378" max="15378" width="5.75" style="326" customWidth="1"/>
    <col min="15379" max="15379" width="10" style="326" customWidth="1"/>
    <col min="15380" max="15380" width="5.25" style="326" customWidth="1"/>
    <col min="15381" max="15615" width="9.125" style="326"/>
    <col min="15616" max="15616" width="2.875" style="326" customWidth="1"/>
    <col min="15617" max="15617" width="3.75" style="326" customWidth="1"/>
    <col min="15618" max="15618" width="20" style="326" customWidth="1"/>
    <col min="15619" max="15619" width="17.875" style="326" customWidth="1"/>
    <col min="15620" max="15621" width="7.875" style="326" customWidth="1"/>
    <col min="15622" max="15622" width="14.875" style="326" customWidth="1"/>
    <col min="15623" max="15623" width="8.875" style="326" customWidth="1"/>
    <col min="15624" max="15624" width="7.125" style="326" customWidth="1"/>
    <col min="15625" max="15625" width="6.875" style="326" customWidth="1"/>
    <col min="15626" max="15626" width="5.875" style="326" customWidth="1"/>
    <col min="15627" max="15627" width="7.75" style="326" customWidth="1"/>
    <col min="15628" max="15628" width="7.875" style="326" customWidth="1"/>
    <col min="15629" max="15629" width="7.125" style="326" customWidth="1"/>
    <col min="15630" max="15630" width="5" style="326" customWidth="1"/>
    <col min="15631" max="15631" width="6.875" style="326" customWidth="1"/>
    <col min="15632" max="15632" width="10" style="326" customWidth="1"/>
    <col min="15633" max="15633" width="5.375" style="326" customWidth="1"/>
    <col min="15634" max="15634" width="5.75" style="326" customWidth="1"/>
    <col min="15635" max="15635" width="10" style="326" customWidth="1"/>
    <col min="15636" max="15636" width="5.25" style="326" customWidth="1"/>
    <col min="15637" max="15871" width="9.125" style="326"/>
    <col min="15872" max="15872" width="2.875" style="326" customWidth="1"/>
    <col min="15873" max="15873" width="3.75" style="326" customWidth="1"/>
    <col min="15874" max="15874" width="20" style="326" customWidth="1"/>
    <col min="15875" max="15875" width="17.875" style="326" customWidth="1"/>
    <col min="15876" max="15877" width="7.875" style="326" customWidth="1"/>
    <col min="15878" max="15878" width="14.875" style="326" customWidth="1"/>
    <col min="15879" max="15879" width="8.875" style="326" customWidth="1"/>
    <col min="15880" max="15880" width="7.125" style="326" customWidth="1"/>
    <col min="15881" max="15881" width="6.875" style="326" customWidth="1"/>
    <col min="15882" max="15882" width="5.875" style="326" customWidth="1"/>
    <col min="15883" max="15883" width="7.75" style="326" customWidth="1"/>
    <col min="15884" max="15884" width="7.875" style="326" customWidth="1"/>
    <col min="15885" max="15885" width="7.125" style="326" customWidth="1"/>
    <col min="15886" max="15886" width="5" style="326" customWidth="1"/>
    <col min="15887" max="15887" width="6.875" style="326" customWidth="1"/>
    <col min="15888" max="15888" width="10" style="326" customWidth="1"/>
    <col min="15889" max="15889" width="5.375" style="326" customWidth="1"/>
    <col min="15890" max="15890" width="5.75" style="326" customWidth="1"/>
    <col min="15891" max="15891" width="10" style="326" customWidth="1"/>
    <col min="15892" max="15892" width="5.25" style="326" customWidth="1"/>
    <col min="15893" max="16127" width="9.125" style="326"/>
    <col min="16128" max="16128" width="2.875" style="326" customWidth="1"/>
    <col min="16129" max="16129" width="3.75" style="326" customWidth="1"/>
    <col min="16130" max="16130" width="20" style="326" customWidth="1"/>
    <col min="16131" max="16131" width="17.875" style="326" customWidth="1"/>
    <col min="16132" max="16133" width="7.875" style="326" customWidth="1"/>
    <col min="16134" max="16134" width="14.875" style="326" customWidth="1"/>
    <col min="16135" max="16135" width="8.875" style="326" customWidth="1"/>
    <col min="16136" max="16136" width="7.125" style="326" customWidth="1"/>
    <col min="16137" max="16137" width="6.875" style="326" customWidth="1"/>
    <col min="16138" max="16138" width="5.875" style="326" customWidth="1"/>
    <col min="16139" max="16139" width="7.75" style="326" customWidth="1"/>
    <col min="16140" max="16140" width="7.875" style="326" customWidth="1"/>
    <col min="16141" max="16141" width="7.125" style="326" customWidth="1"/>
    <col min="16142" max="16142" width="5" style="326" customWidth="1"/>
    <col min="16143" max="16143" width="6.875" style="326" customWidth="1"/>
    <col min="16144" max="16144" width="10" style="326" customWidth="1"/>
    <col min="16145" max="16145" width="5.375" style="326" customWidth="1"/>
    <col min="16146" max="16146" width="5.75" style="326" customWidth="1"/>
    <col min="16147" max="16147" width="10" style="326" customWidth="1"/>
    <col min="16148" max="16148" width="5.25" style="326" customWidth="1"/>
    <col min="16149" max="16384" width="9.125" style="326"/>
  </cols>
  <sheetData>
    <row r="1" spans="1:22" ht="22.5" customHeight="1">
      <c r="A1" s="1081" t="s">
        <v>614</v>
      </c>
      <c r="B1" s="1081"/>
      <c r="C1" s="1081"/>
      <c r="D1" s="1081"/>
      <c r="E1" s="1081"/>
      <c r="F1" s="1081"/>
      <c r="G1" s="1081"/>
      <c r="H1" s="1081"/>
      <c r="I1" s="1081"/>
      <c r="J1" s="1081"/>
      <c r="K1" s="1081"/>
      <c r="L1" s="1081"/>
      <c r="M1" s="1081"/>
      <c r="N1" s="1081"/>
      <c r="O1" s="1081"/>
      <c r="P1" s="1082" t="s">
        <v>573</v>
      </c>
      <c r="Q1" s="1082"/>
      <c r="R1" s="1082"/>
      <c r="S1" s="1082"/>
      <c r="T1" s="1082"/>
      <c r="U1" s="1082"/>
    </row>
    <row r="2" spans="1:22" ht="18.75" customHeight="1">
      <c r="A2" s="1083" t="s">
        <v>615</v>
      </c>
      <c r="B2" s="1083"/>
      <c r="C2" s="1083"/>
      <c r="D2" s="1083"/>
      <c r="E2" s="1083"/>
      <c r="F2" s="1083"/>
      <c r="G2" s="1083"/>
      <c r="H2" s="1083"/>
      <c r="I2" s="1083"/>
      <c r="J2" s="1083"/>
      <c r="K2" s="1083"/>
      <c r="L2" s="1083"/>
      <c r="M2" s="1083"/>
      <c r="N2" s="1083"/>
      <c r="O2" s="1083"/>
      <c r="P2" s="1084" t="s">
        <v>517</v>
      </c>
      <c r="Q2" s="1084"/>
      <c r="R2" s="1084"/>
      <c r="S2" s="1084"/>
      <c r="T2" s="1084"/>
      <c r="U2" s="1084"/>
    </row>
    <row r="3" spans="1:22" ht="18.75" customHeight="1">
      <c r="A3" s="1106" t="s">
        <v>748</v>
      </c>
      <c r="B3" s="1106"/>
      <c r="C3" s="1106"/>
      <c r="D3" s="1106"/>
      <c r="E3" s="1106"/>
      <c r="F3" s="1106"/>
      <c r="G3" s="1106"/>
      <c r="H3" s="1106"/>
      <c r="I3" s="1106"/>
      <c r="J3" s="1106"/>
      <c r="K3" s="1106"/>
      <c r="L3" s="1106"/>
      <c r="M3" s="1106"/>
      <c r="N3" s="1106"/>
      <c r="O3" s="1106"/>
      <c r="P3" s="1106"/>
      <c r="Q3" s="1106"/>
      <c r="R3" s="1106"/>
      <c r="S3" s="1106"/>
      <c r="T3" s="1106"/>
      <c r="U3" s="1106"/>
    </row>
    <row r="4" spans="1:22" ht="19.5" customHeight="1">
      <c r="A4" s="1085" t="str">
        <f>Summary!A2</f>
        <v>iz/kkukpk;Z egkRek xka/kh jktdh; fo|ky; ¼vaxzsth ek/;e½ cj ] C;koj</v>
      </c>
      <c r="B4" s="1085"/>
      <c r="C4" s="1085"/>
      <c r="D4" s="1085"/>
      <c r="E4" s="1085"/>
      <c r="F4" s="1085"/>
      <c r="G4" s="1085"/>
      <c r="H4" s="1085"/>
      <c r="I4" s="1085"/>
      <c r="J4" s="1085"/>
      <c r="K4" s="1085"/>
      <c r="L4" s="1085"/>
      <c r="M4" s="1085"/>
      <c r="N4" s="1085"/>
      <c r="O4" s="1085"/>
      <c r="P4" s="1085"/>
      <c r="Q4" s="1085"/>
      <c r="R4" s="1085"/>
      <c r="S4" s="1085"/>
      <c r="T4" s="1085"/>
      <c r="U4" s="1085"/>
    </row>
    <row r="5" spans="1:22" s="531" customFormat="1" ht="21.75" customHeight="1">
      <c r="A5" s="1104" t="str">
        <f>CONCATENATE("laLFkk iz/kku dk uke o eksckbZy ua- %&amp;  ",Master!G3,"] ","eks- ",Master!G4)</f>
        <v>laLFkk iz/kku dk uke o eksckbZy ua- %&amp;  m"kk ikfy;k] eks- 9999999999</v>
      </c>
      <c r="B5" s="1104"/>
      <c r="C5" s="1104"/>
      <c r="D5" s="1104"/>
      <c r="E5" s="1104"/>
      <c r="F5" s="1104"/>
      <c r="G5" s="1104"/>
      <c r="H5" s="1104"/>
      <c r="I5" s="1104"/>
      <c r="J5" s="1105" t="str">
        <f>CONCATENATE("Budget Head :-  ",Master!E5)</f>
        <v>Budget Head :-  2202-02-109-(02) (STATE FUND)</v>
      </c>
      <c r="K5" s="1105"/>
      <c r="L5" s="1105"/>
      <c r="M5" s="1105"/>
      <c r="N5" s="1105"/>
      <c r="O5" s="1105"/>
      <c r="P5" s="1105"/>
      <c r="Q5" s="1105"/>
      <c r="R5" s="576"/>
      <c r="S5" s="949">
        <f>Summary!$C$1</f>
        <v>30695</v>
      </c>
      <c r="T5" s="949"/>
      <c r="U5" s="949"/>
      <c r="V5" s="530"/>
    </row>
    <row r="6" spans="1:22" s="532" customFormat="1" ht="38.25" customHeight="1">
      <c r="A6" s="1099" t="s">
        <v>574</v>
      </c>
      <c r="B6" s="1099" t="s">
        <v>129</v>
      </c>
      <c r="C6" s="1102" t="s">
        <v>575</v>
      </c>
      <c r="D6" s="1099" t="s">
        <v>576</v>
      </c>
      <c r="E6" s="1099" t="s">
        <v>577</v>
      </c>
      <c r="F6" s="1099" t="s">
        <v>578</v>
      </c>
      <c r="G6" s="1099"/>
      <c r="H6" s="1099" t="s">
        <v>804</v>
      </c>
      <c r="I6" s="1099" t="s">
        <v>579</v>
      </c>
      <c r="J6" s="1099" t="s">
        <v>134</v>
      </c>
      <c r="K6" s="1099"/>
      <c r="L6" s="1099"/>
      <c r="M6" s="1099" t="s">
        <v>806</v>
      </c>
      <c r="N6" s="1100" t="s">
        <v>807</v>
      </c>
      <c r="O6" s="1101"/>
      <c r="P6" s="1099" t="s">
        <v>808</v>
      </c>
      <c r="Q6" s="1099" t="s">
        <v>809</v>
      </c>
      <c r="R6" s="1099" t="s">
        <v>810</v>
      </c>
      <c r="S6" s="1088" t="s">
        <v>605</v>
      </c>
      <c r="T6" s="1088" t="s">
        <v>580</v>
      </c>
      <c r="U6" s="1088" t="s">
        <v>581</v>
      </c>
    </row>
    <row r="7" spans="1:22" s="532" customFormat="1" ht="131.25" customHeight="1">
      <c r="A7" s="1099"/>
      <c r="B7" s="1099"/>
      <c r="C7" s="1103"/>
      <c r="D7" s="1099"/>
      <c r="E7" s="1099"/>
      <c r="F7" s="628" t="s">
        <v>332</v>
      </c>
      <c r="G7" s="628" t="s">
        <v>399</v>
      </c>
      <c r="H7" s="1099"/>
      <c r="I7" s="1099"/>
      <c r="J7" s="628" t="s">
        <v>582</v>
      </c>
      <c r="K7" s="759" t="s">
        <v>805</v>
      </c>
      <c r="L7" s="628" t="s">
        <v>148</v>
      </c>
      <c r="M7" s="1099"/>
      <c r="N7" s="628" t="s">
        <v>332</v>
      </c>
      <c r="O7" s="628" t="s">
        <v>583</v>
      </c>
      <c r="P7" s="1099"/>
      <c r="Q7" s="1099"/>
      <c r="R7" s="1099"/>
      <c r="S7" s="1089"/>
      <c r="T7" s="1089"/>
      <c r="U7" s="1089"/>
    </row>
    <row r="8" spans="1:22" s="534" customFormat="1" ht="12.75">
      <c r="A8" s="533">
        <v>1</v>
      </c>
      <c r="B8" s="533">
        <v>2</v>
      </c>
      <c r="C8" s="533" t="s">
        <v>584</v>
      </c>
      <c r="D8" s="533">
        <v>3</v>
      </c>
      <c r="E8" s="533">
        <v>4</v>
      </c>
      <c r="F8" s="533">
        <v>5</v>
      </c>
      <c r="G8" s="533">
        <v>6</v>
      </c>
      <c r="H8" s="533">
        <v>7</v>
      </c>
      <c r="I8" s="533">
        <v>8</v>
      </c>
      <c r="J8" s="533">
        <v>9</v>
      </c>
      <c r="K8" s="533" t="s">
        <v>585</v>
      </c>
      <c r="L8" s="533">
        <v>10</v>
      </c>
      <c r="M8" s="533">
        <v>11</v>
      </c>
      <c r="N8" s="533" t="s">
        <v>586</v>
      </c>
      <c r="O8" s="533" t="s">
        <v>587</v>
      </c>
      <c r="P8" s="533" t="s">
        <v>588</v>
      </c>
      <c r="Q8" s="533" t="s">
        <v>589</v>
      </c>
      <c r="R8" s="533">
        <v>12</v>
      </c>
      <c r="S8" s="533">
        <v>13</v>
      </c>
      <c r="T8" s="533">
        <v>14</v>
      </c>
      <c r="U8" s="533">
        <v>15</v>
      </c>
    </row>
    <row r="9" spans="1:22" s="537" customFormat="1" ht="20.100000000000001" customHeight="1">
      <c r="A9" s="535">
        <v>1</v>
      </c>
      <c r="B9" s="577" t="str">
        <f>IF('Formet 8'!B12="","",'Formet 8'!B12)</f>
        <v>Jherh m"kk ikfy;k</v>
      </c>
      <c r="C9" s="535"/>
      <c r="D9" s="578" t="str">
        <f>IF('Formet 8'!C12="","",'Formet 8'!C12)</f>
        <v>RJAJ199506021728</v>
      </c>
      <c r="E9" s="579" t="str">
        <f>IF('Formet 8'!E12="","",'Formet 8'!E12)</f>
        <v>PRINCIPAL</v>
      </c>
      <c r="F9" s="580">
        <f>IF('Formet 8'!F12="","",'Formet 8'!F12)</f>
        <v>16</v>
      </c>
      <c r="G9" s="579">
        <f>IF('Formet 8'!G12="","",'Formet 8'!G12)</f>
        <v>71300</v>
      </c>
      <c r="H9" s="587">
        <f>G9</f>
        <v>71300</v>
      </c>
      <c r="I9" s="587">
        <f>IF(H9="","",H9*12)</f>
        <v>855600</v>
      </c>
      <c r="J9" s="588">
        <v>46204</v>
      </c>
      <c r="K9" s="587">
        <f>IF(H9="","",ROUND(H9*3%,-2))</f>
        <v>2100</v>
      </c>
      <c r="L9" s="587">
        <f>IF(K9="","",K9*8)</f>
        <v>16800</v>
      </c>
      <c r="M9" s="587">
        <f>IF(OR(I9="",L9=""),"",L9+I9)</f>
        <v>872400</v>
      </c>
      <c r="N9" s="580">
        <f>IF(F9="","",F9)</f>
        <v>16</v>
      </c>
      <c r="O9" s="587"/>
      <c r="P9" s="587">
        <f>O9*4</f>
        <v>0</v>
      </c>
      <c r="Q9" s="587">
        <f>IF(H9="","",H9*8)</f>
        <v>570400</v>
      </c>
      <c r="R9" s="587">
        <f>IF(OR(P9="",Q9=""),"",P9+Q9)</f>
        <v>570400</v>
      </c>
      <c r="S9" s="588"/>
      <c r="T9" s="588"/>
      <c r="U9" s="535"/>
    </row>
    <row r="10" spans="1:22" s="537" customFormat="1" ht="20.100000000000001" customHeight="1">
      <c r="A10" s="535">
        <v>2</v>
      </c>
      <c r="B10" s="577" t="str">
        <f>IF('Formet 8'!B13="","",'Formet 8'!B13)</f>
        <v>Jh nsokuUn</v>
      </c>
      <c r="C10" s="535"/>
      <c r="D10" s="578" t="str">
        <f>IF('Formet 8'!C13="","",'Formet 8'!C13)</f>
        <v>RJAJ199506021728</v>
      </c>
      <c r="E10" s="579" t="str">
        <f>IF('Formet 8'!E13="","",'Formet 8'!E13)</f>
        <v>VICE-PRINCIPAL</v>
      </c>
      <c r="F10" s="580">
        <f>IF('Formet 8'!F13="","",'Formet 8'!F13)</f>
        <v>14</v>
      </c>
      <c r="G10" s="579">
        <f>IF('Formet 8'!G13="","",'Formet 8'!G13)</f>
        <v>93100</v>
      </c>
      <c r="H10" s="587">
        <f t="shared" ref="H10:H12" si="0">G10</f>
        <v>93100</v>
      </c>
      <c r="I10" s="587">
        <f t="shared" ref="I10:I22" si="1">IF(H10="","",H10*12)</f>
        <v>1117200</v>
      </c>
      <c r="J10" s="588">
        <v>46204</v>
      </c>
      <c r="K10" s="587">
        <f t="shared" ref="K10:K15" si="2">IF(H10="","",ROUND(H10*3%,-2))</f>
        <v>2800</v>
      </c>
      <c r="L10" s="587">
        <f t="shared" ref="L10:L22" si="3">IF(K10="","",K10*8)</f>
        <v>22400</v>
      </c>
      <c r="M10" s="587">
        <f t="shared" ref="M10:M15" si="4">IF(OR(I10="",L10=""),"",L10+I10)</f>
        <v>1139600</v>
      </c>
      <c r="N10" s="580">
        <f t="shared" ref="N10:N20" si="5">IF(F10="","",F10)</f>
        <v>14</v>
      </c>
      <c r="O10" s="587"/>
      <c r="P10" s="587">
        <f t="shared" ref="P10:P12" si="6">O10*4</f>
        <v>0</v>
      </c>
      <c r="Q10" s="587">
        <f t="shared" ref="Q10:Q15" si="7">IF(H10="","",H10*8)</f>
        <v>744800</v>
      </c>
      <c r="R10" s="587">
        <f t="shared" ref="R10:R15" si="8">IF(OR(P10="",Q10=""),"",P10+Q10)</f>
        <v>744800</v>
      </c>
      <c r="S10" s="588"/>
      <c r="T10" s="588"/>
      <c r="U10" s="535"/>
    </row>
    <row r="11" spans="1:22" s="537" customFormat="1" ht="20.100000000000001" customHeight="1">
      <c r="A11" s="535">
        <v>3</v>
      </c>
      <c r="B11" s="577" t="str">
        <f>IF('Formet 8'!B14="","",'Formet 8'!B14)</f>
        <v>Jherh lhek</v>
      </c>
      <c r="C11" s="535"/>
      <c r="D11" s="578" t="str">
        <f>IF('Formet 8'!C14="","",'Formet 8'!C14)</f>
        <v>RJAJ199506021728</v>
      </c>
      <c r="E11" s="579" t="str">
        <f>IF('Formet 8'!E14="","",'Formet 8'!E14)</f>
        <v>LECTURER</v>
      </c>
      <c r="F11" s="580">
        <f>IF('Formet 8'!F14="","",'Formet 8'!F14)</f>
        <v>12</v>
      </c>
      <c r="G11" s="579">
        <f>IF('Formet 8'!G14="","",'Formet 8'!G14)</f>
        <v>46100</v>
      </c>
      <c r="H11" s="587">
        <f t="shared" si="0"/>
        <v>46100</v>
      </c>
      <c r="I11" s="587">
        <f t="shared" si="1"/>
        <v>553200</v>
      </c>
      <c r="J11" s="588">
        <v>46204</v>
      </c>
      <c r="K11" s="587">
        <f t="shared" si="2"/>
        <v>1400</v>
      </c>
      <c r="L11" s="587">
        <f t="shared" si="3"/>
        <v>11200</v>
      </c>
      <c r="M11" s="587">
        <f t="shared" si="4"/>
        <v>564400</v>
      </c>
      <c r="N11" s="580">
        <f t="shared" si="5"/>
        <v>12</v>
      </c>
      <c r="O11" s="587"/>
      <c r="P11" s="587">
        <f t="shared" si="6"/>
        <v>0</v>
      </c>
      <c r="Q11" s="587">
        <f t="shared" si="7"/>
        <v>368800</v>
      </c>
      <c r="R11" s="587">
        <f t="shared" si="8"/>
        <v>368800</v>
      </c>
      <c r="S11" s="588"/>
      <c r="T11" s="588"/>
      <c r="U11" s="535"/>
    </row>
    <row r="12" spans="1:22" s="537" customFormat="1" ht="20.100000000000001" customHeight="1">
      <c r="A12" s="535">
        <v>4</v>
      </c>
      <c r="B12" s="577" t="str">
        <f>IF('Formet 8'!B15="","",'Formet 8'!B15)</f>
        <v/>
      </c>
      <c r="C12" s="535"/>
      <c r="D12" s="578" t="str">
        <f>IF('Formet 8'!C15="","",'Formet 8'!C15)</f>
        <v/>
      </c>
      <c r="E12" s="579" t="str">
        <f>IF('Formet 8'!E15="","",'Formet 8'!E15)</f>
        <v/>
      </c>
      <c r="F12" s="580" t="str">
        <f>IF('Formet 8'!F15="","",'Formet 8'!F15)</f>
        <v/>
      </c>
      <c r="G12" s="579" t="str">
        <f>IF('Formet 8'!G15="","",'Formet 8'!G15)</f>
        <v/>
      </c>
      <c r="H12" s="587" t="str">
        <f t="shared" si="0"/>
        <v/>
      </c>
      <c r="I12" s="587" t="str">
        <f t="shared" si="1"/>
        <v/>
      </c>
      <c r="J12" s="588">
        <v>46204</v>
      </c>
      <c r="K12" s="587" t="str">
        <f t="shared" si="2"/>
        <v/>
      </c>
      <c r="L12" s="587" t="str">
        <f t="shared" si="3"/>
        <v/>
      </c>
      <c r="M12" s="587" t="str">
        <f t="shared" si="4"/>
        <v/>
      </c>
      <c r="N12" s="580" t="str">
        <f t="shared" si="5"/>
        <v/>
      </c>
      <c r="O12" s="587"/>
      <c r="P12" s="587">
        <f t="shared" si="6"/>
        <v>0</v>
      </c>
      <c r="Q12" s="587" t="str">
        <f t="shared" si="7"/>
        <v/>
      </c>
      <c r="R12" s="587" t="str">
        <f t="shared" si="8"/>
        <v/>
      </c>
      <c r="S12" s="588"/>
      <c r="T12" s="588"/>
      <c r="U12" s="535"/>
    </row>
    <row r="13" spans="1:22" s="537" customFormat="1" ht="20.100000000000001" customHeight="1">
      <c r="A13" s="535">
        <v>5</v>
      </c>
      <c r="B13" s="577" t="str">
        <f>IF('Formet 8'!B16="","",'Formet 8'!B16)</f>
        <v/>
      </c>
      <c r="C13" s="535"/>
      <c r="D13" s="578" t="str">
        <f>IF('Formet 8'!C16="","",'Formet 8'!C16)</f>
        <v/>
      </c>
      <c r="E13" s="579" t="str">
        <f>IF('Formet 8'!E16="","",'Formet 8'!E16)</f>
        <v/>
      </c>
      <c r="F13" s="580" t="str">
        <f>IF('Formet 8'!F16="","",'Formet 8'!F16)</f>
        <v/>
      </c>
      <c r="G13" s="579" t="str">
        <f>IF('Formet 8'!G16="","",'Formet 8'!G16)</f>
        <v/>
      </c>
      <c r="H13" s="587" t="str">
        <f t="shared" ref="H13" si="9">G13</f>
        <v/>
      </c>
      <c r="I13" s="587" t="str">
        <f t="shared" si="1"/>
        <v/>
      </c>
      <c r="J13" s="588"/>
      <c r="K13" s="587" t="str">
        <f t="shared" si="2"/>
        <v/>
      </c>
      <c r="L13" s="587" t="str">
        <f t="shared" si="3"/>
        <v/>
      </c>
      <c r="M13" s="587" t="str">
        <f t="shared" si="4"/>
        <v/>
      </c>
      <c r="N13" s="580" t="str">
        <f t="shared" ref="N13" si="10">IF(F13="","",F13)</f>
        <v/>
      </c>
      <c r="O13" s="587"/>
      <c r="P13" s="587">
        <f t="shared" ref="P13" si="11">O13*4</f>
        <v>0</v>
      </c>
      <c r="Q13" s="587" t="str">
        <f t="shared" si="7"/>
        <v/>
      </c>
      <c r="R13" s="587" t="str">
        <f t="shared" si="8"/>
        <v/>
      </c>
      <c r="S13" s="588"/>
      <c r="T13" s="588"/>
      <c r="U13" s="535"/>
    </row>
    <row r="14" spans="1:22" s="540" customFormat="1" ht="24.75" customHeight="1">
      <c r="A14" s="1090" t="s">
        <v>590</v>
      </c>
      <c r="B14" s="1091"/>
      <c r="C14" s="1091"/>
      <c r="D14" s="1091"/>
      <c r="E14" s="1091"/>
      <c r="F14" s="1091"/>
      <c r="G14" s="1092"/>
      <c r="H14" s="538">
        <f>SUM(H9:H13)</f>
        <v>210500</v>
      </c>
      <c r="I14" s="538">
        <f t="shared" ref="I14:R14" si="12">SUM(I9:I13)</f>
        <v>2526000</v>
      </c>
      <c r="J14" s="538"/>
      <c r="K14" s="538">
        <f t="shared" si="12"/>
        <v>6300</v>
      </c>
      <c r="L14" s="538">
        <f t="shared" si="12"/>
        <v>50400</v>
      </c>
      <c r="M14" s="538">
        <f t="shared" si="12"/>
        <v>2576400</v>
      </c>
      <c r="N14" s="538"/>
      <c r="O14" s="538">
        <f t="shared" si="12"/>
        <v>0</v>
      </c>
      <c r="P14" s="538">
        <f t="shared" si="12"/>
        <v>0</v>
      </c>
      <c r="Q14" s="538">
        <f t="shared" si="12"/>
        <v>1684000</v>
      </c>
      <c r="R14" s="538">
        <f t="shared" si="12"/>
        <v>1684000</v>
      </c>
      <c r="S14" s="536"/>
      <c r="T14" s="536"/>
      <c r="U14" s="539"/>
    </row>
    <row r="15" spans="1:22" s="542" customFormat="1" ht="20.100000000000001" customHeight="1">
      <c r="A15" s="541">
        <v>1</v>
      </c>
      <c r="B15" s="577" t="str">
        <f>IF('Formet 8'!B28="","",'Formet 8'!B28)</f>
        <v>Jh lqjs'k pUn flaxkfM+;k</v>
      </c>
      <c r="C15" s="541"/>
      <c r="D15" s="578" t="str">
        <f>IF('Formet 8'!C28="","",'Formet 8'!C28)</f>
        <v>RJAJ199506021728</v>
      </c>
      <c r="E15" s="579" t="str">
        <f>IF('Formet 8'!E28="","",'Formet 8'!E28)</f>
        <v>TEACHER-II</v>
      </c>
      <c r="F15" s="580">
        <f>IF('Formet 8'!F28="","",'Formet 8'!F28)</f>
        <v>12</v>
      </c>
      <c r="G15" s="579">
        <f>IF('Formet 8'!G28="","",'Formet 8'!G28)</f>
        <v>53900</v>
      </c>
      <c r="H15" s="587">
        <f>G15</f>
        <v>53900</v>
      </c>
      <c r="I15" s="587">
        <f t="shared" si="1"/>
        <v>646800</v>
      </c>
      <c r="J15" s="588">
        <v>44378</v>
      </c>
      <c r="K15" s="587">
        <f t="shared" si="2"/>
        <v>1600</v>
      </c>
      <c r="L15" s="587">
        <f t="shared" si="3"/>
        <v>12800</v>
      </c>
      <c r="M15" s="587">
        <f t="shared" si="4"/>
        <v>659600</v>
      </c>
      <c r="N15" s="594">
        <f t="shared" si="5"/>
        <v>12</v>
      </c>
      <c r="O15" s="587"/>
      <c r="P15" s="587">
        <f t="shared" ref="P15:P20" si="13">O15*4</f>
        <v>0</v>
      </c>
      <c r="Q15" s="587">
        <f t="shared" si="7"/>
        <v>431200</v>
      </c>
      <c r="R15" s="587">
        <f t="shared" si="8"/>
        <v>431200</v>
      </c>
      <c r="S15" s="588"/>
      <c r="T15" s="588"/>
      <c r="U15" s="589"/>
    </row>
    <row r="16" spans="1:22" s="542" customFormat="1" ht="20.100000000000001" customHeight="1">
      <c r="A16" s="541">
        <v>2</v>
      </c>
      <c r="B16" s="577" t="str">
        <f>IF('Formet 8'!B29="","",'Formet 8'!B29)</f>
        <v>Jh jkds'k dqekj 'kekZ</v>
      </c>
      <c r="C16" s="541"/>
      <c r="D16" s="578" t="str">
        <f>IF('Formet 8'!C29="","",'Formet 8'!C29)</f>
        <v>RJAJ199506021728</v>
      </c>
      <c r="E16" s="579" t="str">
        <f>IF('Formet 8'!E29="","",'Formet 8'!E29)</f>
        <v>TEACHER-II</v>
      </c>
      <c r="F16" s="580">
        <f>IF('Formet 8'!F29="","",'Formet 8'!F29)</f>
        <v>11</v>
      </c>
      <c r="G16" s="579">
        <f>IF('Formet 8'!G29="","",'Formet 8'!G29)</f>
        <v>45600</v>
      </c>
      <c r="H16" s="587">
        <f t="shared" ref="H16:H22" si="14">G16</f>
        <v>45600</v>
      </c>
      <c r="I16" s="587">
        <f t="shared" si="1"/>
        <v>547200</v>
      </c>
      <c r="J16" s="588">
        <v>44378</v>
      </c>
      <c r="K16" s="587">
        <f t="shared" ref="K16:K22" si="15">IF(H16="","",ROUND(H16*3%,-2))</f>
        <v>1400</v>
      </c>
      <c r="L16" s="587">
        <f t="shared" si="3"/>
        <v>11200</v>
      </c>
      <c r="M16" s="587">
        <f t="shared" ref="M16:M22" si="16">IF(OR(I16="",L16=""),"",L16+I16)</f>
        <v>558400</v>
      </c>
      <c r="N16" s="594">
        <f t="shared" si="5"/>
        <v>11</v>
      </c>
      <c r="O16" s="587"/>
      <c r="P16" s="587">
        <f t="shared" si="13"/>
        <v>0</v>
      </c>
      <c r="Q16" s="587">
        <f t="shared" ref="Q16:Q22" si="17">IF(H16="","",H16*8)</f>
        <v>364800</v>
      </c>
      <c r="R16" s="587">
        <f t="shared" ref="R16:R22" si="18">IF(OR(P16="",Q16=""),"",P16+Q16)</f>
        <v>364800</v>
      </c>
      <c r="S16" s="588"/>
      <c r="T16" s="588"/>
      <c r="U16" s="589"/>
    </row>
    <row r="17" spans="1:21" s="542" customFormat="1" ht="20.100000000000001" customHeight="1">
      <c r="A17" s="541">
        <v>3</v>
      </c>
      <c r="B17" s="577" t="str">
        <f>IF('Formet 8'!B30="","",'Formet 8'!B30)</f>
        <v>Jh ghjkyky tkV</v>
      </c>
      <c r="C17" s="541"/>
      <c r="D17" s="578" t="str">
        <f>IF('Formet 8'!C30="","",'Formet 8'!C30)</f>
        <v>RJAJ199506021728</v>
      </c>
      <c r="E17" s="579" t="str">
        <f>IF('Formet 8'!E30="","",'Formet 8'!E30)</f>
        <v>TEACHER-II</v>
      </c>
      <c r="F17" s="580">
        <f>IF('Formet 8'!F30="","",'Formet 8'!F30)</f>
        <v>12</v>
      </c>
      <c r="G17" s="579">
        <f>IF('Formet 8'!G30="","",'Formet 8'!G30)</f>
        <v>61300</v>
      </c>
      <c r="H17" s="587">
        <f t="shared" si="14"/>
        <v>61300</v>
      </c>
      <c r="I17" s="587">
        <f t="shared" si="1"/>
        <v>735600</v>
      </c>
      <c r="J17" s="588">
        <v>44378</v>
      </c>
      <c r="K17" s="587">
        <f t="shared" si="15"/>
        <v>1800</v>
      </c>
      <c r="L17" s="587">
        <f t="shared" si="3"/>
        <v>14400</v>
      </c>
      <c r="M17" s="587">
        <f t="shared" si="16"/>
        <v>750000</v>
      </c>
      <c r="N17" s="594">
        <f t="shared" si="5"/>
        <v>12</v>
      </c>
      <c r="O17" s="587"/>
      <c r="P17" s="587">
        <f t="shared" si="13"/>
        <v>0</v>
      </c>
      <c r="Q17" s="587">
        <f t="shared" si="17"/>
        <v>490400</v>
      </c>
      <c r="R17" s="587">
        <f t="shared" si="18"/>
        <v>490400</v>
      </c>
      <c r="S17" s="588"/>
      <c r="T17" s="588"/>
      <c r="U17" s="590"/>
    </row>
    <row r="18" spans="1:21" s="542" customFormat="1" ht="20.100000000000001" customHeight="1">
      <c r="A18" s="541">
        <v>4</v>
      </c>
      <c r="B18" s="577" t="str">
        <f>IF('Formet 8'!B31="","",'Formet 8'!B31)</f>
        <v>Jh 'kjn 'kekZ</v>
      </c>
      <c r="C18" s="541"/>
      <c r="D18" s="578" t="str">
        <f>IF('Formet 8'!C31="","",'Formet 8'!C31)</f>
        <v>RJAJ199506021728</v>
      </c>
      <c r="E18" s="579" t="str">
        <f>IF('Formet 8'!E31="","",'Formet 8'!E31)</f>
        <v>TEACHER-II</v>
      </c>
      <c r="F18" s="580">
        <f>IF('Formet 8'!F31="","",'Formet 8'!F31)</f>
        <v>11</v>
      </c>
      <c r="G18" s="579">
        <f>IF('Formet 8'!G31="","",'Formet 8'!G31)</f>
        <v>41300</v>
      </c>
      <c r="H18" s="587">
        <f t="shared" si="14"/>
        <v>41300</v>
      </c>
      <c r="I18" s="587">
        <f t="shared" si="1"/>
        <v>495600</v>
      </c>
      <c r="J18" s="588">
        <v>44378</v>
      </c>
      <c r="K18" s="587">
        <f t="shared" si="15"/>
        <v>1200</v>
      </c>
      <c r="L18" s="587">
        <f t="shared" si="3"/>
        <v>9600</v>
      </c>
      <c r="M18" s="587">
        <f t="shared" si="16"/>
        <v>505200</v>
      </c>
      <c r="N18" s="594">
        <f t="shared" si="5"/>
        <v>11</v>
      </c>
      <c r="O18" s="587"/>
      <c r="P18" s="587">
        <f t="shared" si="13"/>
        <v>0</v>
      </c>
      <c r="Q18" s="587">
        <f t="shared" si="17"/>
        <v>330400</v>
      </c>
      <c r="R18" s="587">
        <f t="shared" si="18"/>
        <v>330400</v>
      </c>
      <c r="S18" s="588"/>
      <c r="T18" s="588"/>
      <c r="U18" s="591"/>
    </row>
    <row r="19" spans="1:21" s="542" customFormat="1" ht="20.100000000000001" customHeight="1">
      <c r="A19" s="541">
        <v>5</v>
      </c>
      <c r="B19" s="577" t="str">
        <f>IF('Formet 8'!B32="","",'Formet 8'!B32)</f>
        <v>Jh jk/ks';ke</v>
      </c>
      <c r="C19" s="541"/>
      <c r="D19" s="578" t="str">
        <f>IF('Formet 8'!C32="","",'Formet 8'!C32)</f>
        <v>RJAJ199506021728</v>
      </c>
      <c r="E19" s="579" t="str">
        <f>IF('Formet 8'!E32="","",'Formet 8'!E32)</f>
        <v>TEACHER-II</v>
      </c>
      <c r="F19" s="580">
        <f>IF('Formet 8'!F32="","",'Formet 8'!F32)</f>
        <v>12</v>
      </c>
      <c r="G19" s="579">
        <f>IF('Formet 8'!G32="","",'Formet 8'!G32)</f>
        <v>69300</v>
      </c>
      <c r="H19" s="587">
        <f t="shared" si="14"/>
        <v>69300</v>
      </c>
      <c r="I19" s="587">
        <f t="shared" si="1"/>
        <v>831600</v>
      </c>
      <c r="J19" s="588">
        <v>44378</v>
      </c>
      <c r="K19" s="587">
        <f t="shared" si="15"/>
        <v>2100</v>
      </c>
      <c r="L19" s="587">
        <f t="shared" si="3"/>
        <v>16800</v>
      </c>
      <c r="M19" s="587">
        <f t="shared" si="16"/>
        <v>848400</v>
      </c>
      <c r="N19" s="594">
        <f t="shared" si="5"/>
        <v>12</v>
      </c>
      <c r="O19" s="587"/>
      <c r="P19" s="587">
        <f t="shared" si="13"/>
        <v>0</v>
      </c>
      <c r="Q19" s="587">
        <f t="shared" si="17"/>
        <v>554400</v>
      </c>
      <c r="R19" s="587">
        <f t="shared" si="18"/>
        <v>554400</v>
      </c>
      <c r="S19" s="588"/>
      <c r="T19" s="588"/>
      <c r="U19" s="590"/>
    </row>
    <row r="20" spans="1:21" s="542" customFormat="1" ht="20.100000000000001" customHeight="1">
      <c r="A20" s="541">
        <v>6</v>
      </c>
      <c r="B20" s="577" t="str">
        <f>IF('Formet 8'!B33="","",'Formet 8'!B33)</f>
        <v>Jh izdk'k pUn</v>
      </c>
      <c r="C20" s="541"/>
      <c r="D20" s="578" t="str">
        <f>IF('Formet 8'!C33="","",'Formet 8'!C33)</f>
        <v>RJAJ199506021728</v>
      </c>
      <c r="E20" s="579" t="str">
        <f>IF('Formet 8'!E33="","",'Formet 8'!E33)</f>
        <v>TEACHER-III</v>
      </c>
      <c r="F20" s="580">
        <f>IF('Formet 8'!F33="","",'Formet 8'!F33)</f>
        <v>10</v>
      </c>
      <c r="G20" s="579">
        <f>IF('Formet 8'!G33="","",'Formet 8'!G33)</f>
        <v>41100</v>
      </c>
      <c r="H20" s="587">
        <f t="shared" si="14"/>
        <v>41100</v>
      </c>
      <c r="I20" s="587">
        <f t="shared" si="1"/>
        <v>493200</v>
      </c>
      <c r="J20" s="588">
        <v>44378</v>
      </c>
      <c r="K20" s="587">
        <f t="shared" si="15"/>
        <v>1200</v>
      </c>
      <c r="L20" s="587">
        <f t="shared" si="3"/>
        <v>9600</v>
      </c>
      <c r="M20" s="587">
        <f t="shared" si="16"/>
        <v>502800</v>
      </c>
      <c r="N20" s="594">
        <f t="shared" si="5"/>
        <v>10</v>
      </c>
      <c r="O20" s="587"/>
      <c r="P20" s="587">
        <f t="shared" si="13"/>
        <v>0</v>
      </c>
      <c r="Q20" s="587">
        <f t="shared" si="17"/>
        <v>328800</v>
      </c>
      <c r="R20" s="587">
        <f t="shared" si="18"/>
        <v>328800</v>
      </c>
      <c r="S20" s="588"/>
      <c r="T20" s="588"/>
      <c r="U20" s="592"/>
    </row>
    <row r="21" spans="1:21" s="542" customFormat="1" ht="20.100000000000001" customHeight="1">
      <c r="A21" s="541">
        <v>7</v>
      </c>
      <c r="B21" s="577" t="str">
        <f>IF('Formet 8'!B34="","",'Formet 8'!B34)</f>
        <v>Jherh eerk yokfu;k</v>
      </c>
      <c r="C21" s="541"/>
      <c r="D21" s="578" t="str">
        <f>IF('Formet 8'!C34="","",'Formet 8'!C34)</f>
        <v>RJAJ199506021728</v>
      </c>
      <c r="E21" s="579" t="str">
        <f>IF('Formet 8'!E34="","",'Formet 8'!E34)</f>
        <v>TEACHER-III</v>
      </c>
      <c r="F21" s="580">
        <f>IF('Formet 8'!F34="","",'Formet 8'!F34)</f>
        <v>11</v>
      </c>
      <c r="G21" s="579">
        <f>IF('Formet 8'!G34="","",'Formet 8'!G34)</f>
        <v>41100</v>
      </c>
      <c r="H21" s="587">
        <f t="shared" si="14"/>
        <v>41100</v>
      </c>
      <c r="I21" s="587">
        <f t="shared" si="1"/>
        <v>493200</v>
      </c>
      <c r="J21" s="588">
        <v>44378</v>
      </c>
      <c r="K21" s="587">
        <f t="shared" si="15"/>
        <v>1200</v>
      </c>
      <c r="L21" s="587">
        <f t="shared" si="3"/>
        <v>9600</v>
      </c>
      <c r="M21" s="587">
        <f t="shared" si="16"/>
        <v>502800</v>
      </c>
      <c r="N21" s="594">
        <f t="shared" ref="N21:N22" si="19">IF(F21="","",F21)</f>
        <v>11</v>
      </c>
      <c r="O21" s="587"/>
      <c r="P21" s="587">
        <f t="shared" ref="P21:P22" si="20">O21*4</f>
        <v>0</v>
      </c>
      <c r="Q21" s="587">
        <f t="shared" si="17"/>
        <v>328800</v>
      </c>
      <c r="R21" s="587">
        <f t="shared" si="18"/>
        <v>328800</v>
      </c>
      <c r="S21" s="588"/>
      <c r="T21" s="588"/>
      <c r="U21" s="592"/>
    </row>
    <row r="22" spans="1:21" s="542" customFormat="1" ht="20.100000000000001" customHeight="1">
      <c r="A22" s="541">
        <v>8</v>
      </c>
      <c r="B22" s="577" t="str">
        <f>IF('Formet 8'!B35="","",'Formet 8'!B35)</f>
        <v>Jh lEirjkt</v>
      </c>
      <c r="C22" s="541"/>
      <c r="D22" s="578" t="str">
        <f>IF('Formet 8'!C35="","",'Formet 8'!C35)</f>
        <v>RJAJ199506021728</v>
      </c>
      <c r="E22" s="579" t="str">
        <f>IF('Formet 8'!E35="","",'Formet 8'!E35)</f>
        <v>TEACHER-III</v>
      </c>
      <c r="F22" s="580">
        <f>IF('Formet 8'!F35="","",'Formet 8'!F35)</f>
        <v>10</v>
      </c>
      <c r="G22" s="579">
        <f>IF('Formet 8'!G35="","",'Formet 8'!G35)</f>
        <v>41100</v>
      </c>
      <c r="H22" s="587">
        <f t="shared" si="14"/>
        <v>41100</v>
      </c>
      <c r="I22" s="587">
        <f t="shared" si="1"/>
        <v>493200</v>
      </c>
      <c r="J22" s="588">
        <v>44378</v>
      </c>
      <c r="K22" s="587">
        <f t="shared" si="15"/>
        <v>1200</v>
      </c>
      <c r="L22" s="587">
        <f t="shared" si="3"/>
        <v>9600</v>
      </c>
      <c r="M22" s="587">
        <f t="shared" si="16"/>
        <v>502800</v>
      </c>
      <c r="N22" s="594">
        <f t="shared" si="19"/>
        <v>10</v>
      </c>
      <c r="O22" s="587"/>
      <c r="P22" s="587">
        <f t="shared" si="20"/>
        <v>0</v>
      </c>
      <c r="Q22" s="587">
        <f t="shared" si="17"/>
        <v>328800</v>
      </c>
      <c r="R22" s="587">
        <f t="shared" si="18"/>
        <v>328800</v>
      </c>
      <c r="S22" s="588"/>
      <c r="T22" s="588"/>
      <c r="U22" s="592"/>
    </row>
    <row r="23" spans="1:21" s="540" customFormat="1" ht="15.75">
      <c r="A23" s="1093" t="s">
        <v>616</v>
      </c>
      <c r="B23" s="1094"/>
      <c r="C23" s="1094"/>
      <c r="D23" s="1094"/>
      <c r="E23" s="1094"/>
      <c r="F23" s="1094"/>
      <c r="G23" s="1095"/>
      <c r="H23" s="595">
        <f>SUM(H15:H22)</f>
        <v>394700</v>
      </c>
      <c r="I23" s="595">
        <f>SUM(I15:I22)</f>
        <v>4736400</v>
      </c>
      <c r="J23" s="595"/>
      <c r="K23" s="595">
        <f>SUM(K15:K22)</f>
        <v>11700</v>
      </c>
      <c r="L23" s="595">
        <f t="shared" ref="L23:M23" si="21">SUM(L15:L22)</f>
        <v>93600</v>
      </c>
      <c r="M23" s="595">
        <f t="shared" si="21"/>
        <v>4830000</v>
      </c>
      <c r="N23" s="595"/>
      <c r="O23" s="595">
        <f>SUM(O15:O22)</f>
        <v>0</v>
      </c>
      <c r="P23" s="595">
        <f t="shared" ref="P23:R23" si="22">SUM(P15:P22)</f>
        <v>0</v>
      </c>
      <c r="Q23" s="595">
        <f t="shared" si="22"/>
        <v>3157600</v>
      </c>
      <c r="R23" s="595">
        <f t="shared" si="22"/>
        <v>3157600</v>
      </c>
      <c r="S23" s="588"/>
      <c r="T23" s="588"/>
      <c r="U23" s="593"/>
    </row>
    <row r="24" spans="1:21" s="540" customFormat="1" ht="21" customHeight="1">
      <c r="A24" s="1096" t="s">
        <v>591</v>
      </c>
      <c r="B24" s="1097"/>
      <c r="C24" s="1097"/>
      <c r="D24" s="1097"/>
      <c r="E24" s="1097"/>
      <c r="F24" s="1097"/>
      <c r="G24" s="1098"/>
      <c r="H24" s="595">
        <f>SUM(H14+H23)</f>
        <v>605200</v>
      </c>
      <c r="I24" s="595">
        <f t="shared" ref="I24:R24" si="23">SUM(I14+I23)</f>
        <v>7262400</v>
      </c>
      <c r="J24" s="595"/>
      <c r="K24" s="595">
        <f t="shared" si="23"/>
        <v>18000</v>
      </c>
      <c r="L24" s="595">
        <f t="shared" si="23"/>
        <v>144000</v>
      </c>
      <c r="M24" s="595">
        <f t="shared" si="23"/>
        <v>7406400</v>
      </c>
      <c r="N24" s="595"/>
      <c r="O24" s="595">
        <f t="shared" si="23"/>
        <v>0</v>
      </c>
      <c r="P24" s="595">
        <f t="shared" si="23"/>
        <v>0</v>
      </c>
      <c r="Q24" s="595">
        <f t="shared" si="23"/>
        <v>4841600</v>
      </c>
      <c r="R24" s="595">
        <f t="shared" si="23"/>
        <v>4841600</v>
      </c>
      <c r="S24" s="587"/>
      <c r="T24" s="587"/>
      <c r="U24" s="593"/>
    </row>
    <row r="25" spans="1:21" s="543" customFormat="1" ht="21" customHeight="1">
      <c r="A25" s="1096" t="s">
        <v>592</v>
      </c>
      <c r="B25" s="1097"/>
      <c r="C25" s="1097"/>
      <c r="D25" s="1097"/>
      <c r="E25" s="1097"/>
      <c r="F25" s="1097"/>
      <c r="G25" s="1098"/>
      <c r="H25" s="595">
        <f>H24</f>
        <v>605200</v>
      </c>
      <c r="I25" s="595">
        <f t="shared" ref="I25:R25" si="24">I24</f>
        <v>7262400</v>
      </c>
      <c r="J25" s="595"/>
      <c r="K25" s="595">
        <f t="shared" si="24"/>
        <v>18000</v>
      </c>
      <c r="L25" s="595">
        <f t="shared" si="24"/>
        <v>144000</v>
      </c>
      <c r="M25" s="595">
        <f t="shared" si="24"/>
        <v>7406400</v>
      </c>
      <c r="N25" s="595"/>
      <c r="O25" s="595">
        <f t="shared" si="24"/>
        <v>0</v>
      </c>
      <c r="P25" s="595">
        <f t="shared" si="24"/>
        <v>0</v>
      </c>
      <c r="Q25" s="595">
        <f t="shared" si="24"/>
        <v>4841600</v>
      </c>
      <c r="R25" s="595">
        <f t="shared" si="24"/>
        <v>4841600</v>
      </c>
      <c r="S25" s="587"/>
      <c r="T25" s="587"/>
      <c r="U25" s="581"/>
    </row>
    <row r="26" spans="1:21" s="543" customFormat="1" ht="16.5">
      <c r="I26" s="611"/>
      <c r="J26" s="612"/>
      <c r="K26" s="1121" t="s">
        <v>806</v>
      </c>
      <c r="L26" s="1121"/>
      <c r="M26" s="1121"/>
      <c r="N26" s="1122"/>
      <c r="O26" s="1123" t="s">
        <v>810</v>
      </c>
      <c r="P26" s="1124"/>
      <c r="Q26" s="1124"/>
      <c r="R26" s="1125"/>
      <c r="S26" s="544"/>
      <c r="T26" s="544"/>
    </row>
    <row r="27" spans="1:21" s="543" customFormat="1" ht="15.75">
      <c r="A27" s="1127" t="s">
        <v>550</v>
      </c>
      <c r="B27" s="1127"/>
      <c r="D27" s="584" t="s">
        <v>372</v>
      </c>
      <c r="E27" s="584" t="s">
        <v>593</v>
      </c>
      <c r="F27" s="584" t="s">
        <v>594</v>
      </c>
      <c r="G27" s="584" t="s">
        <v>595</v>
      </c>
      <c r="I27" s="611"/>
      <c r="J27" s="613"/>
      <c r="K27" s="613"/>
      <c r="L27" s="614" t="s">
        <v>811</v>
      </c>
      <c r="M27" s="1107">
        <f>ROUND(M24*34%,0)</f>
        <v>2518176</v>
      </c>
      <c r="N27" s="1108"/>
      <c r="O27" s="623"/>
      <c r="P27" s="613"/>
      <c r="Q27" s="1107">
        <f>ROUND(R24*34%,0)</f>
        <v>1646144</v>
      </c>
      <c r="R27" s="1108"/>
      <c r="S27" s="586"/>
      <c r="T27" s="545"/>
    </row>
    <row r="28" spans="1:21" s="543" customFormat="1" ht="15.75">
      <c r="A28" s="1127"/>
      <c r="B28" s="1127"/>
      <c r="D28" s="582" t="s">
        <v>53</v>
      </c>
      <c r="E28" s="659"/>
      <c r="F28" s="659"/>
      <c r="G28" s="659">
        <f>E28-F28</f>
        <v>0</v>
      </c>
      <c r="I28" s="603"/>
      <c r="J28" s="615"/>
      <c r="K28" s="615"/>
      <c r="L28" s="616" t="s">
        <v>812</v>
      </c>
      <c r="M28" s="1086">
        <v>0</v>
      </c>
      <c r="N28" s="1087"/>
      <c r="O28" s="623"/>
      <c r="P28" s="613"/>
      <c r="Q28" s="1107">
        <f>ROUND(O24*5%,0)*8</f>
        <v>0</v>
      </c>
      <c r="R28" s="1108"/>
      <c r="S28" s="586"/>
      <c r="T28" s="545"/>
    </row>
    <row r="29" spans="1:21" s="543" customFormat="1" ht="15.75">
      <c r="A29" s="1127"/>
      <c r="B29" s="1127"/>
      <c r="D29" s="582" t="s">
        <v>197</v>
      </c>
      <c r="E29" s="659"/>
      <c r="F29" s="659"/>
      <c r="G29" s="659">
        <f t="shared" ref="G29:G38" si="25">E29-F29</f>
        <v>0</v>
      </c>
      <c r="I29" s="611"/>
      <c r="J29" s="613"/>
      <c r="K29" s="613"/>
      <c r="L29" s="614" t="s">
        <v>813</v>
      </c>
      <c r="M29" s="1107">
        <f>ROUND(M24*9%,0)</f>
        <v>666576</v>
      </c>
      <c r="N29" s="1108"/>
      <c r="O29" s="624"/>
      <c r="P29" s="617"/>
      <c r="Q29" s="1109">
        <f>ROUND(R25*9%,0)</f>
        <v>435744</v>
      </c>
      <c r="R29" s="1110"/>
      <c r="S29" s="586"/>
      <c r="T29" s="545"/>
    </row>
    <row r="30" spans="1:21" s="543" customFormat="1" ht="15.75">
      <c r="A30" s="1127"/>
      <c r="B30" s="1127"/>
      <c r="D30" s="582" t="s">
        <v>553</v>
      </c>
      <c r="E30" s="659"/>
      <c r="F30" s="659"/>
      <c r="G30" s="659">
        <f t="shared" si="25"/>
        <v>0</v>
      </c>
      <c r="I30" s="607"/>
      <c r="J30" s="617"/>
      <c r="K30" s="617"/>
      <c r="L30" s="618" t="s">
        <v>596</v>
      </c>
      <c r="M30" s="1109">
        <f>ROUND((H24/2)*1.17,0)</f>
        <v>354042</v>
      </c>
      <c r="N30" s="1110"/>
      <c r="O30" s="623"/>
      <c r="P30" s="613"/>
      <c r="Q30" s="1107">
        <f>M30</f>
        <v>354042</v>
      </c>
      <c r="R30" s="1108"/>
      <c r="S30" s="586"/>
      <c r="T30" s="545"/>
    </row>
    <row r="31" spans="1:21" s="543" customFormat="1" ht="15.75">
      <c r="A31" s="1127"/>
      <c r="B31" s="1127"/>
      <c r="D31" s="582" t="s">
        <v>60</v>
      </c>
      <c r="E31" s="659"/>
      <c r="F31" s="659"/>
      <c r="G31" s="659">
        <f t="shared" si="25"/>
        <v>0</v>
      </c>
      <c r="I31" s="619"/>
      <c r="J31" s="620"/>
      <c r="K31" s="620"/>
      <c r="L31" s="621" t="s">
        <v>597</v>
      </c>
      <c r="M31" s="1107">
        <v>0</v>
      </c>
      <c r="N31" s="1108"/>
      <c r="O31" s="625"/>
      <c r="P31" s="626"/>
      <c r="Q31" s="1107">
        <f>M31</f>
        <v>0</v>
      </c>
      <c r="R31" s="1108"/>
      <c r="S31" s="586"/>
      <c r="T31" s="545"/>
    </row>
    <row r="32" spans="1:21" s="543" customFormat="1" ht="15.75">
      <c r="A32" s="1127"/>
      <c r="B32" s="1127"/>
      <c r="D32" s="583" t="s">
        <v>211</v>
      </c>
      <c r="E32" s="660"/>
      <c r="F32" s="660"/>
      <c r="G32" s="659">
        <f t="shared" si="25"/>
        <v>0</v>
      </c>
      <c r="I32" s="603"/>
      <c r="J32" s="615"/>
      <c r="K32" s="615"/>
      <c r="L32" s="616" t="s">
        <v>598</v>
      </c>
      <c r="M32" s="1113">
        <v>0</v>
      </c>
      <c r="N32" s="1114"/>
      <c r="O32" s="623"/>
      <c r="P32" s="613"/>
      <c r="Q32" s="1107">
        <f>M32</f>
        <v>0</v>
      </c>
      <c r="R32" s="1108"/>
      <c r="S32" s="586"/>
      <c r="T32" s="545"/>
    </row>
    <row r="33" spans="1:21" s="543" customFormat="1" ht="15.75">
      <c r="A33" s="1127"/>
      <c r="B33" s="1127"/>
      <c r="D33" s="582" t="s">
        <v>214</v>
      </c>
      <c r="E33" s="660"/>
      <c r="F33" s="660"/>
      <c r="G33" s="659">
        <f t="shared" si="25"/>
        <v>0</v>
      </c>
      <c r="I33" s="611"/>
      <c r="J33" s="613"/>
      <c r="K33" s="613"/>
      <c r="L33" s="614" t="s">
        <v>599</v>
      </c>
      <c r="M33" s="1115">
        <v>0</v>
      </c>
      <c r="N33" s="1116"/>
      <c r="O33" s="623"/>
      <c r="P33" s="613"/>
      <c r="Q33" s="1107">
        <f>M33</f>
        <v>0</v>
      </c>
      <c r="R33" s="1108"/>
      <c r="S33" s="586"/>
      <c r="T33" s="545"/>
    </row>
    <row r="34" spans="1:21" s="543" customFormat="1" ht="15.75">
      <c r="A34" s="1127"/>
      <c r="B34" s="1127"/>
      <c r="D34" s="582" t="s">
        <v>62</v>
      </c>
      <c r="E34" s="660"/>
      <c r="F34" s="660"/>
      <c r="G34" s="659">
        <f t="shared" si="25"/>
        <v>0</v>
      </c>
      <c r="I34" s="604"/>
      <c r="J34" s="605"/>
      <c r="K34" s="605"/>
      <c r="L34" s="606" t="s">
        <v>600</v>
      </c>
      <c r="M34" s="1117">
        <v>0</v>
      </c>
      <c r="N34" s="1118"/>
      <c r="O34" s="623"/>
      <c r="P34" s="613"/>
      <c r="Q34" s="1107">
        <v>0</v>
      </c>
      <c r="R34" s="1108"/>
      <c r="S34" s="586"/>
      <c r="T34" s="1046" t="str">
        <f>CONCATENATE("¼ ",Master!G3,"½")</f>
        <v>¼ m"kk ikfy;k½</v>
      </c>
      <c r="U34" s="1046"/>
    </row>
    <row r="35" spans="1:21" s="543" customFormat="1" ht="16.5">
      <c r="D35" s="582" t="s">
        <v>217</v>
      </c>
      <c r="E35" s="660"/>
      <c r="F35" s="660"/>
      <c r="G35" s="659">
        <f t="shared" si="25"/>
        <v>0</v>
      </c>
      <c r="I35" s="611"/>
      <c r="J35" s="613"/>
      <c r="K35" s="613"/>
      <c r="L35" s="614" t="s">
        <v>601</v>
      </c>
      <c r="M35" s="1107">
        <v>0</v>
      </c>
      <c r="N35" s="1108"/>
      <c r="O35" s="623"/>
      <c r="P35" s="613"/>
      <c r="Q35" s="1107">
        <f>M35</f>
        <v>0</v>
      </c>
      <c r="R35" s="1108"/>
      <c r="S35" s="586"/>
      <c r="T35" s="1042" t="str">
        <f>Master!C2</f>
        <v>iz/kkukpk;Z</v>
      </c>
      <c r="U35" s="1042"/>
    </row>
    <row r="36" spans="1:21" s="543" customFormat="1" ht="15.75">
      <c r="B36" s="571" t="s">
        <v>617</v>
      </c>
      <c r="D36" s="582" t="s">
        <v>64</v>
      </c>
      <c r="E36" s="660"/>
      <c r="F36" s="660"/>
      <c r="G36" s="659">
        <f t="shared" si="25"/>
        <v>0</v>
      </c>
      <c r="I36" s="607"/>
      <c r="J36" s="617"/>
      <c r="K36" s="617"/>
      <c r="L36" s="618" t="s">
        <v>602</v>
      </c>
      <c r="M36" s="1109">
        <v>0</v>
      </c>
      <c r="N36" s="1110"/>
      <c r="O36" s="623"/>
      <c r="P36" s="613"/>
      <c r="Q36" s="1107">
        <f>M36</f>
        <v>0</v>
      </c>
      <c r="R36" s="1108"/>
      <c r="S36" s="586"/>
      <c r="T36" s="923" t="str">
        <f>Master!D2</f>
        <v>egkRek xka/kh jktdh; fo|ky; ¼vaxzsth ek/;e½ cj ] C;koj</v>
      </c>
      <c r="U36" s="923"/>
    </row>
    <row r="37" spans="1:21" s="543" customFormat="1" ht="15.75">
      <c r="B37" s="599"/>
      <c r="D37" s="582" t="s">
        <v>554</v>
      </c>
      <c r="E37" s="660"/>
      <c r="F37" s="660"/>
      <c r="G37" s="659">
        <f t="shared" si="25"/>
        <v>0</v>
      </c>
      <c r="I37" s="611"/>
      <c r="J37" s="613"/>
      <c r="K37" s="613"/>
      <c r="L37" s="614" t="s">
        <v>603</v>
      </c>
      <c r="M37" s="1107">
        <v>0</v>
      </c>
      <c r="N37" s="1108"/>
      <c r="O37" s="623"/>
      <c r="P37" s="613"/>
      <c r="Q37" s="1107">
        <v>0</v>
      </c>
      <c r="R37" s="1108"/>
      <c r="S37" s="586"/>
      <c r="T37" s="923"/>
      <c r="U37" s="923"/>
    </row>
    <row r="38" spans="1:21" s="543" customFormat="1" ht="18" customHeight="1">
      <c r="B38" s="1126"/>
      <c r="D38" s="582" t="s">
        <v>65</v>
      </c>
      <c r="E38" s="659"/>
      <c r="F38" s="659"/>
      <c r="G38" s="659">
        <f t="shared" si="25"/>
        <v>0</v>
      </c>
      <c r="I38" s="611"/>
      <c r="J38" s="613"/>
      <c r="K38" s="613"/>
      <c r="L38" s="614"/>
      <c r="M38" s="1107">
        <v>0</v>
      </c>
      <c r="N38" s="1108"/>
      <c r="O38" s="623"/>
      <c r="P38" s="613"/>
      <c r="Q38" s="1107">
        <v>0</v>
      </c>
      <c r="R38" s="1108"/>
      <c r="S38" s="586"/>
      <c r="T38" s="923"/>
      <c r="U38" s="923"/>
    </row>
    <row r="39" spans="1:21" s="543" customFormat="1" ht="18.75">
      <c r="B39" s="1126"/>
      <c r="D39" s="582" t="s">
        <v>70</v>
      </c>
      <c r="E39" s="585">
        <f>SUM(E28:E38)</f>
        <v>0</v>
      </c>
      <c r="F39" s="585">
        <f>SUM(F28:F38)</f>
        <v>0</v>
      </c>
      <c r="G39" s="585">
        <f>SUM(G28:G38)</f>
        <v>0</v>
      </c>
      <c r="I39" s="607"/>
      <c r="J39" s="608"/>
      <c r="K39" s="609"/>
      <c r="L39" s="610" t="s">
        <v>604</v>
      </c>
      <c r="M39" s="1111">
        <f>SUM(M27:M38)+M24</f>
        <v>10945194</v>
      </c>
      <c r="N39" s="1112"/>
      <c r="O39" s="627"/>
      <c r="P39" s="626"/>
      <c r="Q39" s="1119">
        <f>SUM(R27:R38)+R24</f>
        <v>4841600</v>
      </c>
      <c r="R39" s="1120"/>
      <c r="S39" s="600"/>
      <c r="T39" s="546"/>
    </row>
    <row r="40" spans="1:21" s="543" customFormat="1" ht="15.75">
      <c r="L40" s="544"/>
      <c r="M40" s="547"/>
      <c r="N40" s="547"/>
      <c r="O40" s="547"/>
      <c r="R40" s="544"/>
      <c r="S40" s="544"/>
      <c r="T40" s="544"/>
    </row>
    <row r="41" spans="1:21" s="543" customFormat="1" ht="15.75">
      <c r="L41" s="544"/>
      <c r="M41" s="547"/>
      <c r="N41" s="547"/>
      <c r="O41" s="547"/>
      <c r="R41" s="544"/>
      <c r="S41" s="544"/>
      <c r="T41" s="544"/>
    </row>
    <row r="42" spans="1:21" s="543" customFormat="1" ht="15.75">
      <c r="L42" s="544"/>
      <c r="M42" s="547"/>
      <c r="N42" s="547"/>
      <c r="O42" s="547"/>
      <c r="R42" s="544"/>
      <c r="S42" s="544"/>
      <c r="T42" s="544"/>
    </row>
    <row r="43" spans="1:21" s="543" customFormat="1" ht="16.5">
      <c r="J43" s="622"/>
      <c r="L43" s="544"/>
      <c r="M43" s="547"/>
      <c r="N43" s="547"/>
      <c r="O43" s="547"/>
      <c r="R43" s="544"/>
      <c r="S43" s="544"/>
      <c r="T43" s="544"/>
    </row>
    <row r="44" spans="1:21" s="543" customFormat="1">
      <c r="L44" s="544"/>
      <c r="R44" s="544"/>
      <c r="S44" s="544"/>
      <c r="T44" s="544"/>
    </row>
    <row r="45" spans="1:21" s="543" customFormat="1">
      <c r="L45" s="544"/>
      <c r="R45" s="544"/>
      <c r="S45" s="544"/>
      <c r="T45" s="544"/>
    </row>
    <row r="46" spans="1:21" s="543" customFormat="1">
      <c r="L46" s="544"/>
      <c r="R46" s="544"/>
      <c r="S46" s="544"/>
      <c r="T46" s="544"/>
    </row>
    <row r="47" spans="1:21" s="543" customFormat="1">
      <c r="L47" s="544"/>
      <c r="R47" s="544"/>
      <c r="S47" s="544"/>
      <c r="T47" s="544"/>
    </row>
    <row r="48" spans="1:21" s="543" customFormat="1" ht="15.75">
      <c r="B48" s="596"/>
      <c r="C48" s="596"/>
      <c r="D48" s="596"/>
      <c r="L48" s="544"/>
      <c r="R48" s="544"/>
      <c r="S48" s="544"/>
      <c r="T48" s="544"/>
    </row>
    <row r="49" spans="2:20" s="543" customFormat="1" ht="16.5">
      <c r="B49" s="597"/>
      <c r="C49" s="597"/>
      <c r="D49" s="597"/>
      <c r="L49" s="544"/>
      <c r="R49" s="544"/>
      <c r="S49" s="544"/>
      <c r="T49" s="544"/>
    </row>
    <row r="50" spans="2:20" s="543" customFormat="1" ht="15" customHeight="1">
      <c r="B50" s="598"/>
      <c r="C50" s="598"/>
      <c r="D50" s="598"/>
      <c r="L50" s="544"/>
      <c r="R50" s="544"/>
      <c r="S50" s="544"/>
      <c r="T50" s="544"/>
    </row>
    <row r="51" spans="2:20" s="543" customFormat="1" ht="15" customHeight="1">
      <c r="B51" s="598"/>
      <c r="C51" s="598"/>
      <c r="D51" s="598"/>
      <c r="L51" s="544"/>
      <c r="R51" s="544"/>
      <c r="S51" s="544"/>
      <c r="T51" s="544"/>
    </row>
    <row r="52" spans="2:20" s="543" customFormat="1">
      <c r="L52" s="544"/>
      <c r="R52" s="544"/>
      <c r="S52" s="544"/>
      <c r="T52" s="544"/>
    </row>
    <row r="53" spans="2:20" s="543" customFormat="1">
      <c r="L53" s="544"/>
      <c r="R53" s="544"/>
      <c r="S53" s="544"/>
      <c r="T53" s="544"/>
    </row>
    <row r="54" spans="2:20" s="543" customFormat="1">
      <c r="L54" s="544"/>
      <c r="R54" s="544"/>
      <c r="S54" s="544"/>
      <c r="T54" s="544"/>
    </row>
    <row r="55" spans="2:20" s="543" customFormat="1" ht="15" customHeight="1">
      <c r="L55" s="544"/>
      <c r="M55" s="602"/>
      <c r="R55" s="544"/>
      <c r="S55" s="544"/>
      <c r="T55" s="544"/>
    </row>
    <row r="56" spans="2:20" s="543" customFormat="1" ht="15" customHeight="1">
      <c r="L56" s="544"/>
      <c r="M56" s="601"/>
      <c r="R56" s="544"/>
      <c r="S56" s="544"/>
      <c r="T56" s="544"/>
    </row>
    <row r="57" spans="2:20" s="543" customFormat="1">
      <c r="L57" s="544"/>
      <c r="R57" s="544"/>
      <c r="S57" s="544"/>
      <c r="T57" s="544"/>
    </row>
    <row r="58" spans="2:20" s="543" customFormat="1">
      <c r="L58" s="544"/>
      <c r="R58" s="544"/>
      <c r="S58" s="544"/>
      <c r="T58" s="544"/>
    </row>
    <row r="59" spans="2:20" s="543" customFormat="1">
      <c r="L59" s="544"/>
      <c r="R59" s="544"/>
      <c r="S59" s="544"/>
      <c r="T59" s="544"/>
    </row>
    <row r="60" spans="2:20" s="543" customFormat="1">
      <c r="L60" s="544"/>
      <c r="R60" s="544"/>
      <c r="S60" s="544"/>
      <c r="T60" s="544"/>
    </row>
    <row r="61" spans="2:20" s="543" customFormat="1">
      <c r="L61" s="544"/>
      <c r="R61" s="544"/>
      <c r="S61" s="544"/>
      <c r="T61" s="544"/>
    </row>
    <row r="62" spans="2:20" s="543" customFormat="1">
      <c r="L62" s="544"/>
      <c r="R62" s="544"/>
      <c r="S62" s="544"/>
      <c r="T62" s="544"/>
    </row>
    <row r="63" spans="2:20" s="543" customFormat="1">
      <c r="L63" s="544"/>
      <c r="R63" s="544"/>
      <c r="S63" s="544"/>
      <c r="T63" s="544"/>
    </row>
    <row r="64" spans="2:20" s="543" customFormat="1">
      <c r="L64" s="544"/>
      <c r="R64" s="544"/>
      <c r="S64" s="544"/>
      <c r="T64" s="544"/>
    </row>
    <row r="65" spans="12:20" s="543" customFormat="1">
      <c r="L65" s="544"/>
      <c r="R65" s="544"/>
      <c r="S65" s="544"/>
      <c r="T65" s="544"/>
    </row>
    <row r="66" spans="12:20" s="543" customFormat="1">
      <c r="L66" s="544"/>
      <c r="R66" s="544"/>
      <c r="S66" s="544"/>
      <c r="T66" s="544"/>
    </row>
    <row r="67" spans="12:20" s="543" customFormat="1">
      <c r="L67" s="544"/>
      <c r="R67" s="544"/>
      <c r="S67" s="544"/>
      <c r="T67" s="544"/>
    </row>
    <row r="68" spans="12:20" s="543" customFormat="1">
      <c r="L68" s="544"/>
      <c r="R68" s="544"/>
      <c r="S68" s="544"/>
      <c r="T68" s="544"/>
    </row>
    <row r="69" spans="12:20" s="543" customFormat="1">
      <c r="L69" s="544"/>
      <c r="R69" s="544"/>
      <c r="S69" s="544"/>
      <c r="T69" s="544"/>
    </row>
    <row r="70" spans="12:20" s="543" customFormat="1">
      <c r="L70" s="544"/>
      <c r="R70" s="544"/>
      <c r="S70" s="544"/>
      <c r="T70" s="544"/>
    </row>
    <row r="71" spans="12:20" s="543" customFormat="1">
      <c r="L71" s="544"/>
      <c r="R71" s="544"/>
      <c r="S71" s="544"/>
      <c r="T71" s="544"/>
    </row>
    <row r="72" spans="12:20" s="543" customFormat="1">
      <c r="L72" s="544"/>
      <c r="R72" s="544"/>
      <c r="S72" s="544"/>
      <c r="T72" s="544"/>
    </row>
    <row r="73" spans="12:20" s="543" customFormat="1">
      <c r="L73" s="544"/>
      <c r="R73" s="544"/>
      <c r="S73" s="544"/>
      <c r="T73" s="544"/>
    </row>
    <row r="74" spans="12:20" s="543" customFormat="1">
      <c r="L74" s="544"/>
      <c r="R74" s="544"/>
      <c r="S74" s="544"/>
      <c r="T74" s="544"/>
    </row>
    <row r="75" spans="12:20" s="543" customFormat="1">
      <c r="L75" s="544"/>
      <c r="R75" s="544"/>
      <c r="S75" s="544"/>
      <c r="T75" s="544"/>
    </row>
    <row r="76" spans="12:20" s="543" customFormat="1">
      <c r="L76" s="544"/>
      <c r="R76" s="544"/>
      <c r="S76" s="544"/>
      <c r="T76" s="544"/>
    </row>
    <row r="77" spans="12:20" s="543" customFormat="1">
      <c r="L77" s="544"/>
      <c r="R77" s="544"/>
      <c r="S77" s="544"/>
      <c r="T77" s="544"/>
    </row>
    <row r="78" spans="12:20" s="543" customFormat="1">
      <c r="L78" s="544"/>
      <c r="R78" s="544"/>
      <c r="S78" s="544"/>
      <c r="T78" s="544"/>
    </row>
    <row r="79" spans="12:20" s="543" customFormat="1">
      <c r="L79" s="544"/>
      <c r="R79" s="544"/>
      <c r="S79" s="544"/>
      <c r="T79" s="544"/>
    </row>
    <row r="80" spans="12:20" s="543" customFormat="1">
      <c r="L80" s="544"/>
      <c r="R80" s="544"/>
      <c r="S80" s="544"/>
      <c r="T80" s="544"/>
    </row>
    <row r="81" spans="12:20" s="543" customFormat="1">
      <c r="L81" s="544"/>
      <c r="R81" s="544"/>
      <c r="S81" s="544"/>
      <c r="T81" s="544"/>
    </row>
    <row r="82" spans="12:20" s="543" customFormat="1">
      <c r="L82" s="544"/>
      <c r="R82" s="544"/>
      <c r="S82" s="544"/>
      <c r="T82" s="544"/>
    </row>
    <row r="83" spans="12:20" s="543" customFormat="1">
      <c r="L83" s="544"/>
      <c r="R83" s="544"/>
      <c r="S83" s="544"/>
      <c r="T83" s="544"/>
    </row>
    <row r="84" spans="12:20" s="543" customFormat="1">
      <c r="L84" s="544"/>
      <c r="R84" s="544"/>
      <c r="S84" s="544"/>
      <c r="T84" s="544"/>
    </row>
    <row r="85" spans="12:20" s="543" customFormat="1">
      <c r="L85" s="544"/>
      <c r="R85" s="544"/>
      <c r="S85" s="544"/>
      <c r="T85" s="544"/>
    </row>
    <row r="86" spans="12:20" s="543" customFormat="1">
      <c r="L86" s="544"/>
      <c r="R86" s="544"/>
      <c r="S86" s="544"/>
      <c r="T86" s="544"/>
    </row>
    <row r="87" spans="12:20" s="543" customFormat="1">
      <c r="L87" s="544"/>
      <c r="R87" s="544"/>
      <c r="S87" s="544"/>
      <c r="T87" s="544"/>
    </row>
    <row r="88" spans="12:20" s="543" customFormat="1">
      <c r="L88" s="544"/>
      <c r="R88" s="544"/>
      <c r="S88" s="544"/>
      <c r="T88" s="544"/>
    </row>
    <row r="89" spans="12:20" s="543" customFormat="1">
      <c r="L89" s="544"/>
      <c r="R89" s="544"/>
      <c r="S89" s="544"/>
      <c r="T89" s="544"/>
    </row>
    <row r="90" spans="12:20" s="543" customFormat="1">
      <c r="L90" s="544"/>
      <c r="R90" s="544"/>
      <c r="S90" s="544"/>
      <c r="T90" s="544"/>
    </row>
    <row r="91" spans="12:20" s="543" customFormat="1">
      <c r="L91" s="544"/>
      <c r="R91" s="544"/>
      <c r="S91" s="544"/>
      <c r="T91" s="544"/>
    </row>
    <row r="92" spans="12:20" s="543" customFormat="1">
      <c r="L92" s="544"/>
      <c r="R92" s="544"/>
      <c r="S92" s="544"/>
      <c r="T92" s="544"/>
    </row>
    <row r="93" spans="12:20" s="543" customFormat="1">
      <c r="L93" s="544"/>
      <c r="R93" s="544"/>
      <c r="S93" s="544"/>
      <c r="T93" s="544"/>
    </row>
    <row r="94" spans="12:20" s="543" customFormat="1">
      <c r="L94" s="544"/>
      <c r="R94" s="544"/>
      <c r="S94" s="544"/>
      <c r="T94" s="544"/>
    </row>
    <row r="95" spans="12:20" s="543" customFormat="1">
      <c r="L95" s="544"/>
      <c r="R95" s="544"/>
      <c r="S95" s="544"/>
      <c r="T95" s="544"/>
    </row>
    <row r="96" spans="12:20" s="543" customFormat="1">
      <c r="L96" s="544"/>
      <c r="R96" s="544"/>
      <c r="S96" s="544"/>
      <c r="T96" s="544"/>
    </row>
    <row r="97" spans="12:20" s="543" customFormat="1">
      <c r="L97" s="544"/>
      <c r="R97" s="544"/>
      <c r="S97" s="544"/>
      <c r="T97" s="544"/>
    </row>
    <row r="98" spans="12:20" s="543" customFormat="1">
      <c r="L98" s="544"/>
      <c r="R98" s="544"/>
      <c r="S98" s="544"/>
      <c r="T98" s="544"/>
    </row>
    <row r="99" spans="12:20" s="543" customFormat="1">
      <c r="L99" s="544"/>
      <c r="R99" s="544"/>
      <c r="S99" s="544"/>
      <c r="T99" s="544"/>
    </row>
    <row r="100" spans="12:20" s="543" customFormat="1">
      <c r="L100" s="544"/>
      <c r="R100" s="544"/>
      <c r="S100" s="544"/>
      <c r="T100" s="544"/>
    </row>
    <row r="101" spans="12:20" s="543" customFormat="1">
      <c r="L101" s="544"/>
      <c r="R101" s="544"/>
      <c r="S101" s="544"/>
      <c r="T101" s="544"/>
    </row>
    <row r="102" spans="12:20" s="543" customFormat="1">
      <c r="L102" s="544"/>
      <c r="R102" s="544"/>
      <c r="S102" s="544"/>
      <c r="T102" s="544"/>
    </row>
    <row r="103" spans="12:20" s="543" customFormat="1">
      <c r="L103" s="544"/>
      <c r="R103" s="544"/>
      <c r="S103" s="544"/>
      <c r="T103" s="544"/>
    </row>
    <row r="104" spans="12:20" s="543" customFormat="1">
      <c r="L104" s="544"/>
      <c r="R104" s="544"/>
      <c r="S104" s="544"/>
      <c r="T104" s="544"/>
    </row>
    <row r="105" spans="12:20" s="543" customFormat="1">
      <c r="L105" s="544"/>
      <c r="R105" s="544"/>
      <c r="S105" s="544"/>
      <c r="T105" s="544"/>
    </row>
    <row r="106" spans="12:20" s="543" customFormat="1">
      <c r="L106" s="544"/>
      <c r="R106" s="544"/>
      <c r="S106" s="544"/>
      <c r="T106" s="544"/>
    </row>
    <row r="107" spans="12:20" s="543" customFormat="1">
      <c r="L107" s="544"/>
      <c r="R107" s="544"/>
      <c r="S107" s="544"/>
      <c r="T107" s="544"/>
    </row>
    <row r="108" spans="12:20" s="543" customFormat="1">
      <c r="L108" s="544"/>
      <c r="R108" s="544"/>
      <c r="S108" s="544"/>
      <c r="T108" s="544"/>
    </row>
    <row r="109" spans="12:20" s="543" customFormat="1">
      <c r="L109" s="544"/>
      <c r="R109" s="544"/>
      <c r="S109" s="544"/>
      <c r="T109" s="544"/>
    </row>
    <row r="110" spans="12:20" s="549" customFormat="1">
      <c r="L110" s="548"/>
      <c r="R110" s="548"/>
      <c r="S110" s="548"/>
      <c r="T110" s="548"/>
    </row>
    <row r="111" spans="12:20" s="549" customFormat="1">
      <c r="L111" s="548"/>
      <c r="R111" s="548"/>
      <c r="S111" s="548"/>
      <c r="T111" s="548"/>
    </row>
    <row r="112" spans="12:20" s="549" customFormat="1">
      <c r="L112" s="548"/>
      <c r="R112" s="548"/>
      <c r="S112" s="548"/>
      <c r="T112" s="548"/>
    </row>
    <row r="113" spans="12:20" s="549" customFormat="1">
      <c r="L113" s="548"/>
      <c r="R113" s="548"/>
      <c r="S113" s="548"/>
      <c r="T113" s="548"/>
    </row>
    <row r="114" spans="12:20" s="549" customFormat="1">
      <c r="L114" s="548"/>
      <c r="R114" s="548"/>
      <c r="S114" s="548"/>
      <c r="T114" s="548"/>
    </row>
    <row r="115" spans="12:20" s="549" customFormat="1">
      <c r="L115" s="548"/>
      <c r="R115" s="548"/>
      <c r="S115" s="548"/>
      <c r="T115" s="548"/>
    </row>
    <row r="116" spans="12:20" s="549" customFormat="1">
      <c r="L116" s="548"/>
      <c r="R116" s="548"/>
      <c r="S116" s="548"/>
      <c r="T116" s="548"/>
    </row>
    <row r="117" spans="12:20" s="549" customFormat="1">
      <c r="L117" s="548"/>
      <c r="R117" s="548"/>
      <c r="S117" s="548"/>
      <c r="T117" s="548"/>
    </row>
    <row r="118" spans="12:20" s="549" customFormat="1">
      <c r="L118" s="548"/>
      <c r="R118" s="548"/>
      <c r="S118" s="548"/>
      <c r="T118" s="548"/>
    </row>
    <row r="119" spans="12:20" s="549" customFormat="1">
      <c r="L119" s="548"/>
      <c r="R119" s="548"/>
      <c r="S119" s="548"/>
      <c r="T119" s="548"/>
    </row>
    <row r="120" spans="12:20" s="549" customFormat="1">
      <c r="L120" s="548"/>
      <c r="R120" s="548"/>
      <c r="S120" s="548"/>
      <c r="T120" s="548"/>
    </row>
    <row r="121" spans="12:20" s="549" customFormat="1">
      <c r="L121" s="548"/>
      <c r="R121" s="548"/>
      <c r="S121" s="548"/>
      <c r="T121" s="548"/>
    </row>
    <row r="122" spans="12:20" s="549" customFormat="1">
      <c r="L122" s="548"/>
      <c r="R122" s="548"/>
      <c r="S122" s="548"/>
      <c r="T122" s="548"/>
    </row>
    <row r="123" spans="12:20" s="549" customFormat="1">
      <c r="L123" s="548"/>
      <c r="R123" s="548"/>
      <c r="S123" s="548"/>
      <c r="T123" s="548"/>
    </row>
    <row r="124" spans="12:20" s="549" customFormat="1">
      <c r="L124" s="548"/>
      <c r="R124" s="548"/>
      <c r="S124" s="548"/>
      <c r="T124" s="548"/>
    </row>
    <row r="125" spans="12:20" s="549" customFormat="1">
      <c r="L125" s="548"/>
      <c r="R125" s="548"/>
      <c r="S125" s="548"/>
      <c r="T125" s="548"/>
    </row>
    <row r="126" spans="12:20" s="549" customFormat="1">
      <c r="L126" s="548"/>
      <c r="R126" s="548"/>
      <c r="S126" s="548"/>
      <c r="T126" s="548"/>
    </row>
    <row r="127" spans="12:20" s="549" customFormat="1">
      <c r="L127" s="548"/>
      <c r="R127" s="548"/>
      <c r="S127" s="548"/>
      <c r="T127" s="548"/>
    </row>
    <row r="128" spans="12:20" s="549" customFormat="1">
      <c r="L128" s="548"/>
      <c r="R128" s="548"/>
      <c r="S128" s="548"/>
      <c r="T128" s="548"/>
    </row>
    <row r="129" spans="12:20" s="549" customFormat="1">
      <c r="L129" s="548"/>
      <c r="R129" s="548"/>
      <c r="S129" s="548"/>
      <c r="T129" s="548"/>
    </row>
  </sheetData>
  <mergeCells count="63">
    <mergeCell ref="T34:U34"/>
    <mergeCell ref="T35:U35"/>
    <mergeCell ref="T36:U38"/>
    <mergeCell ref="Q37:R37"/>
    <mergeCell ref="Q38:R38"/>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M36:N36"/>
    <mergeCell ref="M37:N37"/>
    <mergeCell ref="M38:N38"/>
    <mergeCell ref="M39:N39"/>
    <mergeCell ref="M29:N29"/>
    <mergeCell ref="M30:N30"/>
    <mergeCell ref="M31:N31"/>
    <mergeCell ref="M32:N32"/>
    <mergeCell ref="M33:N33"/>
    <mergeCell ref="M34:N34"/>
    <mergeCell ref="A5:I5"/>
    <mergeCell ref="J5:Q5"/>
    <mergeCell ref="A3:U3"/>
    <mergeCell ref="S5:U5"/>
    <mergeCell ref="M27:N27"/>
    <mergeCell ref="D6:D7"/>
    <mergeCell ref="E6:E7"/>
    <mergeCell ref="F6:G6"/>
    <mergeCell ref="H6:H7"/>
    <mergeCell ref="I6:I7"/>
    <mergeCell ref="J6:L6"/>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1:O1"/>
    <mergeCell ref="P1:U1"/>
    <mergeCell ref="A2:O2"/>
    <mergeCell ref="P2:U2"/>
    <mergeCell ref="A4:U4"/>
  </mergeCells>
  <conditionalFormatting sqref="A27">
    <cfRule type="containsText" dxfId="2" priority="2" operator="containsText" text="in fjDr">
      <formula>NOT(ISERROR(SEARCH("in fjDr",A27)))</formula>
    </cfRule>
  </conditionalFormatting>
  <pageMargins left="0.42" right="0.26" top="0.24" bottom="0.19" header="0.14000000000000001" footer="0.12"/>
  <pageSetup paperSize="9" scale="68"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codeName="Sheet26">
    <tabColor theme="9" tint="-0.249977111117893"/>
    <pageSetUpPr fitToPage="1"/>
  </sheetPr>
  <dimension ref="A1:N30"/>
  <sheetViews>
    <sheetView showGridLines="0" view="pageBreakPreview" zoomScaleSheetLayoutView="100" workbookViewId="0">
      <selection activeCell="Q12" sqref="Q12"/>
    </sheetView>
  </sheetViews>
  <sheetFormatPr defaultRowHeight="15"/>
  <cols>
    <col min="1" max="1" width="6.375" style="328" customWidth="1"/>
    <col min="2" max="2" width="17.125" style="328" customWidth="1"/>
    <col min="3" max="3" width="9.75" style="328" customWidth="1"/>
    <col min="4" max="4" width="9.875" style="328" customWidth="1"/>
    <col min="5" max="5" width="9.625" style="328" customWidth="1"/>
    <col min="6" max="6" width="10.375" style="328" customWidth="1"/>
    <col min="7" max="7" width="11.375" style="328" customWidth="1"/>
    <col min="8" max="8" width="9.875" style="328" customWidth="1"/>
    <col min="9" max="9" width="10.75" style="328" customWidth="1"/>
    <col min="10" max="10" width="11" style="328" customWidth="1"/>
    <col min="11" max="11" width="11.125" style="328" customWidth="1"/>
    <col min="12" max="13" width="11" style="328" customWidth="1"/>
    <col min="14" max="14" width="10.625" style="328" customWidth="1"/>
    <col min="15" max="257" width="9.125" style="326"/>
    <col min="258" max="258" width="15.75" style="326" customWidth="1"/>
    <col min="259" max="261" width="9.125" style="326"/>
    <col min="262" max="262" width="9.75" style="326" customWidth="1"/>
    <col min="263" max="265" width="9.125" style="326"/>
    <col min="266" max="266" width="10" style="326" customWidth="1"/>
    <col min="267" max="267" width="9.125" style="326"/>
    <col min="268" max="268" width="7.875" style="326" customWidth="1"/>
    <col min="269" max="270" width="8.25" style="326" customWidth="1"/>
    <col min="271" max="513" width="9.125" style="326"/>
    <col min="514" max="514" width="15.75" style="326" customWidth="1"/>
    <col min="515" max="517" width="9.125" style="326"/>
    <col min="518" max="518" width="9.75" style="326" customWidth="1"/>
    <col min="519" max="521" width="9.125" style="326"/>
    <col min="522" max="522" width="10" style="326" customWidth="1"/>
    <col min="523" max="523" width="9.125" style="326"/>
    <col min="524" max="524" width="7.875" style="326" customWidth="1"/>
    <col min="525" max="526" width="8.25" style="326" customWidth="1"/>
    <col min="527" max="769" width="9.125" style="326"/>
    <col min="770" max="770" width="15.75" style="326" customWidth="1"/>
    <col min="771" max="773" width="9.125" style="326"/>
    <col min="774" max="774" width="9.75" style="326" customWidth="1"/>
    <col min="775" max="777" width="9.125" style="326"/>
    <col min="778" max="778" width="10" style="326" customWidth="1"/>
    <col min="779" max="779" width="9.125" style="326"/>
    <col min="780" max="780" width="7.875" style="326" customWidth="1"/>
    <col min="781" max="782" width="8.25" style="326" customWidth="1"/>
    <col min="783" max="1025" width="9.125" style="326"/>
    <col min="1026" max="1026" width="15.75" style="326" customWidth="1"/>
    <col min="1027" max="1029" width="9.125" style="326"/>
    <col min="1030" max="1030" width="9.75" style="326" customWidth="1"/>
    <col min="1031" max="1033" width="9.125" style="326"/>
    <col min="1034" max="1034" width="10" style="326" customWidth="1"/>
    <col min="1035" max="1035" width="9.125" style="326"/>
    <col min="1036" max="1036" width="7.875" style="326" customWidth="1"/>
    <col min="1037" max="1038" width="8.25" style="326" customWidth="1"/>
    <col min="1039" max="1281" width="9.125" style="326"/>
    <col min="1282" max="1282" width="15.75" style="326" customWidth="1"/>
    <col min="1283" max="1285" width="9.125" style="326"/>
    <col min="1286" max="1286" width="9.75" style="326" customWidth="1"/>
    <col min="1287" max="1289" width="9.125" style="326"/>
    <col min="1290" max="1290" width="10" style="326" customWidth="1"/>
    <col min="1291" max="1291" width="9.125" style="326"/>
    <col min="1292" max="1292" width="7.875" style="326" customWidth="1"/>
    <col min="1293" max="1294" width="8.25" style="326" customWidth="1"/>
    <col min="1295" max="1537" width="9.125" style="326"/>
    <col min="1538" max="1538" width="15.75" style="326" customWidth="1"/>
    <col min="1539" max="1541" width="9.125" style="326"/>
    <col min="1542" max="1542" width="9.75" style="326" customWidth="1"/>
    <col min="1543" max="1545" width="9.125" style="326"/>
    <col min="1546" max="1546" width="10" style="326" customWidth="1"/>
    <col min="1547" max="1547" width="9.125" style="326"/>
    <col min="1548" max="1548" width="7.875" style="326" customWidth="1"/>
    <col min="1549" max="1550" width="8.25" style="326" customWidth="1"/>
    <col min="1551" max="1793" width="9.125" style="326"/>
    <col min="1794" max="1794" width="15.75" style="326" customWidth="1"/>
    <col min="1795" max="1797" width="9.125" style="326"/>
    <col min="1798" max="1798" width="9.75" style="326" customWidth="1"/>
    <col min="1799" max="1801" width="9.125" style="326"/>
    <col min="1802" max="1802" width="10" style="326" customWidth="1"/>
    <col min="1803" max="1803" width="9.125" style="326"/>
    <col min="1804" max="1804" width="7.875" style="326" customWidth="1"/>
    <col min="1805" max="1806" width="8.25" style="326" customWidth="1"/>
    <col min="1807" max="2049" width="9.125" style="326"/>
    <col min="2050" max="2050" width="15.75" style="326" customWidth="1"/>
    <col min="2051" max="2053" width="9.125" style="326"/>
    <col min="2054" max="2054" width="9.75" style="326" customWidth="1"/>
    <col min="2055" max="2057" width="9.125" style="326"/>
    <col min="2058" max="2058" width="10" style="326" customWidth="1"/>
    <col min="2059" max="2059" width="9.125" style="326"/>
    <col min="2060" max="2060" width="7.875" style="326" customWidth="1"/>
    <col min="2061" max="2062" width="8.25" style="326" customWidth="1"/>
    <col min="2063" max="2305" width="9.125" style="326"/>
    <col min="2306" max="2306" width="15.75" style="326" customWidth="1"/>
    <col min="2307" max="2309" width="9.125" style="326"/>
    <col min="2310" max="2310" width="9.75" style="326" customWidth="1"/>
    <col min="2311" max="2313" width="9.125" style="326"/>
    <col min="2314" max="2314" width="10" style="326" customWidth="1"/>
    <col min="2315" max="2315" width="9.125" style="326"/>
    <col min="2316" max="2316" width="7.875" style="326" customWidth="1"/>
    <col min="2317" max="2318" width="8.25" style="326" customWidth="1"/>
    <col min="2319" max="2561" width="9.125" style="326"/>
    <col min="2562" max="2562" width="15.75" style="326" customWidth="1"/>
    <col min="2563" max="2565" width="9.125" style="326"/>
    <col min="2566" max="2566" width="9.75" style="326" customWidth="1"/>
    <col min="2567" max="2569" width="9.125" style="326"/>
    <col min="2570" max="2570" width="10" style="326" customWidth="1"/>
    <col min="2571" max="2571" width="9.125" style="326"/>
    <col min="2572" max="2572" width="7.875" style="326" customWidth="1"/>
    <col min="2573" max="2574" width="8.25" style="326" customWidth="1"/>
    <col min="2575" max="2817" width="9.125" style="326"/>
    <col min="2818" max="2818" width="15.75" style="326" customWidth="1"/>
    <col min="2819" max="2821" width="9.125" style="326"/>
    <col min="2822" max="2822" width="9.75" style="326" customWidth="1"/>
    <col min="2823" max="2825" width="9.125" style="326"/>
    <col min="2826" max="2826" width="10" style="326" customWidth="1"/>
    <col min="2827" max="2827" width="9.125" style="326"/>
    <col min="2828" max="2828" width="7.875" style="326" customWidth="1"/>
    <col min="2829" max="2830" width="8.25" style="326" customWidth="1"/>
    <col min="2831" max="3073" width="9.125" style="326"/>
    <col min="3074" max="3074" width="15.75" style="326" customWidth="1"/>
    <col min="3075" max="3077" width="9.125" style="326"/>
    <col min="3078" max="3078" width="9.75" style="326" customWidth="1"/>
    <col min="3079" max="3081" width="9.125" style="326"/>
    <col min="3082" max="3082" width="10" style="326" customWidth="1"/>
    <col min="3083" max="3083" width="9.125" style="326"/>
    <col min="3084" max="3084" width="7.875" style="326" customWidth="1"/>
    <col min="3085" max="3086" width="8.25" style="326" customWidth="1"/>
    <col min="3087" max="3329" width="9.125" style="326"/>
    <col min="3330" max="3330" width="15.75" style="326" customWidth="1"/>
    <col min="3331" max="3333" width="9.125" style="326"/>
    <col min="3334" max="3334" width="9.75" style="326" customWidth="1"/>
    <col min="3335" max="3337" width="9.125" style="326"/>
    <col min="3338" max="3338" width="10" style="326" customWidth="1"/>
    <col min="3339" max="3339" width="9.125" style="326"/>
    <col min="3340" max="3340" width="7.875" style="326" customWidth="1"/>
    <col min="3341" max="3342" width="8.25" style="326" customWidth="1"/>
    <col min="3343" max="3585" width="9.125" style="326"/>
    <col min="3586" max="3586" width="15.75" style="326" customWidth="1"/>
    <col min="3587" max="3589" width="9.125" style="326"/>
    <col min="3590" max="3590" width="9.75" style="326" customWidth="1"/>
    <col min="3591" max="3593" width="9.125" style="326"/>
    <col min="3594" max="3594" width="10" style="326" customWidth="1"/>
    <col min="3595" max="3595" width="9.125" style="326"/>
    <col min="3596" max="3596" width="7.875" style="326" customWidth="1"/>
    <col min="3597" max="3598" width="8.25" style="326" customWidth="1"/>
    <col min="3599" max="3841" width="9.125" style="326"/>
    <col min="3842" max="3842" width="15.75" style="326" customWidth="1"/>
    <col min="3843" max="3845" width="9.125" style="326"/>
    <col min="3846" max="3846" width="9.75" style="326" customWidth="1"/>
    <col min="3847" max="3849" width="9.125" style="326"/>
    <col min="3850" max="3850" width="10" style="326" customWidth="1"/>
    <col min="3851" max="3851" width="9.125" style="326"/>
    <col min="3852" max="3852" width="7.875" style="326" customWidth="1"/>
    <col min="3853" max="3854" width="8.25" style="326" customWidth="1"/>
    <col min="3855" max="4097" width="9.125" style="326"/>
    <col min="4098" max="4098" width="15.75" style="326" customWidth="1"/>
    <col min="4099" max="4101" width="9.125" style="326"/>
    <col min="4102" max="4102" width="9.75" style="326" customWidth="1"/>
    <col min="4103" max="4105" width="9.125" style="326"/>
    <col min="4106" max="4106" width="10" style="326" customWidth="1"/>
    <col min="4107" max="4107" width="9.125" style="326"/>
    <col min="4108" max="4108" width="7.875" style="326" customWidth="1"/>
    <col min="4109" max="4110" width="8.25" style="326" customWidth="1"/>
    <col min="4111" max="4353" width="9.125" style="326"/>
    <col min="4354" max="4354" width="15.75" style="326" customWidth="1"/>
    <col min="4355" max="4357" width="9.125" style="326"/>
    <col min="4358" max="4358" width="9.75" style="326" customWidth="1"/>
    <col min="4359" max="4361" width="9.125" style="326"/>
    <col min="4362" max="4362" width="10" style="326" customWidth="1"/>
    <col min="4363" max="4363" width="9.125" style="326"/>
    <col min="4364" max="4364" width="7.875" style="326" customWidth="1"/>
    <col min="4365" max="4366" width="8.25" style="326" customWidth="1"/>
    <col min="4367" max="4609" width="9.125" style="326"/>
    <col min="4610" max="4610" width="15.75" style="326" customWidth="1"/>
    <col min="4611" max="4613" width="9.125" style="326"/>
    <col min="4614" max="4614" width="9.75" style="326" customWidth="1"/>
    <col min="4615" max="4617" width="9.125" style="326"/>
    <col min="4618" max="4618" width="10" style="326" customWidth="1"/>
    <col min="4619" max="4619" width="9.125" style="326"/>
    <col min="4620" max="4620" width="7.875" style="326" customWidth="1"/>
    <col min="4621" max="4622" width="8.25" style="326" customWidth="1"/>
    <col min="4623" max="4865" width="9.125" style="326"/>
    <col min="4866" max="4866" width="15.75" style="326" customWidth="1"/>
    <col min="4867" max="4869" width="9.125" style="326"/>
    <col min="4870" max="4870" width="9.75" style="326" customWidth="1"/>
    <col min="4871" max="4873" width="9.125" style="326"/>
    <col min="4874" max="4874" width="10" style="326" customWidth="1"/>
    <col min="4875" max="4875" width="9.125" style="326"/>
    <col min="4876" max="4876" width="7.875" style="326" customWidth="1"/>
    <col min="4877" max="4878" width="8.25" style="326" customWidth="1"/>
    <col min="4879" max="5121" width="9.125" style="326"/>
    <col min="5122" max="5122" width="15.75" style="326" customWidth="1"/>
    <col min="5123" max="5125" width="9.125" style="326"/>
    <col min="5126" max="5126" width="9.75" style="326" customWidth="1"/>
    <col min="5127" max="5129" width="9.125" style="326"/>
    <col min="5130" max="5130" width="10" style="326" customWidth="1"/>
    <col min="5131" max="5131" width="9.125" style="326"/>
    <col min="5132" max="5132" width="7.875" style="326" customWidth="1"/>
    <col min="5133" max="5134" width="8.25" style="326" customWidth="1"/>
    <col min="5135" max="5377" width="9.125" style="326"/>
    <col min="5378" max="5378" width="15.75" style="326" customWidth="1"/>
    <col min="5379" max="5381" width="9.125" style="326"/>
    <col min="5382" max="5382" width="9.75" style="326" customWidth="1"/>
    <col min="5383" max="5385" width="9.125" style="326"/>
    <col min="5386" max="5386" width="10" style="326" customWidth="1"/>
    <col min="5387" max="5387" width="9.125" style="326"/>
    <col min="5388" max="5388" width="7.875" style="326" customWidth="1"/>
    <col min="5389" max="5390" width="8.25" style="326" customWidth="1"/>
    <col min="5391" max="5633" width="9.125" style="326"/>
    <col min="5634" max="5634" width="15.75" style="326" customWidth="1"/>
    <col min="5635" max="5637" width="9.125" style="326"/>
    <col min="5638" max="5638" width="9.75" style="326" customWidth="1"/>
    <col min="5639" max="5641" width="9.125" style="326"/>
    <col min="5642" max="5642" width="10" style="326" customWidth="1"/>
    <col min="5643" max="5643" width="9.125" style="326"/>
    <col min="5644" max="5644" width="7.875" style="326" customWidth="1"/>
    <col min="5645" max="5646" width="8.25" style="326" customWidth="1"/>
    <col min="5647" max="5889" width="9.125" style="326"/>
    <col min="5890" max="5890" width="15.75" style="326" customWidth="1"/>
    <col min="5891" max="5893" width="9.125" style="326"/>
    <col min="5894" max="5894" width="9.75" style="326" customWidth="1"/>
    <col min="5895" max="5897" width="9.125" style="326"/>
    <col min="5898" max="5898" width="10" style="326" customWidth="1"/>
    <col min="5899" max="5899" width="9.125" style="326"/>
    <col min="5900" max="5900" width="7.875" style="326" customWidth="1"/>
    <col min="5901" max="5902" width="8.25" style="326" customWidth="1"/>
    <col min="5903" max="6145" width="9.125" style="326"/>
    <col min="6146" max="6146" width="15.75" style="326" customWidth="1"/>
    <col min="6147" max="6149" width="9.125" style="326"/>
    <col min="6150" max="6150" width="9.75" style="326" customWidth="1"/>
    <col min="6151" max="6153" width="9.125" style="326"/>
    <col min="6154" max="6154" width="10" style="326" customWidth="1"/>
    <col min="6155" max="6155" width="9.125" style="326"/>
    <col min="6156" max="6156" width="7.875" style="326" customWidth="1"/>
    <col min="6157" max="6158" width="8.25" style="326" customWidth="1"/>
    <col min="6159" max="6401" width="9.125" style="326"/>
    <col min="6402" max="6402" width="15.75" style="326" customWidth="1"/>
    <col min="6403" max="6405" width="9.125" style="326"/>
    <col min="6406" max="6406" width="9.75" style="326" customWidth="1"/>
    <col min="6407" max="6409" width="9.125" style="326"/>
    <col min="6410" max="6410" width="10" style="326" customWidth="1"/>
    <col min="6411" max="6411" width="9.125" style="326"/>
    <col min="6412" max="6412" width="7.875" style="326" customWidth="1"/>
    <col min="6413" max="6414" width="8.25" style="326" customWidth="1"/>
    <col min="6415" max="6657" width="9.125" style="326"/>
    <col min="6658" max="6658" width="15.75" style="326" customWidth="1"/>
    <col min="6659" max="6661" width="9.125" style="326"/>
    <col min="6662" max="6662" width="9.75" style="326" customWidth="1"/>
    <col min="6663" max="6665" width="9.125" style="326"/>
    <col min="6666" max="6666" width="10" style="326" customWidth="1"/>
    <col min="6667" max="6667" width="9.125" style="326"/>
    <col min="6668" max="6668" width="7.875" style="326" customWidth="1"/>
    <col min="6669" max="6670" width="8.25" style="326" customWidth="1"/>
    <col min="6671" max="6913" width="9.125" style="326"/>
    <col min="6914" max="6914" width="15.75" style="326" customWidth="1"/>
    <col min="6915" max="6917" width="9.125" style="326"/>
    <col min="6918" max="6918" width="9.75" style="326" customWidth="1"/>
    <col min="6919" max="6921" width="9.125" style="326"/>
    <col min="6922" max="6922" width="10" style="326" customWidth="1"/>
    <col min="6923" max="6923" width="9.125" style="326"/>
    <col min="6924" max="6924" width="7.875" style="326" customWidth="1"/>
    <col min="6925" max="6926" width="8.25" style="326" customWidth="1"/>
    <col min="6927" max="7169" width="9.125" style="326"/>
    <col min="7170" max="7170" width="15.75" style="326" customWidth="1"/>
    <col min="7171" max="7173" width="9.125" style="326"/>
    <col min="7174" max="7174" width="9.75" style="326" customWidth="1"/>
    <col min="7175" max="7177" width="9.125" style="326"/>
    <col min="7178" max="7178" width="10" style="326" customWidth="1"/>
    <col min="7179" max="7179" width="9.125" style="326"/>
    <col min="7180" max="7180" width="7.875" style="326" customWidth="1"/>
    <col min="7181" max="7182" width="8.25" style="326" customWidth="1"/>
    <col min="7183" max="7425" width="9.125" style="326"/>
    <col min="7426" max="7426" width="15.75" style="326" customWidth="1"/>
    <col min="7427" max="7429" width="9.125" style="326"/>
    <col min="7430" max="7430" width="9.75" style="326" customWidth="1"/>
    <col min="7431" max="7433" width="9.125" style="326"/>
    <col min="7434" max="7434" width="10" style="326" customWidth="1"/>
    <col min="7435" max="7435" width="9.125" style="326"/>
    <col min="7436" max="7436" width="7.875" style="326" customWidth="1"/>
    <col min="7437" max="7438" width="8.25" style="326" customWidth="1"/>
    <col min="7439" max="7681" width="9.125" style="326"/>
    <col min="7682" max="7682" width="15.75" style="326" customWidth="1"/>
    <col min="7683" max="7685" width="9.125" style="326"/>
    <col min="7686" max="7686" width="9.75" style="326" customWidth="1"/>
    <col min="7687" max="7689" width="9.125" style="326"/>
    <col min="7690" max="7690" width="10" style="326" customWidth="1"/>
    <col min="7691" max="7691" width="9.125" style="326"/>
    <col min="7692" max="7692" width="7.875" style="326" customWidth="1"/>
    <col min="7693" max="7694" width="8.25" style="326" customWidth="1"/>
    <col min="7695" max="7937" width="9.125" style="326"/>
    <col min="7938" max="7938" width="15.75" style="326" customWidth="1"/>
    <col min="7939" max="7941" width="9.125" style="326"/>
    <col min="7942" max="7942" width="9.75" style="326" customWidth="1"/>
    <col min="7943" max="7945" width="9.125" style="326"/>
    <col min="7946" max="7946" width="10" style="326" customWidth="1"/>
    <col min="7947" max="7947" width="9.125" style="326"/>
    <col min="7948" max="7948" width="7.875" style="326" customWidth="1"/>
    <col min="7949" max="7950" width="8.25" style="326" customWidth="1"/>
    <col min="7951" max="8193" width="9.125" style="326"/>
    <col min="8194" max="8194" width="15.75" style="326" customWidth="1"/>
    <col min="8195" max="8197" width="9.125" style="326"/>
    <col min="8198" max="8198" width="9.75" style="326" customWidth="1"/>
    <col min="8199" max="8201" width="9.125" style="326"/>
    <col min="8202" max="8202" width="10" style="326" customWidth="1"/>
    <col min="8203" max="8203" width="9.125" style="326"/>
    <col min="8204" max="8204" width="7.875" style="326" customWidth="1"/>
    <col min="8205" max="8206" width="8.25" style="326" customWidth="1"/>
    <col min="8207" max="8449" width="9.125" style="326"/>
    <col min="8450" max="8450" width="15.75" style="326" customWidth="1"/>
    <col min="8451" max="8453" width="9.125" style="326"/>
    <col min="8454" max="8454" width="9.75" style="326" customWidth="1"/>
    <col min="8455" max="8457" width="9.125" style="326"/>
    <col min="8458" max="8458" width="10" style="326" customWidth="1"/>
    <col min="8459" max="8459" width="9.125" style="326"/>
    <col min="8460" max="8460" width="7.875" style="326" customWidth="1"/>
    <col min="8461" max="8462" width="8.25" style="326" customWidth="1"/>
    <col min="8463" max="8705" width="9.125" style="326"/>
    <col min="8706" max="8706" width="15.75" style="326" customWidth="1"/>
    <col min="8707" max="8709" width="9.125" style="326"/>
    <col min="8710" max="8710" width="9.75" style="326" customWidth="1"/>
    <col min="8711" max="8713" width="9.125" style="326"/>
    <col min="8714" max="8714" width="10" style="326" customWidth="1"/>
    <col min="8715" max="8715" width="9.125" style="326"/>
    <col min="8716" max="8716" width="7.875" style="326" customWidth="1"/>
    <col min="8717" max="8718" width="8.25" style="326" customWidth="1"/>
    <col min="8719" max="8961" width="9.125" style="326"/>
    <col min="8962" max="8962" width="15.75" style="326" customWidth="1"/>
    <col min="8963" max="8965" width="9.125" style="326"/>
    <col min="8966" max="8966" width="9.75" style="326" customWidth="1"/>
    <col min="8967" max="8969" width="9.125" style="326"/>
    <col min="8970" max="8970" width="10" style="326" customWidth="1"/>
    <col min="8971" max="8971" width="9.125" style="326"/>
    <col min="8972" max="8972" width="7.875" style="326" customWidth="1"/>
    <col min="8973" max="8974" width="8.25" style="326" customWidth="1"/>
    <col min="8975" max="9217" width="9.125" style="326"/>
    <col min="9218" max="9218" width="15.75" style="326" customWidth="1"/>
    <col min="9219" max="9221" width="9.125" style="326"/>
    <col min="9222" max="9222" width="9.75" style="326" customWidth="1"/>
    <col min="9223" max="9225" width="9.125" style="326"/>
    <col min="9226" max="9226" width="10" style="326" customWidth="1"/>
    <col min="9227" max="9227" width="9.125" style="326"/>
    <col min="9228" max="9228" width="7.875" style="326" customWidth="1"/>
    <col min="9229" max="9230" width="8.25" style="326" customWidth="1"/>
    <col min="9231" max="9473" width="9.125" style="326"/>
    <col min="9474" max="9474" width="15.75" style="326" customWidth="1"/>
    <col min="9475" max="9477" width="9.125" style="326"/>
    <col min="9478" max="9478" width="9.75" style="326" customWidth="1"/>
    <col min="9479" max="9481" width="9.125" style="326"/>
    <col min="9482" max="9482" width="10" style="326" customWidth="1"/>
    <col min="9483" max="9483" width="9.125" style="326"/>
    <col min="9484" max="9484" width="7.875" style="326" customWidth="1"/>
    <col min="9485" max="9486" width="8.25" style="326" customWidth="1"/>
    <col min="9487" max="9729" width="9.125" style="326"/>
    <col min="9730" max="9730" width="15.75" style="326" customWidth="1"/>
    <col min="9731" max="9733" width="9.125" style="326"/>
    <col min="9734" max="9734" width="9.75" style="326" customWidth="1"/>
    <col min="9735" max="9737" width="9.125" style="326"/>
    <col min="9738" max="9738" width="10" style="326" customWidth="1"/>
    <col min="9739" max="9739" width="9.125" style="326"/>
    <col min="9740" max="9740" width="7.875" style="326" customWidth="1"/>
    <col min="9741" max="9742" width="8.25" style="326" customWidth="1"/>
    <col min="9743" max="9985" width="9.125" style="326"/>
    <col min="9986" max="9986" width="15.75" style="326" customWidth="1"/>
    <col min="9987" max="9989" width="9.125" style="326"/>
    <col min="9990" max="9990" width="9.75" style="326" customWidth="1"/>
    <col min="9991" max="9993" width="9.125" style="326"/>
    <col min="9994" max="9994" width="10" style="326" customWidth="1"/>
    <col min="9995" max="9995" width="9.125" style="326"/>
    <col min="9996" max="9996" width="7.875" style="326" customWidth="1"/>
    <col min="9997" max="9998" width="8.25" style="326" customWidth="1"/>
    <col min="9999" max="10241" width="9.125" style="326"/>
    <col min="10242" max="10242" width="15.75" style="326" customWidth="1"/>
    <col min="10243" max="10245" width="9.125" style="326"/>
    <col min="10246" max="10246" width="9.75" style="326" customWidth="1"/>
    <col min="10247" max="10249" width="9.125" style="326"/>
    <col min="10250" max="10250" width="10" style="326" customWidth="1"/>
    <col min="10251" max="10251" width="9.125" style="326"/>
    <col min="10252" max="10252" width="7.875" style="326" customWidth="1"/>
    <col min="10253" max="10254" width="8.25" style="326" customWidth="1"/>
    <col min="10255" max="10497" width="9.125" style="326"/>
    <col min="10498" max="10498" width="15.75" style="326" customWidth="1"/>
    <col min="10499" max="10501" width="9.125" style="326"/>
    <col min="10502" max="10502" width="9.75" style="326" customWidth="1"/>
    <col min="10503" max="10505" width="9.125" style="326"/>
    <col min="10506" max="10506" width="10" style="326" customWidth="1"/>
    <col min="10507" max="10507" width="9.125" style="326"/>
    <col min="10508" max="10508" width="7.875" style="326" customWidth="1"/>
    <col min="10509" max="10510" width="8.25" style="326" customWidth="1"/>
    <col min="10511" max="10753" width="9.125" style="326"/>
    <col min="10754" max="10754" width="15.75" style="326" customWidth="1"/>
    <col min="10755" max="10757" width="9.125" style="326"/>
    <col min="10758" max="10758" width="9.75" style="326" customWidth="1"/>
    <col min="10759" max="10761" width="9.125" style="326"/>
    <col min="10762" max="10762" width="10" style="326" customWidth="1"/>
    <col min="10763" max="10763" width="9.125" style="326"/>
    <col min="10764" max="10764" width="7.875" style="326" customWidth="1"/>
    <col min="10765" max="10766" width="8.25" style="326" customWidth="1"/>
    <col min="10767" max="11009" width="9.125" style="326"/>
    <col min="11010" max="11010" width="15.75" style="326" customWidth="1"/>
    <col min="11011" max="11013" width="9.125" style="326"/>
    <col min="11014" max="11014" width="9.75" style="326" customWidth="1"/>
    <col min="11015" max="11017" width="9.125" style="326"/>
    <col min="11018" max="11018" width="10" style="326" customWidth="1"/>
    <col min="11019" max="11019" width="9.125" style="326"/>
    <col min="11020" max="11020" width="7.875" style="326" customWidth="1"/>
    <col min="11021" max="11022" width="8.25" style="326" customWidth="1"/>
    <col min="11023" max="11265" width="9.125" style="326"/>
    <col min="11266" max="11266" width="15.75" style="326" customWidth="1"/>
    <col min="11267" max="11269" width="9.125" style="326"/>
    <col min="11270" max="11270" width="9.75" style="326" customWidth="1"/>
    <col min="11271" max="11273" width="9.125" style="326"/>
    <col min="11274" max="11274" width="10" style="326" customWidth="1"/>
    <col min="11275" max="11275" width="9.125" style="326"/>
    <col min="11276" max="11276" width="7.875" style="326" customWidth="1"/>
    <col min="11277" max="11278" width="8.25" style="326" customWidth="1"/>
    <col min="11279" max="11521" width="9.125" style="326"/>
    <col min="11522" max="11522" width="15.75" style="326" customWidth="1"/>
    <col min="11523" max="11525" width="9.125" style="326"/>
    <col min="11526" max="11526" width="9.75" style="326" customWidth="1"/>
    <col min="11527" max="11529" width="9.125" style="326"/>
    <col min="11530" max="11530" width="10" style="326" customWidth="1"/>
    <col min="11531" max="11531" width="9.125" style="326"/>
    <col min="11532" max="11532" width="7.875" style="326" customWidth="1"/>
    <col min="11533" max="11534" width="8.25" style="326" customWidth="1"/>
    <col min="11535" max="11777" width="9.125" style="326"/>
    <col min="11778" max="11778" width="15.75" style="326" customWidth="1"/>
    <col min="11779" max="11781" width="9.125" style="326"/>
    <col min="11782" max="11782" width="9.75" style="326" customWidth="1"/>
    <col min="11783" max="11785" width="9.125" style="326"/>
    <col min="11786" max="11786" width="10" style="326" customWidth="1"/>
    <col min="11787" max="11787" width="9.125" style="326"/>
    <col min="11788" max="11788" width="7.875" style="326" customWidth="1"/>
    <col min="11789" max="11790" width="8.25" style="326" customWidth="1"/>
    <col min="11791" max="12033" width="9.125" style="326"/>
    <col min="12034" max="12034" width="15.75" style="326" customWidth="1"/>
    <col min="12035" max="12037" width="9.125" style="326"/>
    <col min="12038" max="12038" width="9.75" style="326" customWidth="1"/>
    <col min="12039" max="12041" width="9.125" style="326"/>
    <col min="12042" max="12042" width="10" style="326" customWidth="1"/>
    <col min="12043" max="12043" width="9.125" style="326"/>
    <col min="12044" max="12044" width="7.875" style="326" customWidth="1"/>
    <col min="12045" max="12046" width="8.25" style="326" customWidth="1"/>
    <col min="12047" max="12289" width="9.125" style="326"/>
    <col min="12290" max="12290" width="15.75" style="326" customWidth="1"/>
    <col min="12291" max="12293" width="9.125" style="326"/>
    <col min="12294" max="12294" width="9.75" style="326" customWidth="1"/>
    <col min="12295" max="12297" width="9.125" style="326"/>
    <col min="12298" max="12298" width="10" style="326" customWidth="1"/>
    <col min="12299" max="12299" width="9.125" style="326"/>
    <col min="12300" max="12300" width="7.875" style="326" customWidth="1"/>
    <col min="12301" max="12302" width="8.25" style="326" customWidth="1"/>
    <col min="12303" max="12545" width="9.125" style="326"/>
    <col min="12546" max="12546" width="15.75" style="326" customWidth="1"/>
    <col min="12547" max="12549" width="9.125" style="326"/>
    <col min="12550" max="12550" width="9.75" style="326" customWidth="1"/>
    <col min="12551" max="12553" width="9.125" style="326"/>
    <col min="12554" max="12554" width="10" style="326" customWidth="1"/>
    <col min="12555" max="12555" width="9.125" style="326"/>
    <col min="12556" max="12556" width="7.875" style="326" customWidth="1"/>
    <col min="12557" max="12558" width="8.25" style="326" customWidth="1"/>
    <col min="12559" max="12801" width="9.125" style="326"/>
    <col min="12802" max="12802" width="15.75" style="326" customWidth="1"/>
    <col min="12803" max="12805" width="9.125" style="326"/>
    <col min="12806" max="12806" width="9.75" style="326" customWidth="1"/>
    <col min="12807" max="12809" width="9.125" style="326"/>
    <col min="12810" max="12810" width="10" style="326" customWidth="1"/>
    <col min="12811" max="12811" width="9.125" style="326"/>
    <col min="12812" max="12812" width="7.875" style="326" customWidth="1"/>
    <col min="12813" max="12814" width="8.25" style="326" customWidth="1"/>
    <col min="12815" max="13057" width="9.125" style="326"/>
    <col min="13058" max="13058" width="15.75" style="326" customWidth="1"/>
    <col min="13059" max="13061" width="9.125" style="326"/>
    <col min="13062" max="13062" width="9.75" style="326" customWidth="1"/>
    <col min="13063" max="13065" width="9.125" style="326"/>
    <col min="13066" max="13066" width="10" style="326" customWidth="1"/>
    <col min="13067" max="13067" width="9.125" style="326"/>
    <col min="13068" max="13068" width="7.875" style="326" customWidth="1"/>
    <col min="13069" max="13070" width="8.25" style="326" customWidth="1"/>
    <col min="13071" max="13313" width="9.125" style="326"/>
    <col min="13314" max="13314" width="15.75" style="326" customWidth="1"/>
    <col min="13315" max="13317" width="9.125" style="326"/>
    <col min="13318" max="13318" width="9.75" style="326" customWidth="1"/>
    <col min="13319" max="13321" width="9.125" style="326"/>
    <col min="13322" max="13322" width="10" style="326" customWidth="1"/>
    <col min="13323" max="13323" width="9.125" style="326"/>
    <col min="13324" max="13324" width="7.875" style="326" customWidth="1"/>
    <col min="13325" max="13326" width="8.25" style="326" customWidth="1"/>
    <col min="13327" max="13569" width="9.125" style="326"/>
    <col min="13570" max="13570" width="15.75" style="326" customWidth="1"/>
    <col min="13571" max="13573" width="9.125" style="326"/>
    <col min="13574" max="13574" width="9.75" style="326" customWidth="1"/>
    <col min="13575" max="13577" width="9.125" style="326"/>
    <col min="13578" max="13578" width="10" style="326" customWidth="1"/>
    <col min="13579" max="13579" width="9.125" style="326"/>
    <col min="13580" max="13580" width="7.875" style="326" customWidth="1"/>
    <col min="13581" max="13582" width="8.25" style="326" customWidth="1"/>
    <col min="13583" max="13825" width="9.125" style="326"/>
    <col min="13826" max="13826" width="15.75" style="326" customWidth="1"/>
    <col min="13827" max="13829" width="9.125" style="326"/>
    <col min="13830" max="13830" width="9.75" style="326" customWidth="1"/>
    <col min="13831" max="13833" width="9.125" style="326"/>
    <col min="13834" max="13834" width="10" style="326" customWidth="1"/>
    <col min="13835" max="13835" width="9.125" style="326"/>
    <col min="13836" max="13836" width="7.875" style="326" customWidth="1"/>
    <col min="13837" max="13838" width="8.25" style="326" customWidth="1"/>
    <col min="13839" max="14081" width="9.125" style="326"/>
    <col min="14082" max="14082" width="15.75" style="326" customWidth="1"/>
    <col min="14083" max="14085" width="9.125" style="326"/>
    <col min="14086" max="14086" width="9.75" style="326" customWidth="1"/>
    <col min="14087" max="14089" width="9.125" style="326"/>
    <col min="14090" max="14090" width="10" style="326" customWidth="1"/>
    <col min="14091" max="14091" width="9.125" style="326"/>
    <col min="14092" max="14092" width="7.875" style="326" customWidth="1"/>
    <col min="14093" max="14094" width="8.25" style="326" customWidth="1"/>
    <col min="14095" max="14337" width="9.125" style="326"/>
    <col min="14338" max="14338" width="15.75" style="326" customWidth="1"/>
    <col min="14339" max="14341" width="9.125" style="326"/>
    <col min="14342" max="14342" width="9.75" style="326" customWidth="1"/>
    <col min="14343" max="14345" width="9.125" style="326"/>
    <col min="14346" max="14346" width="10" style="326" customWidth="1"/>
    <col min="14347" max="14347" width="9.125" style="326"/>
    <col min="14348" max="14348" width="7.875" style="326" customWidth="1"/>
    <col min="14349" max="14350" width="8.25" style="326" customWidth="1"/>
    <col min="14351" max="14593" width="9.125" style="326"/>
    <col min="14594" max="14594" width="15.75" style="326" customWidth="1"/>
    <col min="14595" max="14597" width="9.125" style="326"/>
    <col min="14598" max="14598" width="9.75" style="326" customWidth="1"/>
    <col min="14599" max="14601" width="9.125" style="326"/>
    <col min="14602" max="14602" width="10" style="326" customWidth="1"/>
    <col min="14603" max="14603" width="9.125" style="326"/>
    <col min="14604" max="14604" width="7.875" style="326" customWidth="1"/>
    <col min="14605" max="14606" width="8.25" style="326" customWidth="1"/>
    <col min="14607" max="14849" width="9.125" style="326"/>
    <col min="14850" max="14850" width="15.75" style="326" customWidth="1"/>
    <col min="14851" max="14853" width="9.125" style="326"/>
    <col min="14854" max="14854" width="9.75" style="326" customWidth="1"/>
    <col min="14855" max="14857" width="9.125" style="326"/>
    <col min="14858" max="14858" width="10" style="326" customWidth="1"/>
    <col min="14859" max="14859" width="9.125" style="326"/>
    <col min="14860" max="14860" width="7.875" style="326" customWidth="1"/>
    <col min="14861" max="14862" width="8.25" style="326" customWidth="1"/>
    <col min="14863" max="15105" width="9.125" style="326"/>
    <col min="15106" max="15106" width="15.75" style="326" customWidth="1"/>
    <col min="15107" max="15109" width="9.125" style="326"/>
    <col min="15110" max="15110" width="9.75" style="326" customWidth="1"/>
    <col min="15111" max="15113" width="9.125" style="326"/>
    <col min="15114" max="15114" width="10" style="326" customWidth="1"/>
    <col min="15115" max="15115" width="9.125" style="326"/>
    <col min="15116" max="15116" width="7.875" style="326" customWidth="1"/>
    <col min="15117" max="15118" width="8.25" style="326" customWidth="1"/>
    <col min="15119" max="15361" width="9.125" style="326"/>
    <col min="15362" max="15362" width="15.75" style="326" customWidth="1"/>
    <col min="15363" max="15365" width="9.125" style="326"/>
    <col min="15366" max="15366" width="9.75" style="326" customWidth="1"/>
    <col min="15367" max="15369" width="9.125" style="326"/>
    <col min="15370" max="15370" width="10" style="326" customWidth="1"/>
    <col min="15371" max="15371" width="9.125" style="326"/>
    <col min="15372" max="15372" width="7.875" style="326" customWidth="1"/>
    <col min="15373" max="15374" width="8.25" style="326" customWidth="1"/>
    <col min="15375" max="15617" width="9.125" style="326"/>
    <col min="15618" max="15618" width="15.75" style="326" customWidth="1"/>
    <col min="15619" max="15621" width="9.125" style="326"/>
    <col min="15622" max="15622" width="9.75" style="326" customWidth="1"/>
    <col min="15623" max="15625" width="9.125" style="326"/>
    <col min="15626" max="15626" width="10" style="326" customWidth="1"/>
    <col min="15627" max="15627" width="9.125" style="326"/>
    <col min="15628" max="15628" width="7.875" style="326" customWidth="1"/>
    <col min="15629" max="15630" width="8.25" style="326" customWidth="1"/>
    <col min="15631" max="15873" width="9.125" style="326"/>
    <col min="15874" max="15874" width="15.75" style="326" customWidth="1"/>
    <col min="15875" max="15877" width="9.125" style="326"/>
    <col min="15878" max="15878" width="9.75" style="326" customWidth="1"/>
    <col min="15879" max="15881" width="9.125" style="326"/>
    <col min="15882" max="15882" width="10" style="326" customWidth="1"/>
    <col min="15883" max="15883" width="9.125" style="326"/>
    <col min="15884" max="15884" width="7.875" style="326" customWidth="1"/>
    <col min="15885" max="15886" width="8.25" style="326" customWidth="1"/>
    <col min="15887" max="16129" width="9.125" style="326"/>
    <col min="16130" max="16130" width="15.75" style="326" customWidth="1"/>
    <col min="16131" max="16133" width="9.125" style="326"/>
    <col min="16134" max="16134" width="9.75" style="326" customWidth="1"/>
    <col min="16135" max="16137" width="9.125" style="326"/>
    <col min="16138" max="16138" width="10" style="326" customWidth="1"/>
    <col min="16139" max="16139" width="9.125" style="326"/>
    <col min="16140" max="16140" width="7.875" style="326" customWidth="1"/>
    <col min="16141" max="16142" width="8.25" style="326" customWidth="1"/>
    <col min="16143" max="16384" width="9.125" style="326"/>
  </cols>
  <sheetData>
    <row r="1" spans="1:14" ht="30.75">
      <c r="A1" s="1138" t="s">
        <v>532</v>
      </c>
      <c r="B1" s="1138"/>
      <c r="C1" s="1138"/>
      <c r="D1" s="1138"/>
      <c r="E1" s="1138"/>
      <c r="F1" s="1138"/>
      <c r="G1" s="1138"/>
      <c r="H1" s="1138"/>
      <c r="I1" s="1138"/>
      <c r="J1" s="1138"/>
      <c r="K1" s="1138"/>
      <c r="L1" s="1138"/>
      <c r="M1" s="1136" t="s">
        <v>516</v>
      </c>
      <c r="N1" s="1136"/>
    </row>
    <row r="2" spans="1:14" ht="20.25">
      <c r="A2" s="1084" t="s">
        <v>533</v>
      </c>
      <c r="B2" s="1084"/>
      <c r="C2" s="1084"/>
      <c r="D2" s="1084"/>
      <c r="E2" s="1084"/>
      <c r="F2" s="1084"/>
      <c r="G2" s="1084"/>
      <c r="H2" s="1084"/>
      <c r="I2" s="1084"/>
      <c r="J2" s="1084"/>
      <c r="K2" s="1084"/>
      <c r="L2" s="1084"/>
      <c r="M2" s="1139" t="s">
        <v>517</v>
      </c>
      <c r="N2" s="1139"/>
    </row>
    <row r="3" spans="1:14" ht="16.5">
      <c r="A3" s="1106" t="s">
        <v>814</v>
      </c>
      <c r="B3" s="1106"/>
      <c r="C3" s="1106"/>
      <c r="D3" s="1106"/>
      <c r="E3" s="1106"/>
      <c r="F3" s="1106"/>
      <c r="G3" s="1106"/>
      <c r="H3" s="1106"/>
      <c r="I3" s="1106"/>
      <c r="J3" s="1106"/>
      <c r="K3" s="1106"/>
      <c r="L3" s="1106"/>
      <c r="M3" s="1106"/>
      <c r="N3" s="1106"/>
    </row>
    <row r="4" spans="1:14" ht="20.25">
      <c r="A4" s="511"/>
      <c r="B4" s="511"/>
      <c r="C4" s="511"/>
      <c r="D4" s="511"/>
      <c r="E4" s="511"/>
      <c r="F4" s="511"/>
      <c r="G4" s="511"/>
      <c r="H4" s="511"/>
      <c r="I4" s="1082" t="s">
        <v>618</v>
      </c>
      <c r="J4" s="1082"/>
      <c r="K4" s="1082"/>
      <c r="L4" s="1082"/>
      <c r="M4" s="1082"/>
      <c r="N4" s="1082"/>
    </row>
    <row r="5" spans="1:14" ht="18.75">
      <c r="A5" s="511"/>
      <c r="B5" s="511"/>
      <c r="C5" s="511"/>
      <c r="D5" s="511"/>
      <c r="E5" s="511"/>
      <c r="F5" s="511"/>
      <c r="G5" s="511"/>
      <c r="H5" s="511"/>
      <c r="I5" s="511"/>
      <c r="J5" s="1140">
        <f>Summary!$C$1</f>
        <v>30695</v>
      </c>
      <c r="K5" s="1140"/>
      <c r="L5" s="1140"/>
      <c r="M5" s="1136" t="s">
        <v>517</v>
      </c>
      <c r="N5" s="1136"/>
    </row>
    <row r="6" spans="1:14" ht="18.75">
      <c r="A6" s="1136" t="s">
        <v>815</v>
      </c>
      <c r="B6" s="1136"/>
      <c r="C6" s="1136"/>
      <c r="D6" s="1136"/>
      <c r="E6" s="1136"/>
      <c r="F6" s="1136"/>
      <c r="G6" s="1136"/>
      <c r="H6" s="1136"/>
      <c r="I6" s="1136"/>
      <c r="J6" s="1136"/>
      <c r="K6" s="1136"/>
      <c r="L6" s="1136"/>
      <c r="M6" s="1136"/>
      <c r="N6" s="1136"/>
    </row>
    <row r="7" spans="1:14" ht="18.75">
      <c r="A7" s="1136" t="s">
        <v>518</v>
      </c>
      <c r="B7" s="1136"/>
      <c r="C7" s="1136"/>
      <c r="D7" s="1137" t="str">
        <f>Summary!A5</f>
        <v>BUDGET HEAD : 2202-GENERAL EDUCATION, 02-SECONDARY EDUCATION, 109-GOVT. SEC. SCHOOL, (02)-GIRLS SCHOOL (STATE FUND)</v>
      </c>
      <c r="E7" s="1137"/>
      <c r="F7" s="1137"/>
      <c r="G7" s="1137"/>
      <c r="H7" s="1137"/>
      <c r="I7" s="1137"/>
      <c r="J7" s="1137"/>
      <c r="K7" s="1137"/>
      <c r="L7" s="1137"/>
      <c r="M7" s="1137"/>
      <c r="N7" s="1137"/>
    </row>
    <row r="8" spans="1:14" s="629" customFormat="1" ht="31.5" customHeight="1">
      <c r="A8" s="1130" t="s">
        <v>519</v>
      </c>
      <c r="B8" s="1130"/>
      <c r="C8" s="1130"/>
      <c r="D8" s="1129" t="s">
        <v>534</v>
      </c>
      <c r="E8" s="1129"/>
      <c r="F8" s="1128" t="str">
        <f>Summary!A2</f>
        <v>iz/kkukpk;Z egkRek xka/kh jktdh; fo|ky; ¼vaxzsth ek/;e½ cj ] C;koj</v>
      </c>
      <c r="G8" s="1128"/>
      <c r="H8" s="1128"/>
      <c r="I8" s="1128"/>
      <c r="J8" s="1128"/>
      <c r="K8" s="1128"/>
      <c r="L8" s="1128"/>
      <c r="M8" s="1128"/>
      <c r="N8" s="1128"/>
    </row>
    <row r="9" spans="1:14" s="342" customFormat="1" ht="40.5" customHeight="1">
      <c r="A9" s="1131" t="s">
        <v>354</v>
      </c>
      <c r="B9" s="1131" t="s">
        <v>520</v>
      </c>
      <c r="C9" s="1132" t="s">
        <v>620</v>
      </c>
      <c r="D9" s="1133"/>
      <c r="E9" s="1133"/>
      <c r="F9" s="1134" t="s">
        <v>816</v>
      </c>
      <c r="G9" s="1132" t="s">
        <v>621</v>
      </c>
      <c r="H9" s="1133"/>
      <c r="I9" s="1133"/>
      <c r="J9" s="1134" t="s">
        <v>818</v>
      </c>
      <c r="K9" s="1134" t="s">
        <v>816</v>
      </c>
      <c r="L9" s="1134" t="s">
        <v>619</v>
      </c>
      <c r="M9" s="1133"/>
      <c r="N9" s="1133"/>
    </row>
    <row r="10" spans="1:14" s="342" customFormat="1" ht="40.5" customHeight="1">
      <c r="A10" s="1131"/>
      <c r="B10" s="1131"/>
      <c r="C10" s="633" t="s">
        <v>690</v>
      </c>
      <c r="D10" s="633" t="s">
        <v>694</v>
      </c>
      <c r="E10" s="633" t="s">
        <v>740</v>
      </c>
      <c r="F10" s="1133"/>
      <c r="G10" s="630" t="s">
        <v>749</v>
      </c>
      <c r="H10" s="630" t="s">
        <v>817</v>
      </c>
      <c r="I10" s="630" t="s">
        <v>521</v>
      </c>
      <c r="J10" s="1133"/>
      <c r="K10" s="1133"/>
      <c r="L10" s="634" t="s">
        <v>622</v>
      </c>
      <c r="M10" s="634" t="s">
        <v>623</v>
      </c>
      <c r="N10" s="634" t="s">
        <v>624</v>
      </c>
    </row>
    <row r="11" spans="1:14" s="347" customFormat="1">
      <c r="A11" s="631">
        <v>1</v>
      </c>
      <c r="B11" s="635">
        <v>2</v>
      </c>
      <c r="C11" s="635">
        <v>3</v>
      </c>
      <c r="D11" s="635">
        <v>4</v>
      </c>
      <c r="E11" s="635">
        <v>5</v>
      </c>
      <c r="F11" s="635">
        <v>6</v>
      </c>
      <c r="G11" s="635">
        <v>7</v>
      </c>
      <c r="H11" s="635">
        <v>8</v>
      </c>
      <c r="I11" s="635">
        <v>9</v>
      </c>
      <c r="J11" s="635">
        <v>10</v>
      </c>
      <c r="K11" s="635">
        <v>11</v>
      </c>
      <c r="L11" s="635">
        <v>12</v>
      </c>
      <c r="M11" s="635">
        <v>13</v>
      </c>
      <c r="N11" s="635">
        <v>14</v>
      </c>
    </row>
    <row r="12" spans="1:14" s="342" customFormat="1" ht="20.25" customHeight="1">
      <c r="A12" s="632">
        <v>1</v>
      </c>
      <c r="B12" s="636" t="s">
        <v>522</v>
      </c>
      <c r="C12" s="632"/>
      <c r="D12" s="632"/>
      <c r="E12" s="632"/>
      <c r="F12" s="632"/>
      <c r="G12" s="632"/>
      <c r="H12" s="632"/>
      <c r="I12" s="632">
        <f>G12+H12</f>
        <v>0</v>
      </c>
      <c r="J12" s="632">
        <f>'GA1'!R24</f>
        <v>4841600</v>
      </c>
      <c r="K12" s="632">
        <f>'GA1'!M24</f>
        <v>7406400</v>
      </c>
      <c r="L12" s="632">
        <f>F12-J12</f>
        <v>-4841600</v>
      </c>
      <c r="M12" s="632">
        <f>I12-J12</f>
        <v>-4841600</v>
      </c>
      <c r="N12" s="632">
        <f>J12-K12</f>
        <v>-2564800</v>
      </c>
    </row>
    <row r="13" spans="1:14" s="342" customFormat="1" ht="20.25" customHeight="1">
      <c r="A13" s="632">
        <v>2</v>
      </c>
      <c r="B13" s="636" t="s">
        <v>523</v>
      </c>
      <c r="C13" s="632"/>
      <c r="D13" s="632"/>
      <c r="E13" s="632"/>
      <c r="F13" s="632"/>
      <c r="G13" s="632"/>
      <c r="H13" s="632"/>
      <c r="I13" s="632">
        <f t="shared" ref="I13:I15" si="0">G13+H13</f>
        <v>0</v>
      </c>
      <c r="J13" s="632">
        <v>0</v>
      </c>
      <c r="K13" s="632">
        <v>0</v>
      </c>
      <c r="L13" s="632">
        <f t="shared" ref="L13:L15" si="1">F13-J13</f>
        <v>0</v>
      </c>
      <c r="M13" s="632">
        <f t="shared" ref="M13:N15" si="2">I13-J13</f>
        <v>0</v>
      </c>
      <c r="N13" s="632">
        <f t="shared" si="2"/>
        <v>0</v>
      </c>
    </row>
    <row r="14" spans="1:14" s="342" customFormat="1" ht="20.25" customHeight="1">
      <c r="A14" s="632">
        <v>3</v>
      </c>
      <c r="B14" s="636" t="s">
        <v>524</v>
      </c>
      <c r="C14" s="632"/>
      <c r="D14" s="632"/>
      <c r="E14" s="632"/>
      <c r="F14" s="632"/>
      <c r="G14" s="632"/>
      <c r="H14" s="632"/>
      <c r="I14" s="632">
        <f t="shared" si="0"/>
        <v>0</v>
      </c>
      <c r="J14" s="632">
        <v>0</v>
      </c>
      <c r="K14" s="632">
        <v>0</v>
      </c>
      <c r="L14" s="632">
        <f t="shared" si="1"/>
        <v>0</v>
      </c>
      <c r="M14" s="632">
        <f t="shared" si="2"/>
        <v>0</v>
      </c>
      <c r="N14" s="632">
        <f t="shared" si="2"/>
        <v>0</v>
      </c>
    </row>
    <row r="15" spans="1:14" s="342" customFormat="1" ht="20.25" customHeight="1">
      <c r="A15" s="632">
        <v>4</v>
      </c>
      <c r="B15" s="636" t="s">
        <v>525</v>
      </c>
      <c r="C15" s="632"/>
      <c r="D15" s="632"/>
      <c r="E15" s="632"/>
      <c r="F15" s="632"/>
      <c r="G15" s="632"/>
      <c r="H15" s="632"/>
      <c r="I15" s="632">
        <f t="shared" si="0"/>
        <v>0</v>
      </c>
      <c r="J15" s="632">
        <v>0</v>
      </c>
      <c r="K15" s="632">
        <v>0</v>
      </c>
      <c r="L15" s="632">
        <f t="shared" si="1"/>
        <v>0</v>
      </c>
      <c r="M15" s="632">
        <f t="shared" si="2"/>
        <v>0</v>
      </c>
      <c r="N15" s="632">
        <f t="shared" si="2"/>
        <v>0</v>
      </c>
    </row>
    <row r="16" spans="1:14" s="342" customFormat="1" ht="20.25" customHeight="1">
      <c r="A16" s="632">
        <v>5</v>
      </c>
      <c r="B16" s="637" t="s">
        <v>526</v>
      </c>
      <c r="C16" s="632"/>
      <c r="D16" s="632"/>
      <c r="E16" s="632"/>
      <c r="F16" s="632"/>
      <c r="G16" s="632"/>
      <c r="H16" s="632"/>
      <c r="I16" s="632">
        <v>0</v>
      </c>
      <c r="J16" s="632">
        <v>0</v>
      </c>
      <c r="K16" s="632">
        <v>0</v>
      </c>
      <c r="L16" s="632">
        <v>0</v>
      </c>
      <c r="M16" s="632">
        <v>0</v>
      </c>
      <c r="N16" s="632">
        <v>0</v>
      </c>
    </row>
    <row r="17" spans="1:14" s="342" customFormat="1" ht="20.25" customHeight="1">
      <c r="A17" s="632">
        <v>6</v>
      </c>
      <c r="B17" s="636" t="s">
        <v>527</v>
      </c>
      <c r="C17" s="632"/>
      <c r="D17" s="632"/>
      <c r="E17" s="632"/>
      <c r="F17" s="632"/>
      <c r="G17" s="632"/>
      <c r="H17" s="632"/>
      <c r="I17" s="632">
        <f>G17+H17</f>
        <v>0</v>
      </c>
      <c r="J17" s="632">
        <v>0</v>
      </c>
      <c r="K17" s="632">
        <v>0</v>
      </c>
      <c r="L17" s="632">
        <f>F17-J17</f>
        <v>0</v>
      </c>
      <c r="M17" s="632">
        <f t="shared" ref="M17:N21" si="3">I17-J17</f>
        <v>0</v>
      </c>
      <c r="N17" s="632">
        <f t="shared" si="3"/>
        <v>0</v>
      </c>
    </row>
    <row r="18" spans="1:14" s="342" customFormat="1" ht="20.25" customHeight="1">
      <c r="A18" s="632">
        <v>7</v>
      </c>
      <c r="B18" s="636" t="s">
        <v>528</v>
      </c>
      <c r="C18" s="632"/>
      <c r="D18" s="632"/>
      <c r="E18" s="632"/>
      <c r="F18" s="632"/>
      <c r="G18" s="632"/>
      <c r="H18" s="632"/>
      <c r="I18" s="632">
        <f>G18+H18</f>
        <v>0</v>
      </c>
      <c r="J18" s="632">
        <v>0</v>
      </c>
      <c r="K18" s="632">
        <v>0</v>
      </c>
      <c r="L18" s="632">
        <f>F18-J18</f>
        <v>0</v>
      </c>
      <c r="M18" s="632">
        <f t="shared" si="3"/>
        <v>0</v>
      </c>
      <c r="N18" s="632">
        <f t="shared" si="3"/>
        <v>0</v>
      </c>
    </row>
    <row r="19" spans="1:14" s="342" customFormat="1" ht="20.25" customHeight="1">
      <c r="A19" s="632">
        <v>8</v>
      </c>
      <c r="B19" s="636" t="s">
        <v>529</v>
      </c>
      <c r="C19" s="632"/>
      <c r="D19" s="632"/>
      <c r="E19" s="632"/>
      <c r="F19" s="632"/>
      <c r="G19" s="632"/>
      <c r="H19" s="632"/>
      <c r="I19" s="632">
        <f>G19+H19</f>
        <v>0</v>
      </c>
      <c r="J19" s="632">
        <v>0</v>
      </c>
      <c r="K19" s="632">
        <v>0</v>
      </c>
      <c r="L19" s="632">
        <f>F19-J19</f>
        <v>0</v>
      </c>
      <c r="M19" s="632">
        <f>I19-J19</f>
        <v>0</v>
      </c>
      <c r="N19" s="632">
        <f>J19-K19</f>
        <v>0</v>
      </c>
    </row>
    <row r="20" spans="1:14" s="342" customFormat="1" ht="20.25" customHeight="1">
      <c r="A20" s="632">
        <v>9</v>
      </c>
      <c r="B20" s="636" t="s">
        <v>530</v>
      </c>
      <c r="C20" s="632"/>
      <c r="D20" s="632"/>
      <c r="E20" s="632"/>
      <c r="F20" s="632"/>
      <c r="G20" s="632"/>
      <c r="H20" s="632"/>
      <c r="I20" s="632">
        <f>G20+H20</f>
        <v>0</v>
      </c>
      <c r="J20" s="632">
        <v>0</v>
      </c>
      <c r="K20" s="632">
        <v>0</v>
      </c>
      <c r="L20" s="632">
        <f>F20-J20</f>
        <v>0</v>
      </c>
      <c r="M20" s="632">
        <f t="shared" si="3"/>
        <v>0</v>
      </c>
      <c r="N20" s="632">
        <f t="shared" si="3"/>
        <v>0</v>
      </c>
    </row>
    <row r="21" spans="1:14" s="342" customFormat="1" ht="20.25" customHeight="1">
      <c r="A21" s="632">
        <v>10</v>
      </c>
      <c r="B21" s="636" t="s">
        <v>531</v>
      </c>
      <c r="C21" s="632"/>
      <c r="D21" s="632"/>
      <c r="E21" s="632"/>
      <c r="F21" s="632"/>
      <c r="G21" s="632"/>
      <c r="H21" s="632"/>
      <c r="I21" s="632">
        <f>G21+H21</f>
        <v>0</v>
      </c>
      <c r="J21" s="632">
        <v>0</v>
      </c>
      <c r="K21" s="632">
        <v>0</v>
      </c>
      <c r="L21" s="632">
        <f>F21-J21</f>
        <v>0</v>
      </c>
      <c r="M21" s="632">
        <f t="shared" si="3"/>
        <v>0</v>
      </c>
      <c r="N21" s="632">
        <f t="shared" si="3"/>
        <v>0</v>
      </c>
    </row>
    <row r="22" spans="1:14" s="348" customFormat="1" ht="21.75" customHeight="1">
      <c r="A22" s="630"/>
      <c r="B22" s="638" t="s">
        <v>347</v>
      </c>
      <c r="C22" s="633">
        <f>SUM(C11:C21)-C11</f>
        <v>0</v>
      </c>
      <c r="D22" s="633">
        <f t="shared" ref="D22:N22" si="4">SUM(D11:D21)-D11</f>
        <v>0</v>
      </c>
      <c r="E22" s="633">
        <f t="shared" si="4"/>
        <v>0</v>
      </c>
      <c r="F22" s="633">
        <f t="shared" si="4"/>
        <v>0</v>
      </c>
      <c r="G22" s="633">
        <f t="shared" si="4"/>
        <v>0</v>
      </c>
      <c r="H22" s="633">
        <f t="shared" si="4"/>
        <v>0</v>
      </c>
      <c r="I22" s="633">
        <f t="shared" si="4"/>
        <v>0</v>
      </c>
      <c r="J22" s="633">
        <f t="shared" si="4"/>
        <v>4841600</v>
      </c>
      <c r="K22" s="633">
        <f t="shared" si="4"/>
        <v>7406400</v>
      </c>
      <c r="L22" s="633">
        <f t="shared" si="4"/>
        <v>-4841600</v>
      </c>
      <c r="M22" s="633">
        <f t="shared" si="4"/>
        <v>-4841600</v>
      </c>
      <c r="N22" s="633">
        <f t="shared" si="4"/>
        <v>-2564800</v>
      </c>
    </row>
    <row r="23" spans="1:14" ht="18.75">
      <c r="A23" s="555" t="s">
        <v>550</v>
      </c>
    </row>
    <row r="24" spans="1:14" ht="18.75">
      <c r="A24" s="555"/>
    </row>
    <row r="26" spans="1:14">
      <c r="K26" s="1135" t="str">
        <f>CONCATENATE("¼ ",Master!G3,"½")</f>
        <v>¼ m"kk ikfy;k½</v>
      </c>
      <c r="L26" s="1135"/>
      <c r="M26" s="1135"/>
      <c r="N26" s="1135"/>
    </row>
    <row r="27" spans="1:14" ht="16.5">
      <c r="K27" s="928" t="str">
        <f>Master!C2</f>
        <v>iz/kkukpk;Z</v>
      </c>
      <c r="L27" s="928"/>
      <c r="M27" s="928"/>
      <c r="N27" s="928"/>
    </row>
    <row r="28" spans="1:14" ht="21" customHeight="1">
      <c r="K28" s="923" t="str">
        <f>Master!D2</f>
        <v>egkRek xka/kh jktdh; fo|ky; ¼vaxzsth ek/;e½ cj ] C;koj</v>
      </c>
      <c r="L28" s="923"/>
      <c r="M28" s="923"/>
      <c r="N28" s="923"/>
    </row>
    <row r="29" spans="1:14" ht="15" customHeight="1">
      <c r="K29" s="923"/>
      <c r="L29" s="923"/>
      <c r="M29" s="923"/>
      <c r="N29" s="923"/>
    </row>
    <row r="30" spans="1:14" ht="15.75">
      <c r="K30" s="349"/>
    </row>
  </sheetData>
  <mergeCells count="25">
    <mergeCell ref="A7:C7"/>
    <mergeCell ref="D7:N7"/>
    <mergeCell ref="A1:L1"/>
    <mergeCell ref="M1:N1"/>
    <mergeCell ref="A2:L2"/>
    <mergeCell ref="M2:N2"/>
    <mergeCell ref="A3:N3"/>
    <mergeCell ref="I4:N4"/>
    <mergeCell ref="M5:N5"/>
    <mergeCell ref="J5:L5"/>
    <mergeCell ref="A6:N6"/>
    <mergeCell ref="F8:N8"/>
    <mergeCell ref="D8:E8"/>
    <mergeCell ref="K27:N27"/>
    <mergeCell ref="K28:N29"/>
    <mergeCell ref="A8:C8"/>
    <mergeCell ref="A9:A10"/>
    <mergeCell ref="B9:B10"/>
    <mergeCell ref="C9:E9"/>
    <mergeCell ref="F9:F10"/>
    <mergeCell ref="G9:I9"/>
    <mergeCell ref="J9:J10"/>
    <mergeCell ref="K9:K10"/>
    <mergeCell ref="L9:N9"/>
    <mergeCell ref="K26:N26"/>
  </mergeCells>
  <conditionalFormatting sqref="A23:A24">
    <cfRule type="containsText" dxfId="1" priority="1" operator="containsText" text="in fjDr">
      <formula>NOT(ISERROR(SEARCH("in fjDr",A23)))</formula>
    </cfRule>
  </conditionalFormatting>
  <pageMargins left="0.4" right="0.2" top="0.25" bottom="0.25" header="0.3" footer="0.3"/>
  <pageSetup paperSize="9" scale="93" orientation="landscape" blackAndWhite="1" horizontalDpi="300" verticalDpi="300" r:id="rId1"/>
</worksheet>
</file>

<file path=xl/worksheets/sheet29.xml><?xml version="1.0" encoding="utf-8"?>
<worksheet xmlns="http://schemas.openxmlformats.org/spreadsheetml/2006/main" xmlns:r="http://schemas.openxmlformats.org/officeDocument/2006/relationships">
  <sheetPr codeName="Sheet27">
    <tabColor theme="9" tint="-0.249977111117893"/>
    <pageSetUpPr fitToPage="1"/>
  </sheetPr>
  <dimension ref="A1:N24"/>
  <sheetViews>
    <sheetView showGridLines="0" view="pageBreakPreview" zoomScaleSheetLayoutView="100" workbookViewId="0">
      <selection activeCell="Q10" sqref="Q10"/>
    </sheetView>
  </sheetViews>
  <sheetFormatPr defaultRowHeight="15"/>
  <cols>
    <col min="1" max="1" width="5.125" style="328" customWidth="1"/>
    <col min="2" max="2" width="18.875" style="326" customWidth="1"/>
    <col min="3" max="5" width="9.125" style="328"/>
    <col min="6" max="6" width="10.25" style="328" customWidth="1"/>
    <col min="7" max="8" width="9.125" style="328"/>
    <col min="9" max="9" width="10.25" style="328" customWidth="1"/>
    <col min="10" max="10" width="10.75" style="328" customWidth="1"/>
    <col min="11" max="11" width="10.625" style="328" customWidth="1"/>
    <col min="12" max="12" width="11.875" style="328" customWidth="1"/>
    <col min="13" max="13" width="11.75" style="328" customWidth="1"/>
    <col min="14" max="14" width="11.875" style="328" customWidth="1"/>
    <col min="15" max="256" width="9.125" style="326"/>
    <col min="257" max="257" width="5.125" style="326" customWidth="1"/>
    <col min="258" max="258" width="17.125" style="326" customWidth="1"/>
    <col min="259" max="261" width="9.125" style="326"/>
    <col min="262" max="262" width="10.25" style="326" customWidth="1"/>
    <col min="263" max="265" width="9.125" style="326"/>
    <col min="266" max="266" width="9.875" style="326" customWidth="1"/>
    <col min="267" max="267" width="9.125" style="326"/>
    <col min="268" max="270" width="10" style="326" customWidth="1"/>
    <col min="271" max="512" width="9.125" style="326"/>
    <col min="513" max="513" width="5.125" style="326" customWidth="1"/>
    <col min="514" max="514" width="17.125" style="326" customWidth="1"/>
    <col min="515" max="517" width="9.125" style="326"/>
    <col min="518" max="518" width="10.25" style="326" customWidth="1"/>
    <col min="519" max="521" width="9.125" style="326"/>
    <col min="522" max="522" width="9.875" style="326" customWidth="1"/>
    <col min="523" max="523" width="9.125" style="326"/>
    <col min="524" max="526" width="10" style="326" customWidth="1"/>
    <col min="527" max="768" width="9.125" style="326"/>
    <col min="769" max="769" width="5.125" style="326" customWidth="1"/>
    <col min="770" max="770" width="17.125" style="326" customWidth="1"/>
    <col min="771" max="773" width="9.125" style="326"/>
    <col min="774" max="774" width="10.25" style="326" customWidth="1"/>
    <col min="775" max="777" width="9.125" style="326"/>
    <col min="778" max="778" width="9.875" style="326" customWidth="1"/>
    <col min="779" max="779" width="9.125" style="326"/>
    <col min="780" max="782" width="10" style="326" customWidth="1"/>
    <col min="783" max="1024" width="9.125" style="326"/>
    <col min="1025" max="1025" width="5.125" style="326" customWidth="1"/>
    <col min="1026" max="1026" width="17.125" style="326" customWidth="1"/>
    <col min="1027" max="1029" width="9.125" style="326"/>
    <col min="1030" max="1030" width="10.25" style="326" customWidth="1"/>
    <col min="1031" max="1033" width="9.125" style="326"/>
    <col min="1034" max="1034" width="9.875" style="326" customWidth="1"/>
    <col min="1035" max="1035" width="9.125" style="326"/>
    <col min="1036" max="1038" width="10" style="326" customWidth="1"/>
    <col min="1039" max="1280" width="9.125" style="326"/>
    <col min="1281" max="1281" width="5.125" style="326" customWidth="1"/>
    <col min="1282" max="1282" width="17.125" style="326" customWidth="1"/>
    <col min="1283" max="1285" width="9.125" style="326"/>
    <col min="1286" max="1286" width="10.25" style="326" customWidth="1"/>
    <col min="1287" max="1289" width="9.125" style="326"/>
    <col min="1290" max="1290" width="9.875" style="326" customWidth="1"/>
    <col min="1291" max="1291" width="9.125" style="326"/>
    <col min="1292" max="1294" width="10" style="326" customWidth="1"/>
    <col min="1295" max="1536" width="9.125" style="326"/>
    <col min="1537" max="1537" width="5.125" style="326" customWidth="1"/>
    <col min="1538" max="1538" width="17.125" style="326" customWidth="1"/>
    <col min="1539" max="1541" width="9.125" style="326"/>
    <col min="1542" max="1542" width="10.25" style="326" customWidth="1"/>
    <col min="1543" max="1545" width="9.125" style="326"/>
    <col min="1546" max="1546" width="9.875" style="326" customWidth="1"/>
    <col min="1547" max="1547" width="9.125" style="326"/>
    <col min="1548" max="1550" width="10" style="326" customWidth="1"/>
    <col min="1551" max="1792" width="9.125" style="326"/>
    <col min="1793" max="1793" width="5.125" style="326" customWidth="1"/>
    <col min="1794" max="1794" width="17.125" style="326" customWidth="1"/>
    <col min="1795" max="1797" width="9.125" style="326"/>
    <col min="1798" max="1798" width="10.25" style="326" customWidth="1"/>
    <col min="1799" max="1801" width="9.125" style="326"/>
    <col min="1802" max="1802" width="9.875" style="326" customWidth="1"/>
    <col min="1803" max="1803" width="9.125" style="326"/>
    <col min="1804" max="1806" width="10" style="326" customWidth="1"/>
    <col min="1807" max="2048" width="9.125" style="326"/>
    <col min="2049" max="2049" width="5.125" style="326" customWidth="1"/>
    <col min="2050" max="2050" width="17.125" style="326" customWidth="1"/>
    <col min="2051" max="2053" width="9.125" style="326"/>
    <col min="2054" max="2054" width="10.25" style="326" customWidth="1"/>
    <col min="2055" max="2057" width="9.125" style="326"/>
    <col min="2058" max="2058" width="9.875" style="326" customWidth="1"/>
    <col min="2059" max="2059" width="9.125" style="326"/>
    <col min="2060" max="2062" width="10" style="326" customWidth="1"/>
    <col min="2063" max="2304" width="9.125" style="326"/>
    <col min="2305" max="2305" width="5.125" style="326" customWidth="1"/>
    <col min="2306" max="2306" width="17.125" style="326" customWidth="1"/>
    <col min="2307" max="2309" width="9.125" style="326"/>
    <col min="2310" max="2310" width="10.25" style="326" customWidth="1"/>
    <col min="2311" max="2313" width="9.125" style="326"/>
    <col min="2314" max="2314" width="9.875" style="326" customWidth="1"/>
    <col min="2315" max="2315" width="9.125" style="326"/>
    <col min="2316" max="2318" width="10" style="326" customWidth="1"/>
    <col min="2319" max="2560" width="9.125" style="326"/>
    <col min="2561" max="2561" width="5.125" style="326" customWidth="1"/>
    <col min="2562" max="2562" width="17.125" style="326" customWidth="1"/>
    <col min="2563" max="2565" width="9.125" style="326"/>
    <col min="2566" max="2566" width="10.25" style="326" customWidth="1"/>
    <col min="2567" max="2569" width="9.125" style="326"/>
    <col min="2570" max="2570" width="9.875" style="326" customWidth="1"/>
    <col min="2571" max="2571" width="9.125" style="326"/>
    <col min="2572" max="2574" width="10" style="326" customWidth="1"/>
    <col min="2575" max="2816" width="9.125" style="326"/>
    <col min="2817" max="2817" width="5.125" style="326" customWidth="1"/>
    <col min="2818" max="2818" width="17.125" style="326" customWidth="1"/>
    <col min="2819" max="2821" width="9.125" style="326"/>
    <col min="2822" max="2822" width="10.25" style="326" customWidth="1"/>
    <col min="2823" max="2825" width="9.125" style="326"/>
    <col min="2826" max="2826" width="9.875" style="326" customWidth="1"/>
    <col min="2827" max="2827" width="9.125" style="326"/>
    <col min="2828" max="2830" width="10" style="326" customWidth="1"/>
    <col min="2831" max="3072" width="9.125" style="326"/>
    <col min="3073" max="3073" width="5.125" style="326" customWidth="1"/>
    <col min="3074" max="3074" width="17.125" style="326" customWidth="1"/>
    <col min="3075" max="3077" width="9.125" style="326"/>
    <col min="3078" max="3078" width="10.25" style="326" customWidth="1"/>
    <col min="3079" max="3081" width="9.125" style="326"/>
    <col min="3082" max="3082" width="9.875" style="326" customWidth="1"/>
    <col min="3083" max="3083" width="9.125" style="326"/>
    <col min="3084" max="3086" width="10" style="326" customWidth="1"/>
    <col min="3087" max="3328" width="9.125" style="326"/>
    <col min="3329" max="3329" width="5.125" style="326" customWidth="1"/>
    <col min="3330" max="3330" width="17.125" style="326" customWidth="1"/>
    <col min="3331" max="3333" width="9.125" style="326"/>
    <col min="3334" max="3334" width="10.25" style="326" customWidth="1"/>
    <col min="3335" max="3337" width="9.125" style="326"/>
    <col min="3338" max="3338" width="9.875" style="326" customWidth="1"/>
    <col min="3339" max="3339" width="9.125" style="326"/>
    <col min="3340" max="3342" width="10" style="326" customWidth="1"/>
    <col min="3343" max="3584" width="9.125" style="326"/>
    <col min="3585" max="3585" width="5.125" style="326" customWidth="1"/>
    <col min="3586" max="3586" width="17.125" style="326" customWidth="1"/>
    <col min="3587" max="3589" width="9.125" style="326"/>
    <col min="3590" max="3590" width="10.25" style="326" customWidth="1"/>
    <col min="3591" max="3593" width="9.125" style="326"/>
    <col min="3594" max="3594" width="9.875" style="326" customWidth="1"/>
    <col min="3595" max="3595" width="9.125" style="326"/>
    <col min="3596" max="3598" width="10" style="326" customWidth="1"/>
    <col min="3599" max="3840" width="9.125" style="326"/>
    <col min="3841" max="3841" width="5.125" style="326" customWidth="1"/>
    <col min="3842" max="3842" width="17.125" style="326" customWidth="1"/>
    <col min="3843" max="3845" width="9.125" style="326"/>
    <col min="3846" max="3846" width="10.25" style="326" customWidth="1"/>
    <col min="3847" max="3849" width="9.125" style="326"/>
    <col min="3850" max="3850" width="9.875" style="326" customWidth="1"/>
    <col min="3851" max="3851" width="9.125" style="326"/>
    <col min="3852" max="3854" width="10" style="326" customWidth="1"/>
    <col min="3855" max="4096" width="9.125" style="326"/>
    <col min="4097" max="4097" width="5.125" style="326" customWidth="1"/>
    <col min="4098" max="4098" width="17.125" style="326" customWidth="1"/>
    <col min="4099" max="4101" width="9.125" style="326"/>
    <col min="4102" max="4102" width="10.25" style="326" customWidth="1"/>
    <col min="4103" max="4105" width="9.125" style="326"/>
    <col min="4106" max="4106" width="9.875" style="326" customWidth="1"/>
    <col min="4107" max="4107" width="9.125" style="326"/>
    <col min="4108" max="4110" width="10" style="326" customWidth="1"/>
    <col min="4111" max="4352" width="9.125" style="326"/>
    <col min="4353" max="4353" width="5.125" style="326" customWidth="1"/>
    <col min="4354" max="4354" width="17.125" style="326" customWidth="1"/>
    <col min="4355" max="4357" width="9.125" style="326"/>
    <col min="4358" max="4358" width="10.25" style="326" customWidth="1"/>
    <col min="4359" max="4361" width="9.125" style="326"/>
    <col min="4362" max="4362" width="9.875" style="326" customWidth="1"/>
    <col min="4363" max="4363" width="9.125" style="326"/>
    <col min="4364" max="4366" width="10" style="326" customWidth="1"/>
    <col min="4367" max="4608" width="9.125" style="326"/>
    <col min="4609" max="4609" width="5.125" style="326" customWidth="1"/>
    <col min="4610" max="4610" width="17.125" style="326" customWidth="1"/>
    <col min="4611" max="4613" width="9.125" style="326"/>
    <col min="4614" max="4614" width="10.25" style="326" customWidth="1"/>
    <col min="4615" max="4617" width="9.125" style="326"/>
    <col min="4618" max="4618" width="9.875" style="326" customWidth="1"/>
    <col min="4619" max="4619" width="9.125" style="326"/>
    <col min="4620" max="4622" width="10" style="326" customWidth="1"/>
    <col min="4623" max="4864" width="9.125" style="326"/>
    <col min="4865" max="4865" width="5.125" style="326" customWidth="1"/>
    <col min="4866" max="4866" width="17.125" style="326" customWidth="1"/>
    <col min="4867" max="4869" width="9.125" style="326"/>
    <col min="4870" max="4870" width="10.25" style="326" customWidth="1"/>
    <col min="4871" max="4873" width="9.125" style="326"/>
    <col min="4874" max="4874" width="9.875" style="326" customWidth="1"/>
    <col min="4875" max="4875" width="9.125" style="326"/>
    <col min="4876" max="4878" width="10" style="326" customWidth="1"/>
    <col min="4879" max="5120" width="9.125" style="326"/>
    <col min="5121" max="5121" width="5.125" style="326" customWidth="1"/>
    <col min="5122" max="5122" width="17.125" style="326" customWidth="1"/>
    <col min="5123" max="5125" width="9.125" style="326"/>
    <col min="5126" max="5126" width="10.25" style="326" customWidth="1"/>
    <col min="5127" max="5129" width="9.125" style="326"/>
    <col min="5130" max="5130" width="9.875" style="326" customWidth="1"/>
    <col min="5131" max="5131" width="9.125" style="326"/>
    <col min="5132" max="5134" width="10" style="326" customWidth="1"/>
    <col min="5135" max="5376" width="9.125" style="326"/>
    <col min="5377" max="5377" width="5.125" style="326" customWidth="1"/>
    <col min="5378" max="5378" width="17.125" style="326" customWidth="1"/>
    <col min="5379" max="5381" width="9.125" style="326"/>
    <col min="5382" max="5382" width="10.25" style="326" customWidth="1"/>
    <col min="5383" max="5385" width="9.125" style="326"/>
    <col min="5386" max="5386" width="9.875" style="326" customWidth="1"/>
    <col min="5387" max="5387" width="9.125" style="326"/>
    <col min="5388" max="5390" width="10" style="326" customWidth="1"/>
    <col min="5391" max="5632" width="9.125" style="326"/>
    <col min="5633" max="5633" width="5.125" style="326" customWidth="1"/>
    <col min="5634" max="5634" width="17.125" style="326" customWidth="1"/>
    <col min="5635" max="5637" width="9.125" style="326"/>
    <col min="5638" max="5638" width="10.25" style="326" customWidth="1"/>
    <col min="5639" max="5641" width="9.125" style="326"/>
    <col min="5642" max="5642" width="9.875" style="326" customWidth="1"/>
    <col min="5643" max="5643" width="9.125" style="326"/>
    <col min="5644" max="5646" width="10" style="326" customWidth="1"/>
    <col min="5647" max="5888" width="9.125" style="326"/>
    <col min="5889" max="5889" width="5.125" style="326" customWidth="1"/>
    <col min="5890" max="5890" width="17.125" style="326" customWidth="1"/>
    <col min="5891" max="5893" width="9.125" style="326"/>
    <col min="5894" max="5894" width="10.25" style="326" customWidth="1"/>
    <col min="5895" max="5897" width="9.125" style="326"/>
    <col min="5898" max="5898" width="9.875" style="326" customWidth="1"/>
    <col min="5899" max="5899" width="9.125" style="326"/>
    <col min="5900" max="5902" width="10" style="326" customWidth="1"/>
    <col min="5903" max="6144" width="9.125" style="326"/>
    <col min="6145" max="6145" width="5.125" style="326" customWidth="1"/>
    <col min="6146" max="6146" width="17.125" style="326" customWidth="1"/>
    <col min="6147" max="6149" width="9.125" style="326"/>
    <col min="6150" max="6150" width="10.25" style="326" customWidth="1"/>
    <col min="6151" max="6153" width="9.125" style="326"/>
    <col min="6154" max="6154" width="9.875" style="326" customWidth="1"/>
    <col min="6155" max="6155" width="9.125" style="326"/>
    <col min="6156" max="6158" width="10" style="326" customWidth="1"/>
    <col min="6159" max="6400" width="9.125" style="326"/>
    <col min="6401" max="6401" width="5.125" style="326" customWidth="1"/>
    <col min="6402" max="6402" width="17.125" style="326" customWidth="1"/>
    <col min="6403" max="6405" width="9.125" style="326"/>
    <col min="6406" max="6406" width="10.25" style="326" customWidth="1"/>
    <col min="6407" max="6409" width="9.125" style="326"/>
    <col min="6410" max="6410" width="9.875" style="326" customWidth="1"/>
    <col min="6411" max="6411" width="9.125" style="326"/>
    <col min="6412" max="6414" width="10" style="326" customWidth="1"/>
    <col min="6415" max="6656" width="9.125" style="326"/>
    <col min="6657" max="6657" width="5.125" style="326" customWidth="1"/>
    <col min="6658" max="6658" width="17.125" style="326" customWidth="1"/>
    <col min="6659" max="6661" width="9.125" style="326"/>
    <col min="6662" max="6662" width="10.25" style="326" customWidth="1"/>
    <col min="6663" max="6665" width="9.125" style="326"/>
    <col min="6666" max="6666" width="9.875" style="326" customWidth="1"/>
    <col min="6667" max="6667" width="9.125" style="326"/>
    <col min="6668" max="6670" width="10" style="326" customWidth="1"/>
    <col min="6671" max="6912" width="9.125" style="326"/>
    <col min="6913" max="6913" width="5.125" style="326" customWidth="1"/>
    <col min="6914" max="6914" width="17.125" style="326" customWidth="1"/>
    <col min="6915" max="6917" width="9.125" style="326"/>
    <col min="6918" max="6918" width="10.25" style="326" customWidth="1"/>
    <col min="6919" max="6921" width="9.125" style="326"/>
    <col min="6922" max="6922" width="9.875" style="326" customWidth="1"/>
    <col min="6923" max="6923" width="9.125" style="326"/>
    <col min="6924" max="6926" width="10" style="326" customWidth="1"/>
    <col min="6927" max="7168" width="9.125" style="326"/>
    <col min="7169" max="7169" width="5.125" style="326" customWidth="1"/>
    <col min="7170" max="7170" width="17.125" style="326" customWidth="1"/>
    <col min="7171" max="7173" width="9.125" style="326"/>
    <col min="7174" max="7174" width="10.25" style="326" customWidth="1"/>
    <col min="7175" max="7177" width="9.125" style="326"/>
    <col min="7178" max="7178" width="9.875" style="326" customWidth="1"/>
    <col min="7179" max="7179" width="9.125" style="326"/>
    <col min="7180" max="7182" width="10" style="326" customWidth="1"/>
    <col min="7183" max="7424" width="9.125" style="326"/>
    <col min="7425" max="7425" width="5.125" style="326" customWidth="1"/>
    <col min="7426" max="7426" width="17.125" style="326" customWidth="1"/>
    <col min="7427" max="7429" width="9.125" style="326"/>
    <col min="7430" max="7430" width="10.25" style="326" customWidth="1"/>
    <col min="7431" max="7433" width="9.125" style="326"/>
    <col min="7434" max="7434" width="9.875" style="326" customWidth="1"/>
    <col min="7435" max="7435" width="9.125" style="326"/>
    <col min="7436" max="7438" width="10" style="326" customWidth="1"/>
    <col min="7439" max="7680" width="9.125" style="326"/>
    <col min="7681" max="7681" width="5.125" style="326" customWidth="1"/>
    <col min="7682" max="7682" width="17.125" style="326" customWidth="1"/>
    <col min="7683" max="7685" width="9.125" style="326"/>
    <col min="7686" max="7686" width="10.25" style="326" customWidth="1"/>
    <col min="7687" max="7689" width="9.125" style="326"/>
    <col min="7690" max="7690" width="9.875" style="326" customWidth="1"/>
    <col min="7691" max="7691" width="9.125" style="326"/>
    <col min="7692" max="7694" width="10" style="326" customWidth="1"/>
    <col min="7695" max="7936" width="9.125" style="326"/>
    <col min="7937" max="7937" width="5.125" style="326" customWidth="1"/>
    <col min="7938" max="7938" width="17.125" style="326" customWidth="1"/>
    <col min="7939" max="7941" width="9.125" style="326"/>
    <col min="7942" max="7942" width="10.25" style="326" customWidth="1"/>
    <col min="7943" max="7945" width="9.125" style="326"/>
    <col min="7946" max="7946" width="9.875" style="326" customWidth="1"/>
    <col min="7947" max="7947" width="9.125" style="326"/>
    <col min="7948" max="7950" width="10" style="326" customWidth="1"/>
    <col min="7951" max="8192" width="9.125" style="326"/>
    <col min="8193" max="8193" width="5.125" style="326" customWidth="1"/>
    <col min="8194" max="8194" width="17.125" style="326" customWidth="1"/>
    <col min="8195" max="8197" width="9.125" style="326"/>
    <col min="8198" max="8198" width="10.25" style="326" customWidth="1"/>
    <col min="8199" max="8201" width="9.125" style="326"/>
    <col min="8202" max="8202" width="9.875" style="326" customWidth="1"/>
    <col min="8203" max="8203" width="9.125" style="326"/>
    <col min="8204" max="8206" width="10" style="326" customWidth="1"/>
    <col min="8207" max="8448" width="9.125" style="326"/>
    <col min="8449" max="8449" width="5.125" style="326" customWidth="1"/>
    <col min="8450" max="8450" width="17.125" style="326" customWidth="1"/>
    <col min="8451" max="8453" width="9.125" style="326"/>
    <col min="8454" max="8454" width="10.25" style="326" customWidth="1"/>
    <col min="8455" max="8457" width="9.125" style="326"/>
    <col min="8458" max="8458" width="9.875" style="326" customWidth="1"/>
    <col min="8459" max="8459" width="9.125" style="326"/>
    <col min="8460" max="8462" width="10" style="326" customWidth="1"/>
    <col min="8463" max="8704" width="9.125" style="326"/>
    <col min="8705" max="8705" width="5.125" style="326" customWidth="1"/>
    <col min="8706" max="8706" width="17.125" style="326" customWidth="1"/>
    <col min="8707" max="8709" width="9.125" style="326"/>
    <col min="8710" max="8710" width="10.25" style="326" customWidth="1"/>
    <col min="8711" max="8713" width="9.125" style="326"/>
    <col min="8714" max="8714" width="9.875" style="326" customWidth="1"/>
    <col min="8715" max="8715" width="9.125" style="326"/>
    <col min="8716" max="8718" width="10" style="326" customWidth="1"/>
    <col min="8719" max="8960" width="9.125" style="326"/>
    <col min="8961" max="8961" width="5.125" style="326" customWidth="1"/>
    <col min="8962" max="8962" width="17.125" style="326" customWidth="1"/>
    <col min="8963" max="8965" width="9.125" style="326"/>
    <col min="8966" max="8966" width="10.25" style="326" customWidth="1"/>
    <col min="8967" max="8969" width="9.125" style="326"/>
    <col min="8970" max="8970" width="9.875" style="326" customWidth="1"/>
    <col min="8971" max="8971" width="9.125" style="326"/>
    <col min="8972" max="8974" width="10" style="326" customWidth="1"/>
    <col min="8975" max="9216" width="9.125" style="326"/>
    <col min="9217" max="9217" width="5.125" style="326" customWidth="1"/>
    <col min="9218" max="9218" width="17.125" style="326" customWidth="1"/>
    <col min="9219" max="9221" width="9.125" style="326"/>
    <col min="9222" max="9222" width="10.25" style="326" customWidth="1"/>
    <col min="9223" max="9225" width="9.125" style="326"/>
    <col min="9226" max="9226" width="9.875" style="326" customWidth="1"/>
    <col min="9227" max="9227" width="9.125" style="326"/>
    <col min="9228" max="9230" width="10" style="326" customWidth="1"/>
    <col min="9231" max="9472" width="9.125" style="326"/>
    <col min="9473" max="9473" width="5.125" style="326" customWidth="1"/>
    <col min="9474" max="9474" width="17.125" style="326" customWidth="1"/>
    <col min="9475" max="9477" width="9.125" style="326"/>
    <col min="9478" max="9478" width="10.25" style="326" customWidth="1"/>
    <col min="9479" max="9481" width="9.125" style="326"/>
    <col min="9482" max="9482" width="9.875" style="326" customWidth="1"/>
    <col min="9483" max="9483" width="9.125" style="326"/>
    <col min="9484" max="9486" width="10" style="326" customWidth="1"/>
    <col min="9487" max="9728" width="9.125" style="326"/>
    <col min="9729" max="9729" width="5.125" style="326" customWidth="1"/>
    <col min="9730" max="9730" width="17.125" style="326" customWidth="1"/>
    <col min="9731" max="9733" width="9.125" style="326"/>
    <col min="9734" max="9734" width="10.25" style="326" customWidth="1"/>
    <col min="9735" max="9737" width="9.125" style="326"/>
    <col min="9738" max="9738" width="9.875" style="326" customWidth="1"/>
    <col min="9739" max="9739" width="9.125" style="326"/>
    <col min="9740" max="9742" width="10" style="326" customWidth="1"/>
    <col min="9743" max="9984" width="9.125" style="326"/>
    <col min="9985" max="9985" width="5.125" style="326" customWidth="1"/>
    <col min="9986" max="9986" width="17.125" style="326" customWidth="1"/>
    <col min="9987" max="9989" width="9.125" style="326"/>
    <col min="9990" max="9990" width="10.25" style="326" customWidth="1"/>
    <col min="9991" max="9993" width="9.125" style="326"/>
    <col min="9994" max="9994" width="9.875" style="326" customWidth="1"/>
    <col min="9995" max="9995" width="9.125" style="326"/>
    <col min="9996" max="9998" width="10" style="326" customWidth="1"/>
    <col min="9999" max="10240" width="9.125" style="326"/>
    <col min="10241" max="10241" width="5.125" style="326" customWidth="1"/>
    <col min="10242" max="10242" width="17.125" style="326" customWidth="1"/>
    <col min="10243" max="10245" width="9.125" style="326"/>
    <col min="10246" max="10246" width="10.25" style="326" customWidth="1"/>
    <col min="10247" max="10249" width="9.125" style="326"/>
    <col min="10250" max="10250" width="9.875" style="326" customWidth="1"/>
    <col min="10251" max="10251" width="9.125" style="326"/>
    <col min="10252" max="10254" width="10" style="326" customWidth="1"/>
    <col min="10255" max="10496" width="9.125" style="326"/>
    <col min="10497" max="10497" width="5.125" style="326" customWidth="1"/>
    <col min="10498" max="10498" width="17.125" style="326" customWidth="1"/>
    <col min="10499" max="10501" width="9.125" style="326"/>
    <col min="10502" max="10502" width="10.25" style="326" customWidth="1"/>
    <col min="10503" max="10505" width="9.125" style="326"/>
    <col min="10506" max="10506" width="9.875" style="326" customWidth="1"/>
    <col min="10507" max="10507" width="9.125" style="326"/>
    <col min="10508" max="10510" width="10" style="326" customWidth="1"/>
    <col min="10511" max="10752" width="9.125" style="326"/>
    <col min="10753" max="10753" width="5.125" style="326" customWidth="1"/>
    <col min="10754" max="10754" width="17.125" style="326" customWidth="1"/>
    <col min="10755" max="10757" width="9.125" style="326"/>
    <col min="10758" max="10758" width="10.25" style="326" customWidth="1"/>
    <col min="10759" max="10761" width="9.125" style="326"/>
    <col min="10762" max="10762" width="9.875" style="326" customWidth="1"/>
    <col min="10763" max="10763" width="9.125" style="326"/>
    <col min="10764" max="10766" width="10" style="326" customWidth="1"/>
    <col min="10767" max="11008" width="9.125" style="326"/>
    <col min="11009" max="11009" width="5.125" style="326" customWidth="1"/>
    <col min="11010" max="11010" width="17.125" style="326" customWidth="1"/>
    <col min="11011" max="11013" width="9.125" style="326"/>
    <col min="11014" max="11014" width="10.25" style="326" customWidth="1"/>
    <col min="11015" max="11017" width="9.125" style="326"/>
    <col min="11018" max="11018" width="9.875" style="326" customWidth="1"/>
    <col min="11019" max="11019" width="9.125" style="326"/>
    <col min="11020" max="11022" width="10" style="326" customWidth="1"/>
    <col min="11023" max="11264" width="9.125" style="326"/>
    <col min="11265" max="11265" width="5.125" style="326" customWidth="1"/>
    <col min="11266" max="11266" width="17.125" style="326" customWidth="1"/>
    <col min="11267" max="11269" width="9.125" style="326"/>
    <col min="11270" max="11270" width="10.25" style="326" customWidth="1"/>
    <col min="11271" max="11273" width="9.125" style="326"/>
    <col min="11274" max="11274" width="9.875" style="326" customWidth="1"/>
    <col min="11275" max="11275" width="9.125" style="326"/>
    <col min="11276" max="11278" width="10" style="326" customWidth="1"/>
    <col min="11279" max="11520" width="9.125" style="326"/>
    <col min="11521" max="11521" width="5.125" style="326" customWidth="1"/>
    <col min="11522" max="11522" width="17.125" style="326" customWidth="1"/>
    <col min="11523" max="11525" width="9.125" style="326"/>
    <col min="11526" max="11526" width="10.25" style="326" customWidth="1"/>
    <col min="11527" max="11529" width="9.125" style="326"/>
    <col min="11530" max="11530" width="9.875" style="326" customWidth="1"/>
    <col min="11531" max="11531" width="9.125" style="326"/>
    <col min="11532" max="11534" width="10" style="326" customWidth="1"/>
    <col min="11535" max="11776" width="9.125" style="326"/>
    <col min="11777" max="11777" width="5.125" style="326" customWidth="1"/>
    <col min="11778" max="11778" width="17.125" style="326" customWidth="1"/>
    <col min="11779" max="11781" width="9.125" style="326"/>
    <col min="11782" max="11782" width="10.25" style="326" customWidth="1"/>
    <col min="11783" max="11785" width="9.125" style="326"/>
    <col min="11786" max="11786" width="9.875" style="326" customWidth="1"/>
    <col min="11787" max="11787" width="9.125" style="326"/>
    <col min="11788" max="11790" width="10" style="326" customWidth="1"/>
    <col min="11791" max="12032" width="9.125" style="326"/>
    <col min="12033" max="12033" width="5.125" style="326" customWidth="1"/>
    <col min="12034" max="12034" width="17.125" style="326" customWidth="1"/>
    <col min="12035" max="12037" width="9.125" style="326"/>
    <col min="12038" max="12038" width="10.25" style="326" customWidth="1"/>
    <col min="12039" max="12041" width="9.125" style="326"/>
    <col min="12042" max="12042" width="9.875" style="326" customWidth="1"/>
    <col min="12043" max="12043" width="9.125" style="326"/>
    <col min="12044" max="12046" width="10" style="326" customWidth="1"/>
    <col min="12047" max="12288" width="9.125" style="326"/>
    <col min="12289" max="12289" width="5.125" style="326" customWidth="1"/>
    <col min="12290" max="12290" width="17.125" style="326" customWidth="1"/>
    <col min="12291" max="12293" width="9.125" style="326"/>
    <col min="12294" max="12294" width="10.25" style="326" customWidth="1"/>
    <col min="12295" max="12297" width="9.125" style="326"/>
    <col min="12298" max="12298" width="9.875" style="326" customWidth="1"/>
    <col min="12299" max="12299" width="9.125" style="326"/>
    <col min="12300" max="12302" width="10" style="326" customWidth="1"/>
    <col min="12303" max="12544" width="9.125" style="326"/>
    <col min="12545" max="12545" width="5.125" style="326" customWidth="1"/>
    <col min="12546" max="12546" width="17.125" style="326" customWidth="1"/>
    <col min="12547" max="12549" width="9.125" style="326"/>
    <col min="12550" max="12550" width="10.25" style="326" customWidth="1"/>
    <col min="12551" max="12553" width="9.125" style="326"/>
    <col min="12554" max="12554" width="9.875" style="326" customWidth="1"/>
    <col min="12555" max="12555" width="9.125" style="326"/>
    <col min="12556" max="12558" width="10" style="326" customWidth="1"/>
    <col min="12559" max="12800" width="9.125" style="326"/>
    <col min="12801" max="12801" width="5.125" style="326" customWidth="1"/>
    <col min="12802" max="12802" width="17.125" style="326" customWidth="1"/>
    <col min="12803" max="12805" width="9.125" style="326"/>
    <col min="12806" max="12806" width="10.25" style="326" customWidth="1"/>
    <col min="12807" max="12809" width="9.125" style="326"/>
    <col min="12810" max="12810" width="9.875" style="326" customWidth="1"/>
    <col min="12811" max="12811" width="9.125" style="326"/>
    <col min="12812" max="12814" width="10" style="326" customWidth="1"/>
    <col min="12815" max="13056" width="9.125" style="326"/>
    <col min="13057" max="13057" width="5.125" style="326" customWidth="1"/>
    <col min="13058" max="13058" width="17.125" style="326" customWidth="1"/>
    <col min="13059" max="13061" width="9.125" style="326"/>
    <col min="13062" max="13062" width="10.25" style="326" customWidth="1"/>
    <col min="13063" max="13065" width="9.125" style="326"/>
    <col min="13066" max="13066" width="9.875" style="326" customWidth="1"/>
    <col min="13067" max="13067" width="9.125" style="326"/>
    <col min="13068" max="13070" width="10" style="326" customWidth="1"/>
    <col min="13071" max="13312" width="9.125" style="326"/>
    <col min="13313" max="13313" width="5.125" style="326" customWidth="1"/>
    <col min="13314" max="13314" width="17.125" style="326" customWidth="1"/>
    <col min="13315" max="13317" width="9.125" style="326"/>
    <col min="13318" max="13318" width="10.25" style="326" customWidth="1"/>
    <col min="13319" max="13321" width="9.125" style="326"/>
    <col min="13322" max="13322" width="9.875" style="326" customWidth="1"/>
    <col min="13323" max="13323" width="9.125" style="326"/>
    <col min="13324" max="13326" width="10" style="326" customWidth="1"/>
    <col min="13327" max="13568" width="9.125" style="326"/>
    <col min="13569" max="13569" width="5.125" style="326" customWidth="1"/>
    <col min="13570" max="13570" width="17.125" style="326" customWidth="1"/>
    <col min="13571" max="13573" width="9.125" style="326"/>
    <col min="13574" max="13574" width="10.25" style="326" customWidth="1"/>
    <col min="13575" max="13577" width="9.125" style="326"/>
    <col min="13578" max="13578" width="9.875" style="326" customWidth="1"/>
    <col min="13579" max="13579" width="9.125" style="326"/>
    <col min="13580" max="13582" width="10" style="326" customWidth="1"/>
    <col min="13583" max="13824" width="9.125" style="326"/>
    <col min="13825" max="13825" width="5.125" style="326" customWidth="1"/>
    <col min="13826" max="13826" width="17.125" style="326" customWidth="1"/>
    <col min="13827" max="13829" width="9.125" style="326"/>
    <col min="13830" max="13830" width="10.25" style="326" customWidth="1"/>
    <col min="13831" max="13833" width="9.125" style="326"/>
    <col min="13834" max="13834" width="9.875" style="326" customWidth="1"/>
    <col min="13835" max="13835" width="9.125" style="326"/>
    <col min="13836" max="13838" width="10" style="326" customWidth="1"/>
    <col min="13839" max="14080" width="9.125" style="326"/>
    <col min="14081" max="14081" width="5.125" style="326" customWidth="1"/>
    <col min="14082" max="14082" width="17.125" style="326" customWidth="1"/>
    <col min="14083" max="14085" width="9.125" style="326"/>
    <col min="14086" max="14086" width="10.25" style="326" customWidth="1"/>
    <col min="14087" max="14089" width="9.125" style="326"/>
    <col min="14090" max="14090" width="9.875" style="326" customWidth="1"/>
    <col min="14091" max="14091" width="9.125" style="326"/>
    <col min="14092" max="14094" width="10" style="326" customWidth="1"/>
    <col min="14095" max="14336" width="9.125" style="326"/>
    <col min="14337" max="14337" width="5.125" style="326" customWidth="1"/>
    <col min="14338" max="14338" width="17.125" style="326" customWidth="1"/>
    <col min="14339" max="14341" width="9.125" style="326"/>
    <col min="14342" max="14342" width="10.25" style="326" customWidth="1"/>
    <col min="14343" max="14345" width="9.125" style="326"/>
    <col min="14346" max="14346" width="9.875" style="326" customWidth="1"/>
    <col min="14347" max="14347" width="9.125" style="326"/>
    <col min="14348" max="14350" width="10" style="326" customWidth="1"/>
    <col min="14351" max="14592" width="9.125" style="326"/>
    <col min="14593" max="14593" width="5.125" style="326" customWidth="1"/>
    <col min="14594" max="14594" width="17.125" style="326" customWidth="1"/>
    <col min="14595" max="14597" width="9.125" style="326"/>
    <col min="14598" max="14598" width="10.25" style="326" customWidth="1"/>
    <col min="14599" max="14601" width="9.125" style="326"/>
    <col min="14602" max="14602" width="9.875" style="326" customWidth="1"/>
    <col min="14603" max="14603" width="9.125" style="326"/>
    <col min="14604" max="14606" width="10" style="326" customWidth="1"/>
    <col min="14607" max="14848" width="9.125" style="326"/>
    <col min="14849" max="14849" width="5.125" style="326" customWidth="1"/>
    <col min="14850" max="14850" width="17.125" style="326" customWidth="1"/>
    <col min="14851" max="14853" width="9.125" style="326"/>
    <col min="14854" max="14854" width="10.25" style="326" customWidth="1"/>
    <col min="14855" max="14857" width="9.125" style="326"/>
    <col min="14858" max="14858" width="9.875" style="326" customWidth="1"/>
    <col min="14859" max="14859" width="9.125" style="326"/>
    <col min="14860" max="14862" width="10" style="326" customWidth="1"/>
    <col min="14863" max="15104" width="9.125" style="326"/>
    <col min="15105" max="15105" width="5.125" style="326" customWidth="1"/>
    <col min="15106" max="15106" width="17.125" style="326" customWidth="1"/>
    <col min="15107" max="15109" width="9.125" style="326"/>
    <col min="15110" max="15110" width="10.25" style="326" customWidth="1"/>
    <col min="15111" max="15113" width="9.125" style="326"/>
    <col min="15114" max="15114" width="9.875" style="326" customWidth="1"/>
    <col min="15115" max="15115" width="9.125" style="326"/>
    <col min="15116" max="15118" width="10" style="326" customWidth="1"/>
    <col min="15119" max="15360" width="9.125" style="326"/>
    <col min="15361" max="15361" width="5.125" style="326" customWidth="1"/>
    <col min="15362" max="15362" width="17.125" style="326" customWidth="1"/>
    <col min="15363" max="15365" width="9.125" style="326"/>
    <col min="15366" max="15366" width="10.25" style="326" customWidth="1"/>
    <col min="15367" max="15369" width="9.125" style="326"/>
    <col min="15370" max="15370" width="9.875" style="326" customWidth="1"/>
    <col min="15371" max="15371" width="9.125" style="326"/>
    <col min="15372" max="15374" width="10" style="326" customWidth="1"/>
    <col min="15375" max="15616" width="9.125" style="326"/>
    <col min="15617" max="15617" width="5.125" style="326" customWidth="1"/>
    <col min="15618" max="15618" width="17.125" style="326" customWidth="1"/>
    <col min="15619" max="15621" width="9.125" style="326"/>
    <col min="15622" max="15622" width="10.25" style="326" customWidth="1"/>
    <col min="15623" max="15625" width="9.125" style="326"/>
    <col min="15626" max="15626" width="9.875" style="326" customWidth="1"/>
    <col min="15627" max="15627" width="9.125" style="326"/>
    <col min="15628" max="15630" width="10" style="326" customWidth="1"/>
    <col min="15631" max="15872" width="9.125" style="326"/>
    <col min="15873" max="15873" width="5.125" style="326" customWidth="1"/>
    <col min="15874" max="15874" width="17.125" style="326" customWidth="1"/>
    <col min="15875" max="15877" width="9.125" style="326"/>
    <col min="15878" max="15878" width="10.25" style="326" customWidth="1"/>
    <col min="15879" max="15881" width="9.125" style="326"/>
    <col min="15882" max="15882" width="9.875" style="326" customWidth="1"/>
    <col min="15883" max="15883" width="9.125" style="326"/>
    <col min="15884" max="15886" width="10" style="326" customWidth="1"/>
    <col min="15887" max="16128" width="9.125" style="326"/>
    <col min="16129" max="16129" width="5.125" style="326" customWidth="1"/>
    <col min="16130" max="16130" width="17.125" style="326" customWidth="1"/>
    <col min="16131" max="16133" width="9.125" style="326"/>
    <col min="16134" max="16134" width="10.25" style="326" customWidth="1"/>
    <col min="16135" max="16137" width="9.125" style="326"/>
    <col min="16138" max="16138" width="9.875" style="326" customWidth="1"/>
    <col min="16139" max="16139" width="9.125" style="326"/>
    <col min="16140" max="16142" width="10" style="326" customWidth="1"/>
    <col min="16143" max="16384" width="9.125" style="326"/>
  </cols>
  <sheetData>
    <row r="1" spans="1:14" ht="27.75">
      <c r="A1" s="1143" t="s">
        <v>532</v>
      </c>
      <c r="B1" s="1143"/>
      <c r="C1" s="1143"/>
      <c r="D1" s="1143"/>
      <c r="E1" s="1143"/>
      <c r="F1" s="1143"/>
      <c r="G1" s="1143"/>
      <c r="H1" s="1143"/>
      <c r="I1" s="1143"/>
      <c r="J1" s="1143"/>
      <c r="K1" s="1143"/>
      <c r="L1" s="1143"/>
      <c r="M1" s="1084" t="s">
        <v>625</v>
      </c>
      <c r="N1" s="1084"/>
    </row>
    <row r="2" spans="1:14" ht="20.25">
      <c r="A2" s="1144" t="s">
        <v>533</v>
      </c>
      <c r="B2" s="1144"/>
      <c r="C2" s="1144"/>
      <c r="D2" s="1144"/>
      <c r="E2" s="1144"/>
      <c r="F2" s="1144"/>
      <c r="G2" s="1144"/>
      <c r="H2" s="1144"/>
      <c r="I2" s="1144"/>
      <c r="J2" s="1144"/>
      <c r="K2" s="1144"/>
      <c r="L2" s="1144"/>
      <c r="M2" s="1136" t="s">
        <v>517</v>
      </c>
      <c r="N2" s="1136"/>
    </row>
    <row r="3" spans="1:14" ht="20.25">
      <c r="A3" s="510"/>
      <c r="B3" s="510"/>
      <c r="C3" s="510"/>
      <c r="D3" s="510"/>
      <c r="E3" s="510"/>
      <c r="F3" s="510"/>
      <c r="G3" s="510"/>
      <c r="H3" s="510"/>
      <c r="I3" s="510"/>
      <c r="J3" s="510"/>
      <c r="K3" s="1140">
        <f>Summary!$C$1</f>
        <v>30695</v>
      </c>
      <c r="L3" s="1140"/>
      <c r="M3" s="1140"/>
      <c r="N3" s="639"/>
    </row>
    <row r="4" spans="1:14" ht="21.75" customHeight="1">
      <c r="A4" s="1145" t="s">
        <v>819</v>
      </c>
      <c r="B4" s="1145"/>
      <c r="C4" s="1145"/>
      <c r="D4" s="1145"/>
      <c r="E4" s="1145"/>
      <c r="F4" s="1145"/>
      <c r="G4" s="1145"/>
      <c r="H4" s="1145"/>
      <c r="I4" s="1145"/>
      <c r="J4" s="1145"/>
      <c r="K4" s="1145"/>
      <c r="L4" s="1145"/>
      <c r="M4" s="1145"/>
      <c r="N4" s="1145"/>
    </row>
    <row r="5" spans="1:14" ht="18.75">
      <c r="A5" s="1141" t="s">
        <v>518</v>
      </c>
      <c r="B5" s="1141"/>
      <c r="C5" s="1141"/>
      <c r="D5" s="1142" t="str">
        <f>Summary!A5</f>
        <v>BUDGET HEAD : 2202-GENERAL EDUCATION, 02-SECONDARY EDUCATION, 109-GOVT. SEC. SCHOOL, (02)-GIRLS SCHOOL (STATE FUND)</v>
      </c>
      <c r="E5" s="1142"/>
      <c r="F5" s="1142"/>
      <c r="G5" s="1142"/>
      <c r="H5" s="1142"/>
      <c r="I5" s="1142"/>
      <c r="J5" s="1142"/>
      <c r="K5" s="1142"/>
      <c r="L5" s="1142"/>
      <c r="M5" s="1142"/>
      <c r="N5" s="1142"/>
    </row>
    <row r="6" spans="1:14" s="629" customFormat="1" ht="29.25" customHeight="1">
      <c r="A6" s="1148" t="s">
        <v>519</v>
      </c>
      <c r="B6" s="1148"/>
      <c r="C6" s="1148"/>
      <c r="D6" s="1146" t="s">
        <v>534</v>
      </c>
      <c r="E6" s="1146"/>
      <c r="F6" s="1147" t="str">
        <f>Summary!A2</f>
        <v>iz/kkukpk;Z egkRek xka/kh jktdh; fo|ky; ¼vaxzsth ek/;e½ cj ] C;koj</v>
      </c>
      <c r="G6" s="1147"/>
      <c r="H6" s="1147"/>
      <c r="I6" s="1147"/>
      <c r="J6" s="1147"/>
      <c r="K6" s="1147"/>
      <c r="L6" s="1147"/>
      <c r="M6" s="1147"/>
      <c r="N6" s="1147"/>
    </row>
    <row r="7" spans="1:14" s="350" customFormat="1" ht="33.75" customHeight="1">
      <c r="A7" s="1133" t="s">
        <v>354</v>
      </c>
      <c r="B7" s="1133" t="s">
        <v>520</v>
      </c>
      <c r="C7" s="1132" t="s">
        <v>620</v>
      </c>
      <c r="D7" s="1133"/>
      <c r="E7" s="1133"/>
      <c r="F7" s="1134" t="str">
        <f>'GA2'!F9</f>
        <v>Budget Estimate for 2026­27</v>
      </c>
      <c r="G7" s="1132" t="s">
        <v>621</v>
      </c>
      <c r="H7" s="1133"/>
      <c r="I7" s="1133"/>
      <c r="J7" s="1134" t="str">
        <f>'GA2'!J9</f>
        <v>Revised Estimates for 2025­26</v>
      </c>
      <c r="K7" s="1134" t="str">
        <f>'GA2'!K9</f>
        <v>Budget Estimate for 2026­27</v>
      </c>
      <c r="L7" s="1134" t="s">
        <v>619</v>
      </c>
      <c r="M7" s="1133"/>
      <c r="N7" s="1133"/>
    </row>
    <row r="8" spans="1:14" s="350" customFormat="1" ht="38.25">
      <c r="A8" s="1133"/>
      <c r="B8" s="1133"/>
      <c r="C8" s="633" t="str">
        <f>'GA2'!C10</f>
        <v>2023-24</v>
      </c>
      <c r="D8" s="633" t="str">
        <f>'GA2'!D10</f>
        <v>2024-25</v>
      </c>
      <c r="E8" s="633" t="str">
        <f>'GA2'!E10</f>
        <v>2025-26</v>
      </c>
      <c r="F8" s="1133"/>
      <c r="G8" s="630" t="str">
        <f>'GA2'!G10</f>
        <v>Aug.24 to Mar.25</v>
      </c>
      <c r="H8" s="630" t="str">
        <f>'GA2'!H10</f>
        <v>April 25 to July 25</v>
      </c>
      <c r="I8" s="630" t="s">
        <v>521</v>
      </c>
      <c r="J8" s="1133"/>
      <c r="K8" s="1133"/>
      <c r="L8" s="634" t="s">
        <v>622</v>
      </c>
      <c r="M8" s="634" t="s">
        <v>623</v>
      </c>
      <c r="N8" s="634" t="s">
        <v>624</v>
      </c>
    </row>
    <row r="9" spans="1:14" ht="15" customHeight="1">
      <c r="A9" s="331">
        <v>1</v>
      </c>
      <c r="B9" s="331">
        <v>2</v>
      </c>
      <c r="C9" s="635">
        <v>3</v>
      </c>
      <c r="D9" s="635">
        <v>4</v>
      </c>
      <c r="E9" s="635">
        <v>5</v>
      </c>
      <c r="F9" s="635">
        <v>6</v>
      </c>
      <c r="G9" s="635">
        <v>7</v>
      </c>
      <c r="H9" s="635">
        <v>8</v>
      </c>
      <c r="I9" s="635">
        <v>9</v>
      </c>
      <c r="J9" s="635">
        <v>10</v>
      </c>
      <c r="K9" s="635">
        <v>11</v>
      </c>
      <c r="L9" s="635">
        <v>12</v>
      </c>
      <c r="M9" s="635">
        <v>13</v>
      </c>
      <c r="N9" s="635">
        <v>14</v>
      </c>
    </row>
    <row r="10" spans="1:14" s="342" customFormat="1" ht="30.95" customHeight="1">
      <c r="A10" s="632">
        <v>1</v>
      </c>
      <c r="B10" s="640" t="s">
        <v>535</v>
      </c>
      <c r="C10" s="632"/>
      <c r="D10" s="632"/>
      <c r="E10" s="632"/>
      <c r="F10" s="632"/>
      <c r="G10" s="632"/>
      <c r="H10" s="632"/>
      <c r="I10" s="632">
        <f>G10+H10</f>
        <v>0</v>
      </c>
      <c r="J10" s="632">
        <v>0</v>
      </c>
      <c r="K10" s="632">
        <v>0</v>
      </c>
      <c r="L10" s="632">
        <f>F10-J10</f>
        <v>0</v>
      </c>
      <c r="M10" s="632">
        <f>I10-J10</f>
        <v>0</v>
      </c>
      <c r="N10" s="632">
        <f>J10-K10</f>
        <v>0</v>
      </c>
    </row>
    <row r="11" spans="1:14" s="342" customFormat="1" ht="30.95" customHeight="1">
      <c r="A11" s="632">
        <v>2</v>
      </c>
      <c r="B11" s="641" t="s">
        <v>536</v>
      </c>
      <c r="C11" s="632"/>
      <c r="D11" s="632"/>
      <c r="E11" s="632"/>
      <c r="F11" s="632"/>
      <c r="G11" s="632"/>
      <c r="H11" s="632"/>
      <c r="I11" s="632">
        <f t="shared" ref="I11:I16" si="0">G11+H11</f>
        <v>0</v>
      </c>
      <c r="J11" s="632">
        <f>F11</f>
        <v>0</v>
      </c>
      <c r="K11" s="632">
        <v>0</v>
      </c>
      <c r="L11" s="632">
        <f t="shared" ref="L11:L16" si="1">F11-J11</f>
        <v>0</v>
      </c>
      <c r="M11" s="632">
        <f t="shared" ref="M11:N16" si="2">I11-J11</f>
        <v>0</v>
      </c>
      <c r="N11" s="632">
        <f t="shared" si="2"/>
        <v>0</v>
      </c>
    </row>
    <row r="12" spans="1:14" s="342" customFormat="1" ht="30.95" customHeight="1">
      <c r="A12" s="632">
        <v>3</v>
      </c>
      <c r="B12" s="641" t="s">
        <v>537</v>
      </c>
      <c r="C12" s="632"/>
      <c r="D12" s="632"/>
      <c r="E12" s="632"/>
      <c r="F12" s="632"/>
      <c r="G12" s="632"/>
      <c r="H12" s="632"/>
      <c r="I12" s="632">
        <f t="shared" si="0"/>
        <v>0</v>
      </c>
      <c r="J12" s="632">
        <f t="shared" ref="J12:J16" si="3">F12</f>
        <v>0</v>
      </c>
      <c r="K12" s="632">
        <v>0</v>
      </c>
      <c r="L12" s="632">
        <f t="shared" si="1"/>
        <v>0</v>
      </c>
      <c r="M12" s="632">
        <f t="shared" si="2"/>
        <v>0</v>
      </c>
      <c r="N12" s="632">
        <f t="shared" si="2"/>
        <v>0</v>
      </c>
    </row>
    <row r="13" spans="1:14" s="342" customFormat="1" ht="30.95" customHeight="1">
      <c r="A13" s="632">
        <v>4</v>
      </c>
      <c r="B13" s="351" t="s">
        <v>538</v>
      </c>
      <c r="C13" s="632"/>
      <c r="D13" s="632"/>
      <c r="E13" s="632"/>
      <c r="F13" s="632"/>
      <c r="G13" s="632"/>
      <c r="H13" s="632"/>
      <c r="I13" s="632">
        <f t="shared" si="0"/>
        <v>0</v>
      </c>
      <c r="J13" s="632">
        <f t="shared" si="3"/>
        <v>0</v>
      </c>
      <c r="K13" s="632">
        <v>0</v>
      </c>
      <c r="L13" s="632">
        <f t="shared" si="1"/>
        <v>0</v>
      </c>
      <c r="M13" s="632">
        <f t="shared" si="2"/>
        <v>0</v>
      </c>
      <c r="N13" s="632">
        <f t="shared" si="2"/>
        <v>0</v>
      </c>
    </row>
    <row r="14" spans="1:14" s="342" customFormat="1" ht="30.95" customHeight="1">
      <c r="A14" s="632">
        <v>5</v>
      </c>
      <c r="B14" s="351" t="s">
        <v>539</v>
      </c>
      <c r="C14" s="632"/>
      <c r="D14" s="632"/>
      <c r="E14" s="632"/>
      <c r="F14" s="632"/>
      <c r="G14" s="632"/>
      <c r="H14" s="632"/>
      <c r="I14" s="632">
        <f t="shared" si="0"/>
        <v>0</v>
      </c>
      <c r="J14" s="632">
        <f t="shared" si="3"/>
        <v>0</v>
      </c>
      <c r="K14" s="632">
        <v>0</v>
      </c>
      <c r="L14" s="632">
        <f t="shared" si="1"/>
        <v>0</v>
      </c>
      <c r="M14" s="632">
        <f t="shared" si="2"/>
        <v>0</v>
      </c>
      <c r="N14" s="632">
        <f t="shared" si="2"/>
        <v>0</v>
      </c>
    </row>
    <row r="15" spans="1:14" s="342" customFormat="1" ht="30.95" customHeight="1">
      <c r="A15" s="632">
        <v>6</v>
      </c>
      <c r="B15" s="351" t="s">
        <v>540</v>
      </c>
      <c r="C15" s="632"/>
      <c r="D15" s="632"/>
      <c r="E15" s="632"/>
      <c r="F15" s="632"/>
      <c r="G15" s="632"/>
      <c r="H15" s="632"/>
      <c r="I15" s="632">
        <f t="shared" si="0"/>
        <v>0</v>
      </c>
      <c r="J15" s="632">
        <f t="shared" si="3"/>
        <v>0</v>
      </c>
      <c r="K15" s="632">
        <v>0</v>
      </c>
      <c r="L15" s="632">
        <f t="shared" si="1"/>
        <v>0</v>
      </c>
      <c r="M15" s="632">
        <f t="shared" si="2"/>
        <v>0</v>
      </c>
      <c r="N15" s="632">
        <f t="shared" si="2"/>
        <v>0</v>
      </c>
    </row>
    <row r="16" spans="1:14" s="342" customFormat="1" ht="30.95" customHeight="1">
      <c r="A16" s="632">
        <v>7</v>
      </c>
      <c r="B16" s="351" t="s">
        <v>35</v>
      </c>
      <c r="C16" s="632"/>
      <c r="D16" s="632"/>
      <c r="E16" s="632"/>
      <c r="F16" s="632"/>
      <c r="G16" s="632"/>
      <c r="H16" s="632"/>
      <c r="I16" s="632">
        <f t="shared" si="0"/>
        <v>0</v>
      </c>
      <c r="J16" s="632">
        <f t="shared" si="3"/>
        <v>0</v>
      </c>
      <c r="K16" s="632">
        <v>0</v>
      </c>
      <c r="L16" s="632">
        <f t="shared" si="1"/>
        <v>0</v>
      </c>
      <c r="M16" s="632">
        <f t="shared" si="2"/>
        <v>0</v>
      </c>
      <c r="N16" s="632">
        <f t="shared" si="2"/>
        <v>0</v>
      </c>
    </row>
    <row r="17" spans="1:14" s="342" customFormat="1" ht="25.5" customHeight="1">
      <c r="A17" s="335"/>
      <c r="B17" s="642" t="s">
        <v>347</v>
      </c>
      <c r="C17" s="642">
        <f>SUM(C10:C16)</f>
        <v>0</v>
      </c>
      <c r="D17" s="642">
        <f t="shared" ref="D17:N17" si="4">SUM(D10:D16)</f>
        <v>0</v>
      </c>
      <c r="E17" s="642">
        <f t="shared" si="4"/>
        <v>0</v>
      </c>
      <c r="F17" s="642">
        <f t="shared" si="4"/>
        <v>0</v>
      </c>
      <c r="G17" s="642">
        <f t="shared" si="4"/>
        <v>0</v>
      </c>
      <c r="H17" s="642">
        <f t="shared" si="4"/>
        <v>0</v>
      </c>
      <c r="I17" s="642">
        <f t="shared" si="4"/>
        <v>0</v>
      </c>
      <c r="J17" s="642">
        <f t="shared" si="4"/>
        <v>0</v>
      </c>
      <c r="K17" s="642">
        <f t="shared" si="4"/>
        <v>0</v>
      </c>
      <c r="L17" s="642">
        <f t="shared" si="4"/>
        <v>0</v>
      </c>
      <c r="M17" s="642">
        <f t="shared" si="4"/>
        <v>0</v>
      </c>
      <c r="N17" s="642">
        <f t="shared" si="4"/>
        <v>0</v>
      </c>
    </row>
    <row r="18" spans="1:14" ht="16.5">
      <c r="A18" s="523" t="s">
        <v>550</v>
      </c>
      <c r="B18" s="328"/>
    </row>
    <row r="19" spans="1:14" ht="18.75">
      <c r="A19" s="555"/>
      <c r="B19" s="328"/>
    </row>
    <row r="20" spans="1:14">
      <c r="B20" s="328"/>
    </row>
    <row r="21" spans="1:14">
      <c r="B21" s="328"/>
      <c r="K21" s="1135" t="str">
        <f>CONCATENATE("¼ ",Master!G3,"½")</f>
        <v>¼ m"kk ikfy;k½</v>
      </c>
      <c r="L21" s="1135"/>
      <c r="M21" s="1135"/>
      <c r="N21" s="1135"/>
    </row>
    <row r="22" spans="1:14" ht="16.5">
      <c r="B22" s="328"/>
      <c r="K22" s="928" t="str">
        <f>Master!C2</f>
        <v>iz/kkukpk;Z</v>
      </c>
      <c r="L22" s="928"/>
      <c r="M22" s="928"/>
      <c r="N22" s="928"/>
    </row>
    <row r="23" spans="1:14" ht="21" customHeight="1">
      <c r="B23" s="328"/>
      <c r="K23" s="923" t="str">
        <f>Master!D2</f>
        <v>egkRek xka/kh jktdh; fo|ky; ¼vaxzsth ek/;e½ cj ] C;koj</v>
      </c>
      <c r="L23" s="923"/>
      <c r="M23" s="923"/>
      <c r="N23" s="923"/>
    </row>
    <row r="24" spans="1:14">
      <c r="K24" s="923"/>
      <c r="L24" s="923"/>
      <c r="M24" s="923"/>
      <c r="N24" s="923"/>
    </row>
  </sheetData>
  <mergeCells count="22">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 ref="K21:N21"/>
    <mergeCell ref="F7:F8"/>
    <mergeCell ref="G7:I7"/>
    <mergeCell ref="J7:J8"/>
    <mergeCell ref="K7:K8"/>
    <mergeCell ref="L7:N7"/>
  </mergeCells>
  <conditionalFormatting sqref="A18:A19">
    <cfRule type="containsText" dxfId="0" priority="1" operator="containsText" text="in fjDr">
      <formula>NOT(ISERROR(SEARCH("in fjDr",A18)))</formula>
    </cfRule>
  </conditionalFormatting>
  <pageMargins left="0.48" right="0.2" top="0.25" bottom="0.25" header="0.3" footer="0.3"/>
  <pageSetup paperSize="9" scale="95" orientation="landscape" blackAndWhite="1" horizontalDpi="300" verticalDpi="300" r:id="rId1"/>
</worksheet>
</file>

<file path=xl/worksheets/sheet3.xml><?xml version="1.0" encoding="utf-8"?>
<worksheet xmlns="http://schemas.openxmlformats.org/spreadsheetml/2006/main" xmlns:r="http://schemas.openxmlformats.org/officeDocument/2006/relationships">
  <sheetPr codeName="Sheet3">
    <tabColor rgb="FF00B050"/>
    <pageSetUpPr fitToPage="1"/>
  </sheetPr>
  <dimension ref="A1:CZ503"/>
  <sheetViews>
    <sheetView showGridLines="0" view="pageBreakPreview" topLeftCell="A7" zoomScale="110" zoomScaleSheetLayoutView="110" workbookViewId="0">
      <selection activeCell="DB11" sqref="DB11"/>
    </sheetView>
  </sheetViews>
  <sheetFormatPr defaultColWidth="9.125" defaultRowHeight="15"/>
  <cols>
    <col min="1" max="1" width="6.25" style="56" customWidth="1"/>
    <col min="2" max="2" width="23.625" style="56" customWidth="1"/>
    <col min="3" max="3" width="17.25" style="56" customWidth="1"/>
    <col min="4" max="4" width="14.75" style="56" customWidth="1"/>
    <col min="5" max="5" width="15.125" style="56" customWidth="1"/>
    <col min="6" max="6" width="9.375" style="56" customWidth="1"/>
    <col min="7" max="7" width="10.625" style="56" customWidth="1"/>
    <col min="8" max="8" width="9.875" style="56" customWidth="1"/>
    <col min="9" max="9" width="11.75" style="55" customWidth="1"/>
    <col min="10" max="10" width="9.75" style="56" customWidth="1"/>
    <col min="11" max="11" width="11.25" style="56" customWidth="1"/>
    <col min="12" max="12" width="11.625" style="56" customWidth="1"/>
    <col min="13" max="13" width="23.5" style="56" customWidth="1"/>
    <col min="14" max="17" width="15.875" style="56" hidden="1" customWidth="1"/>
    <col min="18" max="18" width="3.875" style="49" hidden="1" customWidth="1"/>
    <col min="19" max="19" width="8.25" style="56" hidden="1" customWidth="1"/>
    <col min="20" max="21" width="10.875" style="51" hidden="1" customWidth="1"/>
    <col min="22" max="22" width="8.75" style="51" hidden="1" customWidth="1"/>
    <col min="23" max="23" width="7.875" style="51" hidden="1" customWidth="1"/>
    <col min="24" max="29" width="6.125" style="51" hidden="1" customWidth="1"/>
    <col min="30" max="30" width="12.375" style="49" hidden="1" customWidth="1"/>
    <col min="31" max="34" width="12.375" style="51" hidden="1" customWidth="1"/>
    <col min="35" max="35" width="9.125" style="51" hidden="1" customWidth="1"/>
    <col min="36" max="38" width="6.875" style="51" hidden="1" customWidth="1"/>
    <col min="39" max="39" width="7.5" style="51" hidden="1" customWidth="1"/>
    <col min="40" max="48" width="6.875" style="51" hidden="1" customWidth="1"/>
    <col min="49" max="52" width="12.375" style="51" hidden="1" customWidth="1"/>
    <col min="53" max="53" width="6.875" style="51" hidden="1" customWidth="1"/>
    <col min="54" max="54" width="11.125" style="51" hidden="1" customWidth="1"/>
    <col min="55" max="68" width="6.875" style="51" hidden="1" customWidth="1"/>
    <col min="69" max="69" width="9.75" style="51" hidden="1" customWidth="1"/>
    <col min="70" max="70" width="12.75" style="51" hidden="1" customWidth="1"/>
    <col min="71" max="72" width="6.875" style="51" hidden="1" customWidth="1"/>
    <col min="73" max="73" width="9.125" style="52" hidden="1" customWidth="1"/>
    <col min="74" max="74" width="10.75" style="52" hidden="1" customWidth="1"/>
    <col min="75" max="76" width="9.125" style="49" hidden="1" customWidth="1"/>
    <col min="77" max="77" width="6.375" style="49" hidden="1" customWidth="1"/>
    <col min="78" max="78" width="12.5" style="49" hidden="1" customWidth="1"/>
    <col min="79" max="79" width="10.75" style="49" hidden="1" customWidth="1"/>
    <col min="80" max="80" width="9.75" style="49" hidden="1" customWidth="1"/>
    <col min="81" max="83" width="3.25" style="49" hidden="1" customWidth="1"/>
    <col min="84" max="84" width="5" style="49" hidden="1" customWidth="1"/>
    <col min="85" max="88" width="3.25" style="49" hidden="1" customWidth="1"/>
    <col min="89" max="92" width="4" style="49" hidden="1" customWidth="1"/>
    <col min="93" max="93" width="3.25" style="49" hidden="1" customWidth="1"/>
    <col min="94" max="94" width="4" style="49" hidden="1" customWidth="1"/>
    <col min="95" max="95" width="3.25" style="49" hidden="1" customWidth="1"/>
    <col min="96" max="96" width="4" style="49" hidden="1" customWidth="1"/>
    <col min="97" max="98" width="3.25" style="49" hidden="1" customWidth="1"/>
    <col min="99" max="99" width="4.25" style="49" hidden="1" customWidth="1"/>
    <col min="100" max="100" width="5" style="49" hidden="1" customWidth="1"/>
    <col min="101" max="101" width="9.125" style="49" hidden="1" customWidth="1"/>
    <col min="102" max="102" width="9.125" style="51" hidden="1" customWidth="1"/>
    <col min="103" max="103" width="32.875" style="51" hidden="1" customWidth="1"/>
    <col min="104" max="104" width="32.375" style="51" hidden="1" customWidth="1"/>
    <col min="105" max="16384" width="9.125" style="51"/>
  </cols>
  <sheetData>
    <row r="1" spans="1:101" ht="17.25" customHeight="1">
      <c r="A1" s="115"/>
      <c r="B1" s="115"/>
      <c r="C1" s="115"/>
      <c r="D1" s="115"/>
      <c r="E1" s="115"/>
      <c r="F1" s="115"/>
      <c r="G1" s="115"/>
      <c r="H1" s="115"/>
      <c r="I1" s="116"/>
      <c r="J1" s="115"/>
      <c r="K1" s="840">
        <f>Summary!$C$1</f>
        <v>30695</v>
      </c>
      <c r="L1" s="840"/>
      <c r="M1" s="840"/>
      <c r="N1" s="117"/>
      <c r="O1" s="117"/>
      <c r="P1" s="117"/>
      <c r="Q1" s="117"/>
      <c r="S1" s="50"/>
      <c r="Y1" s="51" t="s">
        <v>57</v>
      </c>
    </row>
    <row r="2" spans="1:101" ht="20.25" customHeight="1">
      <c r="A2" s="846" t="str">
        <f>Summary!$A$2</f>
        <v>iz/kkukpk;Z egkRek xka/kh jktdh; fo|ky; ¼vaxzsth ek/;e½ cj ] C;koj</v>
      </c>
      <c r="B2" s="846"/>
      <c r="C2" s="846"/>
      <c r="D2" s="846"/>
      <c r="E2" s="846"/>
      <c r="F2" s="846"/>
      <c r="G2" s="846"/>
      <c r="H2" s="846"/>
      <c r="I2" s="846"/>
      <c r="J2" s="846"/>
      <c r="K2" s="846"/>
      <c r="L2" s="846"/>
      <c r="M2" s="846"/>
      <c r="N2" s="118"/>
      <c r="O2" s="118"/>
      <c r="P2" s="118"/>
      <c r="Q2" s="118"/>
      <c r="S2" s="53"/>
      <c r="Y2" s="51" t="s">
        <v>61</v>
      </c>
    </row>
    <row r="3" spans="1:101" ht="17.100000000000001" customHeight="1">
      <c r="A3" s="847" t="s">
        <v>124</v>
      </c>
      <c r="B3" s="847"/>
      <c r="C3" s="847"/>
      <c r="D3" s="847"/>
      <c r="E3" s="847"/>
      <c r="F3" s="847"/>
      <c r="G3" s="847"/>
      <c r="H3" s="847"/>
      <c r="I3" s="847"/>
      <c r="J3" s="847"/>
      <c r="K3" s="847"/>
      <c r="L3" s="847"/>
      <c r="M3" s="847"/>
      <c r="N3" s="119"/>
      <c r="O3" s="119"/>
      <c r="P3" s="119"/>
      <c r="Q3" s="119"/>
      <c r="S3" s="54"/>
      <c r="T3" s="55"/>
      <c r="U3" s="55"/>
      <c r="V3" s="55"/>
      <c r="W3" s="55"/>
      <c r="X3" s="55"/>
      <c r="Y3" s="56" t="s">
        <v>316</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847" t="s">
        <v>125</v>
      </c>
      <c r="B4" s="847"/>
      <c r="C4" s="847"/>
      <c r="D4" s="847"/>
      <c r="E4" s="847"/>
      <c r="F4" s="847"/>
      <c r="G4" s="847"/>
      <c r="H4" s="847"/>
      <c r="I4" s="847"/>
      <c r="J4" s="847"/>
      <c r="K4" s="847"/>
      <c r="L4" s="847"/>
      <c r="M4" s="847"/>
      <c r="N4" s="119"/>
      <c r="O4" s="119"/>
      <c r="P4" s="119"/>
      <c r="Q4" s="119"/>
      <c r="S4" s="57"/>
      <c r="T4" s="55"/>
      <c r="U4" s="55"/>
      <c r="V4" s="55"/>
      <c r="W4" s="55"/>
      <c r="X4" s="55"/>
      <c r="Y4" s="49" t="s">
        <v>317</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847" t="s">
        <v>758</v>
      </c>
      <c r="B5" s="847"/>
      <c r="C5" s="847"/>
      <c r="D5" s="847"/>
      <c r="E5" s="847"/>
      <c r="F5" s="847"/>
      <c r="G5" s="847"/>
      <c r="H5" s="847"/>
      <c r="I5" s="847"/>
      <c r="J5" s="847"/>
      <c r="K5" s="847"/>
      <c r="L5" s="847"/>
      <c r="M5" s="847"/>
      <c r="N5" s="119"/>
      <c r="O5" s="119"/>
      <c r="P5" s="119"/>
      <c r="Q5" s="119"/>
      <c r="S5" s="57"/>
      <c r="T5" s="55"/>
      <c r="U5" s="55"/>
      <c r="V5" s="55"/>
      <c r="W5" s="55"/>
      <c r="X5" s="55"/>
      <c r="Y5" s="49" t="s">
        <v>319</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847" t="s">
        <v>126</v>
      </c>
      <c r="B6" s="847"/>
      <c r="C6" s="847"/>
      <c r="D6" s="847"/>
      <c r="E6" s="847"/>
      <c r="F6" s="847"/>
      <c r="G6" s="847"/>
      <c r="H6" s="847"/>
      <c r="I6" s="847"/>
      <c r="J6" s="847"/>
      <c r="K6" s="847"/>
      <c r="L6" s="847"/>
      <c r="M6" s="847"/>
      <c r="N6" s="119"/>
      <c r="O6" s="119"/>
      <c r="P6" s="119"/>
      <c r="Q6" s="119"/>
      <c r="S6" s="57"/>
      <c r="T6" s="55"/>
      <c r="U6" s="55"/>
      <c r="V6" s="55"/>
      <c r="W6" s="55"/>
      <c r="X6" s="55"/>
      <c r="Y6" s="49" t="s">
        <v>318</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837" t="str">
        <f>Summary!$A$5</f>
        <v>BUDGET HEAD : 2202-GENERAL EDUCATION, 02-SECONDARY EDUCATION, 109-GOVT. SEC. SCHOOL, (02)-GIRLS SCHOOL (STATE FUND)</v>
      </c>
      <c r="B7" s="837"/>
      <c r="C7" s="837"/>
      <c r="D7" s="837"/>
      <c r="E7" s="837"/>
      <c r="F7" s="837"/>
      <c r="G7" s="837"/>
      <c r="H7" s="837"/>
      <c r="I7" s="837"/>
      <c r="J7" s="837"/>
      <c r="K7" s="837"/>
      <c r="L7" s="837"/>
      <c r="M7" s="838" t="s">
        <v>127</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2"/>
      <c r="B8" s="402"/>
      <c r="C8" s="402"/>
      <c r="D8" s="402"/>
      <c r="E8" s="402"/>
      <c r="F8" s="402"/>
      <c r="G8" s="402"/>
      <c r="H8" s="402"/>
      <c r="I8" s="402"/>
      <c r="J8" s="402"/>
      <c r="K8" s="402"/>
      <c r="L8" s="402"/>
      <c r="M8" s="839"/>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844" t="s">
        <v>128</v>
      </c>
      <c r="B9" s="844" t="s">
        <v>129</v>
      </c>
      <c r="C9" s="844" t="s">
        <v>130</v>
      </c>
      <c r="D9" s="844" t="s">
        <v>131</v>
      </c>
      <c r="E9" s="844" t="s">
        <v>66</v>
      </c>
      <c r="F9" s="844" t="s">
        <v>146</v>
      </c>
      <c r="G9" s="865" t="s">
        <v>132</v>
      </c>
      <c r="H9" s="865" t="s">
        <v>133</v>
      </c>
      <c r="I9" s="867" t="s">
        <v>134</v>
      </c>
      <c r="J9" s="868"/>
      <c r="K9" s="865" t="s">
        <v>759</v>
      </c>
      <c r="L9" s="850" t="s">
        <v>760</v>
      </c>
      <c r="M9" s="844" t="s">
        <v>135</v>
      </c>
      <c r="N9" s="121"/>
      <c r="O9" s="121"/>
      <c r="P9" s="121"/>
      <c r="Q9" s="121"/>
      <c r="R9" s="59"/>
      <c r="S9" s="861" t="s">
        <v>136</v>
      </c>
      <c r="T9" s="863" t="s">
        <v>137</v>
      </c>
      <c r="U9" s="863" t="s">
        <v>138</v>
      </c>
      <c r="V9" s="861" t="s">
        <v>139</v>
      </c>
      <c r="W9" s="861" t="s">
        <v>140</v>
      </c>
      <c r="X9" s="855" t="s">
        <v>141</v>
      </c>
      <c r="Y9" s="856"/>
      <c r="Z9" s="855" t="s">
        <v>142</v>
      </c>
      <c r="AA9" s="856"/>
      <c r="AB9" s="855" t="s">
        <v>143</v>
      </c>
      <c r="AC9" s="856"/>
      <c r="AD9" s="60"/>
      <c r="AE9" s="61" t="s">
        <v>144</v>
      </c>
      <c r="AF9" s="62"/>
      <c r="AG9" s="62"/>
      <c r="AH9" s="62"/>
      <c r="AI9" s="62"/>
      <c r="AJ9" s="62"/>
      <c r="AK9" s="62"/>
      <c r="AL9" s="62"/>
      <c r="AM9" s="62"/>
      <c r="AN9" s="62"/>
      <c r="AO9" s="62"/>
      <c r="AP9" s="62"/>
      <c r="AQ9" s="62"/>
      <c r="AR9" s="62"/>
      <c r="AS9" s="62"/>
      <c r="AT9" s="62"/>
      <c r="AU9" s="62"/>
      <c r="AV9" s="62"/>
      <c r="AW9" s="61" t="s">
        <v>145</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845"/>
      <c r="B10" s="845"/>
      <c r="C10" s="845"/>
      <c r="D10" s="852"/>
      <c r="E10" s="845"/>
      <c r="F10" s="845"/>
      <c r="G10" s="866"/>
      <c r="H10" s="866"/>
      <c r="I10" s="123" t="s">
        <v>147</v>
      </c>
      <c r="J10" s="123" t="s">
        <v>148</v>
      </c>
      <c r="K10" s="866"/>
      <c r="L10" s="851"/>
      <c r="M10" s="845"/>
      <c r="N10" s="122"/>
      <c r="O10" s="122"/>
      <c r="P10" s="122"/>
      <c r="Q10" s="122"/>
      <c r="R10" s="65"/>
      <c r="S10" s="862"/>
      <c r="T10" s="864"/>
      <c r="U10" s="864"/>
      <c r="V10" s="862"/>
      <c r="W10" s="862"/>
      <c r="X10" s="66" t="s">
        <v>55</v>
      </c>
      <c r="Y10" s="66" t="s">
        <v>149</v>
      </c>
      <c r="Z10" s="66" t="s">
        <v>55</v>
      </c>
      <c r="AA10" s="66" t="s">
        <v>149</v>
      </c>
      <c r="AB10" s="66" t="s">
        <v>55</v>
      </c>
      <c r="AC10" s="66" t="s">
        <v>149</v>
      </c>
      <c r="AD10" s="67" t="s">
        <v>150</v>
      </c>
      <c r="AE10" s="67" t="s">
        <v>151</v>
      </c>
      <c r="AF10" s="68" t="s">
        <v>152</v>
      </c>
      <c r="AG10" s="67" t="s">
        <v>153</v>
      </c>
      <c r="AH10" s="68" t="s">
        <v>154</v>
      </c>
      <c r="AI10" s="69">
        <f>E76</f>
        <v>0.59</v>
      </c>
      <c r="AJ10" s="70">
        <v>0</v>
      </c>
      <c r="AK10" s="71" t="s">
        <v>155</v>
      </c>
      <c r="AL10" s="72">
        <v>0.1</v>
      </c>
      <c r="AM10" s="71" t="s">
        <v>156</v>
      </c>
      <c r="AN10" s="73" t="s">
        <v>157</v>
      </c>
      <c r="AO10" s="71" t="s">
        <v>158</v>
      </c>
      <c r="AP10" s="71" t="s">
        <v>159</v>
      </c>
      <c r="AQ10" s="71" t="s">
        <v>160</v>
      </c>
      <c r="AR10" s="71" t="s">
        <v>161</v>
      </c>
      <c r="AS10" s="71" t="s">
        <v>162</v>
      </c>
      <c r="AT10" s="71" t="s">
        <v>163</v>
      </c>
      <c r="AU10" s="71" t="s">
        <v>164</v>
      </c>
      <c r="AV10" s="71" t="s">
        <v>165</v>
      </c>
      <c r="AW10" s="67" t="s">
        <v>151</v>
      </c>
      <c r="AX10" s="68" t="s">
        <v>152</v>
      </c>
      <c r="AY10" s="67" t="s">
        <v>153</v>
      </c>
      <c r="AZ10" s="68" t="s">
        <v>154</v>
      </c>
      <c r="BA10" s="69">
        <f>AI10</f>
        <v>0.59</v>
      </c>
      <c r="BB10" s="70">
        <f>C77</f>
        <v>0.04</v>
      </c>
      <c r="BC10" s="71" t="s">
        <v>155</v>
      </c>
      <c r="BD10" s="72">
        <v>0.08</v>
      </c>
      <c r="BE10" s="71" t="s">
        <v>156</v>
      </c>
      <c r="BF10" s="73" t="s">
        <v>157</v>
      </c>
      <c r="BG10" s="71" t="s">
        <v>158</v>
      </c>
      <c r="BH10" s="71" t="s">
        <v>159</v>
      </c>
      <c r="BI10" s="71" t="s">
        <v>160</v>
      </c>
      <c r="BJ10" s="71" t="s">
        <v>161</v>
      </c>
      <c r="BK10" s="71" t="s">
        <v>162</v>
      </c>
      <c r="BL10" s="71" t="s">
        <v>163</v>
      </c>
      <c r="BM10" s="71" t="s">
        <v>164</v>
      </c>
      <c r="BN10" s="71" t="s">
        <v>166</v>
      </c>
      <c r="BO10" s="74" t="s">
        <v>167</v>
      </c>
      <c r="BP10" s="74" t="s">
        <v>168</v>
      </c>
      <c r="BQ10" s="74" t="s">
        <v>169</v>
      </c>
      <c r="BR10" s="74" t="s">
        <v>170</v>
      </c>
      <c r="BS10" s="74" t="s">
        <v>171</v>
      </c>
      <c r="BT10" s="74" t="s">
        <v>172</v>
      </c>
      <c r="BU10" s="74" t="s">
        <v>173</v>
      </c>
      <c r="BV10" s="74" t="s">
        <v>174</v>
      </c>
      <c r="BW10" s="74" t="s">
        <v>175</v>
      </c>
      <c r="BX10" s="74" t="s">
        <v>176</v>
      </c>
    </row>
    <row r="11" spans="1:101" s="408" customFormat="1">
      <c r="A11" s="403">
        <v>1</v>
      </c>
      <c r="B11" s="403">
        <v>2</v>
      </c>
      <c r="C11" s="403">
        <v>3</v>
      </c>
      <c r="D11" s="403">
        <v>4</v>
      </c>
      <c r="E11" s="403">
        <v>5</v>
      </c>
      <c r="F11" s="403">
        <v>6</v>
      </c>
      <c r="G11" s="403">
        <v>7</v>
      </c>
      <c r="H11" s="403">
        <v>8</v>
      </c>
      <c r="I11" s="403">
        <v>9</v>
      </c>
      <c r="J11" s="403">
        <v>10</v>
      </c>
      <c r="K11" s="403">
        <v>11</v>
      </c>
      <c r="L11" s="403">
        <v>12</v>
      </c>
      <c r="M11" s="403">
        <v>13</v>
      </c>
      <c r="N11" s="403"/>
      <c r="O11" s="403"/>
      <c r="P11" s="403"/>
      <c r="Q11" s="403"/>
      <c r="R11" s="404"/>
      <c r="S11" s="404"/>
      <c r="T11" s="405">
        <v>15</v>
      </c>
      <c r="U11" s="405">
        <v>16</v>
      </c>
      <c r="V11" s="405">
        <v>18</v>
      </c>
      <c r="W11" s="405">
        <v>19</v>
      </c>
      <c r="X11" s="79">
        <v>25</v>
      </c>
      <c r="Y11" s="79">
        <v>26</v>
      </c>
      <c r="Z11" s="79">
        <v>27</v>
      </c>
      <c r="AA11" s="79">
        <v>28</v>
      </c>
      <c r="AB11" s="79">
        <v>27</v>
      </c>
      <c r="AC11" s="79">
        <v>28</v>
      </c>
      <c r="AD11" s="406"/>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06"/>
      <c r="BV11" s="406"/>
      <c r="BW11" s="406"/>
      <c r="BX11" s="406"/>
      <c r="BY11" s="407"/>
      <c r="BZ11" s="407"/>
      <c r="CA11" s="407"/>
      <c r="CB11" s="407"/>
      <c r="CC11" s="407"/>
      <c r="CD11" s="407"/>
      <c r="CE11" s="407"/>
      <c r="CF11" s="407"/>
      <c r="CG11" s="407"/>
      <c r="CH11" s="407"/>
      <c r="CI11" s="407"/>
      <c r="CJ11" s="407"/>
      <c r="CK11" s="407"/>
      <c r="CL11" s="407"/>
      <c r="CM11" s="407"/>
      <c r="CN11" s="407"/>
      <c r="CO11" s="407"/>
      <c r="CP11" s="407"/>
      <c r="CQ11" s="407"/>
      <c r="CR11" s="407"/>
      <c r="CS11" s="407"/>
      <c r="CT11" s="407"/>
      <c r="CU11" s="407"/>
      <c r="CV11" s="407"/>
      <c r="CW11" s="407"/>
    </row>
    <row r="12" spans="1:101" s="76" customFormat="1" ht="15.75">
      <c r="A12" s="125">
        <v>1</v>
      </c>
      <c r="B12" s="410" t="str">
        <f>IF(ISNA(VLOOKUP(A12,Master!AE$60:AQ$107,3,FALSE)),"",VLOOKUP(A12,Master!AE$60:AQ$107,3,FALSE))</f>
        <v>Jherh m"kk ikfy;k</v>
      </c>
      <c r="C12" s="411" t="str">
        <f>IF(ISNA(VLOOKUP(A12,Master!AE$60:AQ$107,7,FALSE)),"",VLOOKUP(A12,Master!AE$60:AQ$107,7,FALSE))</f>
        <v>RJAJ199506021728</v>
      </c>
      <c r="D12" s="412">
        <f>IF(ISNA(VLOOKUP(A12,Master!AE$60:AQ$107,8,FALSE)),"",VLOOKUP(A12,Master!AE$60:AQ$107,8,FALSE))</f>
        <v>478909</v>
      </c>
      <c r="E12" s="413" t="str">
        <f>IF(ISNA(VLOOKUP(A12,Master!AE$60:AQ$107,4,FALSE)),"",VLOOKUP(A12,Master!AE$60:AQ$107,4,FALSE))</f>
        <v>PRINCIPAL</v>
      </c>
      <c r="F12" s="124">
        <f>IF(ISNA(VLOOKUP(A12,Master!AE$60:AQ$107,5,FALSE)),"",VLOOKUP(A12,Master!AE$60:AQ$107,5,FALSE))</f>
        <v>16</v>
      </c>
      <c r="G12" s="415">
        <f>IF(ISNA(VLOOKUP(A12,Master!AE$60:AQ$107,6,FALSE)),"",VLOOKUP(A12,Master!AE$60:AQ$107,6,FALSE))</f>
        <v>71300</v>
      </c>
      <c r="H12" s="415">
        <f>IFERROR(IF(AND(G12=""),"",ROUND(G12*4,0))+IF(AND(G12=""),"",MROUND(G12*1.03,100)*8),"")</f>
        <v>872400</v>
      </c>
      <c r="I12" s="416" t="str">
        <f ca="1">IF(AND(G12=""),"",IF(G12&lt;=0,"",(CONCATENATE("01.07.",(YEAR(TODAY())+1)))))</f>
        <v>01.07.2026</v>
      </c>
      <c r="J12" s="415">
        <f>IF(AND(G12=""),"",ROUND(ROUND(G12*3%,0),-2)*IF(F12="FIX PAY",0,1)*8)</f>
        <v>16800</v>
      </c>
      <c r="K12" s="415">
        <f>IF(AND(G12=""),"",H12+J12)</f>
        <v>889200</v>
      </c>
      <c r="L12" s="415">
        <f>IF(AND(G12=""),"",IF(M12="FIX PAY",K12,((IF(M12="FIX PAY",0,AD12*4+G12*8)))))</f>
        <v>847200</v>
      </c>
      <c r="M12" s="415" t="str">
        <f>IF(ISNA(VLOOKUP(A12,Master!AE$60:AQ$107,12,FALSE)),"",VLOOKUP(A12,Master!AE$60:AQ$107,12,FALSE))</f>
        <v>GAZETTED - REGULAR</v>
      </c>
      <c r="N12" s="163"/>
      <c r="O12" s="163">
        <f>IF(O69=1,"HANDICAP",0)</f>
        <v>0</v>
      </c>
      <c r="P12" s="163"/>
      <c r="Q12" s="163">
        <f t="shared" ref="Q12:Q25" si="0">IF(AND(M12=Y$1),0,IF(AND(G12=0),0,$E$81*1*(IF(G12&lt;=0,0,1))*(IF(F12&lt;=12,1,0))))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FEMALE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889200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$E$81*BP12*BS12*(IF(G12&lt;=0,0,1))*(IF(F12&lt;=4800,1,0))</f>
        <v>0</v>
      </c>
      <c r="AN12" s="78">
        <f>IF(AND(G12=""),0,ROUND((G12+ROUND(G12*$AI$10,0))/2,0)*(IF(M12="FIX PAY",0,1)))</f>
        <v>56684</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945884</v>
      </c>
      <c r="AS12" s="80">
        <f t="shared" ref="AS12:AS25" si="12">IF(AND(E12=""),0,AR12)</f>
        <v>945884</v>
      </c>
      <c r="AT12" s="78"/>
      <c r="AU12" s="78"/>
      <c r="AV12" s="80">
        <f t="shared" ref="AV12:AV25" si="13">AS12+AT12+AU12</f>
        <v>945884</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$E$81*2*BP12*BS12*(IF(G12&lt;=0,0,1))*(IF(F12&lt;=4800,1,0))</f>
        <v>0</v>
      </c>
      <c r="BF12" s="78">
        <f>IF(AND(G12=""),0,ROUND((AD12+ROUND(AD12*$AI$10,0))/2,0)*(IF(M12="FIX PAY",0,1)))</f>
        <v>55014</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902214</v>
      </c>
      <c r="BK12" s="80">
        <f t="shared" ref="BK12:BK25" si="26">BJ12</f>
        <v>902214</v>
      </c>
      <c r="BL12" s="78"/>
      <c r="BM12" s="78"/>
      <c r="BN12" s="80">
        <f t="shared" ref="BN12:BN25" si="27">BK12+BL12+BM12</f>
        <v>902214</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f>IF(AND(G12=""),"",ROUND(G12*4,0))</f>
        <v>285200</v>
      </c>
      <c r="CA12" s="49">
        <f>IF(AND(G12=""),"",MROUND(G12*1.03,100)*8)</f>
        <v>587200</v>
      </c>
      <c r="CB12" s="49">
        <f>IF(AND(G12=""),"",ROUND(G12*8,0))</f>
        <v>570400</v>
      </c>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0" t="str">
        <f>IF(ISNA(VLOOKUP(A13,Master!AE$60:AQ$107,3,FALSE)),"",VLOOKUP(A13,Master!AE$60:AQ$107,3,FALSE))</f>
        <v>Jh nsokuUn</v>
      </c>
      <c r="C13" s="411" t="str">
        <f>IF(ISNA(VLOOKUP(A13,Master!AE$60:AQ$107,7,FALSE)),"",VLOOKUP(A13,Master!AE$60:AQ$107,7,FALSE))</f>
        <v>RJAJ199506021728</v>
      </c>
      <c r="D13" s="412">
        <f>IF(ISNA(VLOOKUP(A13,Master!AE$60:AQ$107,8,FALSE)),"",VLOOKUP(A13,Master!AE$60:AQ$107,8,FALSE))</f>
        <v>110041926330</v>
      </c>
      <c r="E13" s="413" t="str">
        <f>IF(ISNA(VLOOKUP(A13,Master!AE$60:AQ$107,4,FALSE)),"",VLOOKUP(A13,Master!AE$60:AQ$107,4,FALSE))</f>
        <v>VICE-PRINCIPAL</v>
      </c>
      <c r="F13" s="124">
        <f>IF(ISNA(VLOOKUP(A13,Master!AE$60:AQ$107,5,FALSE)),"",VLOOKUP(A13,Master!AE$60:AQ$107,5,FALSE))</f>
        <v>14</v>
      </c>
      <c r="G13" s="415">
        <f>IF(ISNA(VLOOKUP(A13,Master!AE$60:AQ$107,6,FALSE)),"",VLOOKUP(A13,Master!AE$60:AQ$107,6,FALSE))</f>
        <v>93100</v>
      </c>
      <c r="H13" s="415">
        <f t="shared" ref="H13:H25" si="35">IFERROR(IF(AND(G13=""),"",ROUND(G13*4,0))+IF(AND(G13=""),"",MROUND(G13*1.03,100)*8),"")</f>
        <v>1139600</v>
      </c>
      <c r="I13" s="416" t="str">
        <f t="shared" ref="I13:I25" ca="1" si="36">IF(AND(G13=""),"",IF(G13&lt;=0,"",(CONCATENATE("01.07.",(YEAR(TODAY())+1)))))</f>
        <v>01.07.2026</v>
      </c>
      <c r="J13" s="415">
        <f t="shared" ref="J13:J25" si="37">IF(AND(G13=""),"",ROUND(ROUND(G13*3%,0),-2)*IF(F13="FIX PAY",0,1)*8)</f>
        <v>22400</v>
      </c>
      <c r="K13" s="415">
        <f t="shared" ref="K13:K25" si="38">IF(AND(G13=""),"",H13+J13)</f>
        <v>1162000</v>
      </c>
      <c r="L13" s="415">
        <f t="shared" ref="L13:L25" si="39">IF(AND(G13=""),"",IF(M13="FIX PAY",K13,((IF(M13="FIX PAY",0,AD13*4+G13*8)))))</f>
        <v>1106400</v>
      </c>
      <c r="M13" s="415" t="str">
        <f>IF(ISNA(VLOOKUP(A13,Master!AE$60:AQ$107,12,FALSE)),"",VLOOKUP(A13,Master!AE$60:AQ$107,12,FALSE))</f>
        <v>GAZETTED - REGULAR</v>
      </c>
      <c r="N13" s="163"/>
      <c r="O13" s="163"/>
      <c r="P13" s="163"/>
      <c r="Q13" s="163">
        <f t="shared" si="0"/>
        <v>0</v>
      </c>
      <c r="R13" s="52">
        <f t="shared" ref="R13:R35" si="40">IF(E13&gt;0,1,0)</f>
        <v>1</v>
      </c>
      <c r="S13" s="1" t="str">
        <f>IF(ISNA(VLOOKUP(A13,Master!AE$60:AQ$107,10,FALSE)),"",VLOOKUP(A13,Master!AE$60:AQ$107,10,FALSE))</f>
        <v>NO</v>
      </c>
      <c r="T13" s="77"/>
      <c r="U13" s="77"/>
      <c r="V13" s="78" t="str">
        <f>IF(ISNA(VLOOKUP(A13,Master!AE$60:AQ$107,11,FALSE)),"",VLOOKUP(A13,Master!AE$60:AQ$107,11,FALSE))</f>
        <v>NO</v>
      </c>
      <c r="W13" s="78" t="str">
        <f>IF(ISNA(VLOOKUP(A13,Master!AE$60:AQ$107,9,FALSE)),"",VLOOKUP(A13,Master!AE$60:AQ$107,9,FALSE))</f>
        <v>MALE</v>
      </c>
      <c r="X13" s="79">
        <f t="shared" si="1"/>
        <v>0</v>
      </c>
      <c r="Y13" s="79">
        <f t="shared" si="2"/>
        <v>0</v>
      </c>
      <c r="Z13" s="79">
        <f t="shared" si="3"/>
        <v>0</v>
      </c>
      <c r="AA13" s="79">
        <f t="shared" si="4"/>
        <v>0</v>
      </c>
      <c r="AB13" s="79">
        <f t="shared" si="5"/>
        <v>0</v>
      </c>
      <c r="AC13" s="79">
        <f t="shared" si="6"/>
        <v>0</v>
      </c>
      <c r="AD13" s="80">
        <f t="shared" ref="AD13:AD25" si="41">IF(AND(G13=""),"",G13-ROUNDUP(ROUND((G13*3%)-(G13*3%)*2.9%,-2),0))</f>
        <v>90400</v>
      </c>
      <c r="AE13" s="80">
        <f t="shared" ref="AE13:AE25" si="42">IF(AND(G13=""),"",$K13*$BO13)</f>
        <v>0</v>
      </c>
      <c r="AF13" s="80">
        <f t="shared" ref="AF13:AF25" si="43">IF(AND(G13=""),"",$K13*$BP13)</f>
        <v>1162000</v>
      </c>
      <c r="AG13" s="80">
        <f t="shared" ref="AG13:AG25" si="44">IF(AND(G13=""),"",$K13*$BQ13)</f>
        <v>0</v>
      </c>
      <c r="AH13" s="80">
        <f t="shared" ref="AH13:AH25" si="45">IF(AND(G13=""),"",$K13*$BR13)</f>
        <v>0</v>
      </c>
      <c r="AI13" s="78">
        <f t="shared" ref="AI13:AI25" si="46">IF(AND(AE13=""),"",ROUND((AE13+AF13)*$AI$10,0)*BS13)</f>
        <v>0</v>
      </c>
      <c r="AJ13" s="78">
        <v>0</v>
      </c>
      <c r="AK13" s="79">
        <v>0</v>
      </c>
      <c r="AL13" s="78">
        <f t="shared" ref="AL13:AL24" si="47">IF(AND(AE13=""),"",ROUND((AE13+AF13)*$AL$10,0)*BS13)</f>
        <v>0</v>
      </c>
      <c r="AM13" s="79">
        <f t="shared" si="7"/>
        <v>0</v>
      </c>
      <c r="AN13" s="78">
        <f t="shared" ref="AN13:AN71" si="48">IF(AND(G13=""),0,ROUND((G13+ROUND(G13*$AI$10,0))/2,0)*(IF(M13="FIX PAY",0,1)))</f>
        <v>74015</v>
      </c>
      <c r="AO13" s="78">
        <f t="shared" si="8"/>
        <v>0</v>
      </c>
      <c r="AP13" s="78">
        <f t="shared" si="9"/>
        <v>0</v>
      </c>
      <c r="AQ13" s="78">
        <f t="shared" si="10"/>
        <v>0</v>
      </c>
      <c r="AR13" s="80">
        <f t="shared" si="11"/>
        <v>1236015</v>
      </c>
      <c r="AS13" s="80">
        <f t="shared" si="12"/>
        <v>1236015</v>
      </c>
      <c r="AT13" s="78"/>
      <c r="AU13" s="78"/>
      <c r="AV13" s="80">
        <f t="shared" si="13"/>
        <v>1236015</v>
      </c>
      <c r="AW13" s="80">
        <f t="shared" si="14"/>
        <v>0</v>
      </c>
      <c r="AX13" s="80">
        <f t="shared" si="15"/>
        <v>1106400</v>
      </c>
      <c r="AY13" s="80">
        <f t="shared" si="16"/>
        <v>0</v>
      </c>
      <c r="AZ13" s="80">
        <f t="shared" si="17"/>
        <v>0</v>
      </c>
      <c r="BA13" s="78">
        <f t="shared" si="18"/>
        <v>0</v>
      </c>
      <c r="BB13" s="78">
        <f t="shared" si="19"/>
        <v>0</v>
      </c>
      <c r="BC13" s="79">
        <v>0</v>
      </c>
      <c r="BD13" s="78">
        <f t="shared" si="20"/>
        <v>0</v>
      </c>
      <c r="BE13" s="79">
        <f>$E$81*2*BP13*BS13*(IF(G13&lt;=0,0,1))*(IF(F13&lt;=4800,1,0))</f>
        <v>0</v>
      </c>
      <c r="BF13" s="78">
        <f t="shared" ref="BF13:BF71" si="49">IF(AND(G13=""),0,ROUND((AD13+ROUND(AD13*$AI$10,0))/2,0)*(IF(M13="FIX PAY",0,1)))</f>
        <v>71868</v>
      </c>
      <c r="BG13" s="78">
        <f t="shared" si="22"/>
        <v>0</v>
      </c>
      <c r="BH13" s="78">
        <f t="shared" si="23"/>
        <v>0</v>
      </c>
      <c r="BI13" s="78">
        <f t="shared" si="24"/>
        <v>0</v>
      </c>
      <c r="BJ13" s="80">
        <f t="shared" si="25"/>
        <v>1178268</v>
      </c>
      <c r="BK13" s="80">
        <f t="shared" si="26"/>
        <v>1178268</v>
      </c>
      <c r="BL13" s="78"/>
      <c r="BM13" s="78"/>
      <c r="BN13" s="80">
        <f t="shared" si="27"/>
        <v>1178268</v>
      </c>
      <c r="BO13" s="74">
        <f t="shared" si="28"/>
        <v>0</v>
      </c>
      <c r="BP13" s="74">
        <f>IF(BO13&lt;=0,1,0)*(IF(M13="FIX PAY",0,1))</f>
        <v>1</v>
      </c>
      <c r="BQ13" s="74">
        <f t="shared" si="30"/>
        <v>0</v>
      </c>
      <c r="BR13" s="74">
        <f t="shared" si="31"/>
        <v>0</v>
      </c>
      <c r="BS13" s="74">
        <f t="shared" ref="BS13:BS71" si="50">IF(M13="FIX PAY",1,0)</f>
        <v>0</v>
      </c>
      <c r="BT13" s="74">
        <f t="shared" si="32"/>
        <v>0</v>
      </c>
      <c r="BU13" s="60">
        <f t="shared" si="33"/>
        <v>0</v>
      </c>
      <c r="BV13" s="81">
        <f t="shared" ref="BV13:BV25" si="51">IF(G13&lt;=0,0,1)</f>
        <v>1</v>
      </c>
      <c r="BW13" s="60">
        <f t="shared" ref="BW13:BW71" si="52">IF(M13="SANVIDA",1,0)</f>
        <v>0</v>
      </c>
      <c r="BX13" s="60">
        <f t="shared" ref="BX13:BX71" si="53">IF(BW13&gt;0,G13,0)</f>
        <v>0</v>
      </c>
      <c r="BY13" s="49">
        <f t="shared" si="34"/>
        <v>1</v>
      </c>
      <c r="BZ13" s="82">
        <f t="shared" ref="BZ13:BZ71" si="54">IF(AND(G13=""),"",ROUND(G13*4,0))</f>
        <v>372400</v>
      </c>
      <c r="CA13" s="49">
        <f t="shared" ref="CA13:CA71" si="55">IF(AND(G13=""),"",MROUND(G13*1.03,100)*8)</f>
        <v>767200</v>
      </c>
      <c r="CB13" s="49">
        <f t="shared" ref="CB13:CB75" si="56">IF(AND(G13=""),"",ROUND(G13*8,0))</f>
        <v>744800</v>
      </c>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0" t="str">
        <f>IF(ISNA(VLOOKUP(A14,Master!AE$60:AQ$107,3,FALSE)),"",VLOOKUP(A14,Master!AE$60:AQ$107,3,FALSE))</f>
        <v>Jherh lhek</v>
      </c>
      <c r="C14" s="411" t="str">
        <f>IF(ISNA(VLOOKUP(A14,Master!AE$60:AQ$107,7,FALSE)),"",VLOOKUP(A14,Master!AE$60:AQ$107,7,FALSE))</f>
        <v>RJAJ199506021728</v>
      </c>
      <c r="D14" s="412">
        <f>IF(ISNA(VLOOKUP(A14,Master!AE$60:AQ$107,8,FALSE)),"",VLOOKUP(A14,Master!AE$60:AQ$107,8,FALSE))</f>
        <v>1057886</v>
      </c>
      <c r="E14" s="413" t="str">
        <f>IF(ISNA(VLOOKUP(A14,Master!AE$60:AQ$107,4,FALSE)),"",VLOOKUP(A14,Master!AE$60:AQ$107,4,FALSE))</f>
        <v>LECTURER</v>
      </c>
      <c r="F14" s="124">
        <f>IF(ISNA(VLOOKUP(A14,Master!AE$60:AQ$107,5,FALSE)),"",VLOOKUP(A14,Master!AE$60:AQ$107,5,FALSE))</f>
        <v>12</v>
      </c>
      <c r="G14" s="415">
        <f>IF(ISNA(VLOOKUP(A14,Master!AE$60:AQ$107,6,FALSE)),"",VLOOKUP(A14,Master!AE$60:AQ$107,6,FALSE))</f>
        <v>46100</v>
      </c>
      <c r="H14" s="415">
        <f t="shared" si="35"/>
        <v>564400</v>
      </c>
      <c r="I14" s="416" t="str">
        <f t="shared" ca="1" si="36"/>
        <v>01.07.2026</v>
      </c>
      <c r="J14" s="415">
        <f t="shared" si="37"/>
        <v>11200</v>
      </c>
      <c r="K14" s="415">
        <f t="shared" si="38"/>
        <v>575600</v>
      </c>
      <c r="L14" s="415">
        <f t="shared" si="39"/>
        <v>548000</v>
      </c>
      <c r="M14" s="415" t="str">
        <f>IF(ISNA(VLOOKUP(A14,Master!AE$60:AQ$107,12,FALSE)),"",VLOOKUP(A14,Master!AE$60:AQ$107,12,FALSE))</f>
        <v>GAZETTED - REGULAR</v>
      </c>
      <c r="N14" s="163"/>
      <c r="O14" s="163"/>
      <c r="P14" s="163"/>
      <c r="Q14" s="163">
        <f t="shared" si="0"/>
        <v>0</v>
      </c>
      <c r="R14" s="52">
        <f t="shared" si="40"/>
        <v>1</v>
      </c>
      <c r="S14" s="1" t="str">
        <f>IF(ISNA(VLOOKUP(A14,Master!AE$60:AQ$107,10,FALSE)),"",VLOOKUP(A14,Master!AE$60:AQ$107,10,FALSE))</f>
        <v>NO</v>
      </c>
      <c r="T14" s="77"/>
      <c r="U14" s="77"/>
      <c r="V14" s="78" t="str">
        <f>IF(ISNA(VLOOKUP(A14,Master!AE$60:AQ$107,11,FALSE)),"",VLOOKUP(A14,Master!AE$60:AQ$107,11,FALSE))</f>
        <v>NO</v>
      </c>
      <c r="W14" s="78" t="str">
        <f>IF(ISNA(VLOOKUP(A14,Master!AE$60:AQ$107,9,FALSE)),"",VLOOKUP(A14,Master!AE$60:AQ$107,9,FALSE))</f>
        <v>FEMALE</v>
      </c>
      <c r="X14" s="79">
        <f t="shared" si="1"/>
        <v>0</v>
      </c>
      <c r="Y14" s="79">
        <f t="shared" si="2"/>
        <v>0</v>
      </c>
      <c r="Z14" s="79">
        <f t="shared" si="3"/>
        <v>0</v>
      </c>
      <c r="AA14" s="79">
        <f t="shared" si="4"/>
        <v>0</v>
      </c>
      <c r="AB14" s="79">
        <f t="shared" si="5"/>
        <v>0</v>
      </c>
      <c r="AC14" s="79">
        <f t="shared" si="6"/>
        <v>0</v>
      </c>
      <c r="AD14" s="80">
        <f t="shared" si="41"/>
        <v>44800</v>
      </c>
      <c r="AE14" s="80">
        <f t="shared" si="42"/>
        <v>0</v>
      </c>
      <c r="AF14" s="80">
        <f t="shared" si="43"/>
        <v>575600</v>
      </c>
      <c r="AG14" s="80">
        <f t="shared" si="44"/>
        <v>0</v>
      </c>
      <c r="AH14" s="80">
        <f t="shared" si="45"/>
        <v>0</v>
      </c>
      <c r="AI14" s="78">
        <f t="shared" si="46"/>
        <v>0</v>
      </c>
      <c r="AJ14" s="78">
        <v>0</v>
      </c>
      <c r="AK14" s="79">
        <v>0</v>
      </c>
      <c r="AL14" s="78">
        <f t="shared" si="47"/>
        <v>0</v>
      </c>
      <c r="AM14" s="79">
        <f t="shared" si="7"/>
        <v>0</v>
      </c>
      <c r="AN14" s="78">
        <f t="shared" si="48"/>
        <v>36650</v>
      </c>
      <c r="AO14" s="78">
        <f t="shared" si="8"/>
        <v>0</v>
      </c>
      <c r="AP14" s="78">
        <f t="shared" si="9"/>
        <v>0</v>
      </c>
      <c r="AQ14" s="78">
        <f t="shared" si="10"/>
        <v>0</v>
      </c>
      <c r="AR14" s="80">
        <f t="shared" si="11"/>
        <v>612250</v>
      </c>
      <c r="AS14" s="80">
        <f t="shared" si="12"/>
        <v>612250</v>
      </c>
      <c r="AT14" s="78"/>
      <c r="AU14" s="78"/>
      <c r="AV14" s="80">
        <f t="shared" si="13"/>
        <v>612250</v>
      </c>
      <c r="AW14" s="80">
        <f t="shared" si="14"/>
        <v>0</v>
      </c>
      <c r="AX14" s="80">
        <f t="shared" si="15"/>
        <v>548000</v>
      </c>
      <c r="AY14" s="80">
        <f t="shared" si="16"/>
        <v>0</v>
      </c>
      <c r="AZ14" s="80">
        <f t="shared" si="17"/>
        <v>0</v>
      </c>
      <c r="BA14" s="78">
        <f t="shared" si="18"/>
        <v>0</v>
      </c>
      <c r="BB14" s="78">
        <f t="shared" si="19"/>
        <v>0</v>
      </c>
      <c r="BC14" s="79">
        <v>0</v>
      </c>
      <c r="BD14" s="78">
        <f t="shared" si="20"/>
        <v>0</v>
      </c>
      <c r="BE14" s="79">
        <f t="shared" si="21"/>
        <v>0</v>
      </c>
      <c r="BF14" s="78">
        <f t="shared" si="49"/>
        <v>35616</v>
      </c>
      <c r="BG14" s="78">
        <f t="shared" si="22"/>
        <v>0</v>
      </c>
      <c r="BH14" s="78">
        <f t="shared" si="23"/>
        <v>0</v>
      </c>
      <c r="BI14" s="78">
        <f t="shared" si="24"/>
        <v>0</v>
      </c>
      <c r="BJ14" s="80">
        <f t="shared" si="25"/>
        <v>583616</v>
      </c>
      <c r="BK14" s="80">
        <f t="shared" si="26"/>
        <v>583616</v>
      </c>
      <c r="BL14" s="78"/>
      <c r="BM14" s="78"/>
      <c r="BN14" s="80">
        <f t="shared" si="27"/>
        <v>583616</v>
      </c>
      <c r="BO14" s="74">
        <f t="shared" si="28"/>
        <v>0</v>
      </c>
      <c r="BP14" s="74">
        <f t="shared" si="29"/>
        <v>1</v>
      </c>
      <c r="BQ14" s="74">
        <f t="shared" si="30"/>
        <v>0</v>
      </c>
      <c r="BR14" s="74">
        <f t="shared" si="31"/>
        <v>0</v>
      </c>
      <c r="BS14" s="74">
        <f t="shared" si="50"/>
        <v>0</v>
      </c>
      <c r="BT14" s="74">
        <f t="shared" si="32"/>
        <v>0</v>
      </c>
      <c r="BU14" s="60">
        <f t="shared" si="33"/>
        <v>0</v>
      </c>
      <c r="BV14" s="81">
        <f t="shared" si="51"/>
        <v>1</v>
      </c>
      <c r="BW14" s="60">
        <f t="shared" si="52"/>
        <v>0</v>
      </c>
      <c r="BX14" s="60">
        <f t="shared" si="53"/>
        <v>0</v>
      </c>
      <c r="BY14" s="49">
        <f t="shared" si="34"/>
        <v>1</v>
      </c>
      <c r="BZ14" s="82">
        <f t="shared" si="54"/>
        <v>184400</v>
      </c>
      <c r="CA14" s="49">
        <f t="shared" si="55"/>
        <v>380000</v>
      </c>
      <c r="CB14" s="49">
        <f t="shared" si="56"/>
        <v>368800</v>
      </c>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0" t="str">
        <f>IF(ISNA(VLOOKUP(A15,Master!AE$60:AQ$107,3,FALSE)),"",VLOOKUP(A15,Master!AE$60:AQ$107,3,FALSE))</f>
        <v/>
      </c>
      <c r="C15" s="411" t="str">
        <f>IF(ISNA(VLOOKUP(A15,Master!AE$60:AQ$107,7,FALSE)),"",VLOOKUP(A15,Master!AE$60:AQ$107,7,FALSE))</f>
        <v/>
      </c>
      <c r="D15" s="412" t="str">
        <f>IF(ISNA(VLOOKUP(A15,Master!AE$60:AQ$107,8,FALSE)),"",VLOOKUP(A15,Master!AE$60:AQ$107,8,FALSE))</f>
        <v/>
      </c>
      <c r="E15" s="413" t="str">
        <f>IF(ISNA(VLOOKUP(A15,Master!AE$60:AQ$107,4,FALSE)),"",VLOOKUP(A15,Master!AE$60:AQ$107,4,FALSE))</f>
        <v/>
      </c>
      <c r="F15" s="124" t="str">
        <f>IF(ISNA(VLOOKUP(A15,Master!AE$60:AQ$107,5,FALSE)),"",VLOOKUP(A15,Master!AE$60:AQ$107,5,FALSE))</f>
        <v/>
      </c>
      <c r="G15" s="415" t="str">
        <f>IF(ISNA(VLOOKUP(A15,Master!AE$60:AQ$107,6,FALSE)),"",VLOOKUP(A15,Master!AE$60:AQ$107,6,FALSE))</f>
        <v/>
      </c>
      <c r="H15" s="415" t="str">
        <f t="shared" si="35"/>
        <v/>
      </c>
      <c r="I15" s="416" t="str">
        <f t="shared" ca="1" si="36"/>
        <v/>
      </c>
      <c r="J15" s="415" t="str">
        <f t="shared" si="37"/>
        <v/>
      </c>
      <c r="K15" s="415" t="str">
        <f t="shared" si="38"/>
        <v/>
      </c>
      <c r="L15" s="415" t="str">
        <f t="shared" si="39"/>
        <v/>
      </c>
      <c r="M15" s="415" t="str">
        <f>IF(ISNA(VLOOKUP(A15,Master!AE$60:AQ$107,12,FALSE)),"",VLOOKUP(A15,Master!AE$60:AQ$107,12,FALSE))</f>
        <v/>
      </c>
      <c r="N15" s="163"/>
      <c r="O15" s="163"/>
      <c r="P15" s="163"/>
      <c r="Q15" s="163">
        <f t="shared" si="0"/>
        <v>0</v>
      </c>
      <c r="R15" s="52">
        <f t="shared" si="40"/>
        <v>1</v>
      </c>
      <c r="S15" s="1" t="str">
        <f>IF(ISNA(VLOOKUP(A15,Master!AE$60:AQ$107,10,FALSE)),"",VLOOKUP(A15,Master!AE$60:AQ$107,10,FALSE))</f>
        <v/>
      </c>
      <c r="T15" s="77"/>
      <c r="U15" s="77"/>
      <c r="V15" s="78" t="str">
        <f>IF(ISNA(VLOOKUP(A15,Master!AE$60:AQ$107,11,FALSE)),"",VLOOKUP(A15,Master!AE$60:AQ$107,11,FALSE))</f>
        <v/>
      </c>
      <c r="W15" s="78" t="str">
        <f>IF(ISNA(VLOOKUP(A15,Master!AE$60:AQ$107,9,FALSE)),"",VLOOKUP(A15,Master!AE$60:AQ$107,9,FALSE))</f>
        <v/>
      </c>
      <c r="X15" s="79">
        <f t="shared" si="1"/>
        <v>0</v>
      </c>
      <c r="Y15" s="79">
        <f t="shared" si="2"/>
        <v>0</v>
      </c>
      <c r="Z15" s="79">
        <f t="shared" si="3"/>
        <v>0</v>
      </c>
      <c r="AA15" s="79">
        <f t="shared" si="4"/>
        <v>0</v>
      </c>
      <c r="AB15" s="79">
        <f t="shared" si="5"/>
        <v>0</v>
      </c>
      <c r="AC15" s="79">
        <f t="shared" si="6"/>
        <v>0</v>
      </c>
      <c r="AD15" s="80" t="str">
        <f t="shared" si="41"/>
        <v/>
      </c>
      <c r="AE15" s="80" t="str">
        <f t="shared" si="42"/>
        <v/>
      </c>
      <c r="AF15" s="80" t="str">
        <f t="shared" si="43"/>
        <v/>
      </c>
      <c r="AG15" s="80" t="str">
        <f t="shared" si="44"/>
        <v/>
      </c>
      <c r="AH15" s="80" t="str">
        <f t="shared" si="45"/>
        <v/>
      </c>
      <c r="AI15" s="78" t="str">
        <f t="shared" si="46"/>
        <v/>
      </c>
      <c r="AJ15" s="78">
        <v>0</v>
      </c>
      <c r="AK15" s="79">
        <v>0</v>
      </c>
      <c r="AL15" s="78" t="str">
        <f t="shared" si="47"/>
        <v/>
      </c>
      <c r="AM15" s="79">
        <f t="shared" si="7"/>
        <v>0</v>
      </c>
      <c r="AN15" s="78">
        <f t="shared" si="48"/>
        <v>0</v>
      </c>
      <c r="AO15" s="78">
        <f t="shared" si="8"/>
        <v>0</v>
      </c>
      <c r="AP15" s="78">
        <f t="shared" si="9"/>
        <v>0</v>
      </c>
      <c r="AQ15" s="78">
        <f t="shared" si="10"/>
        <v>0</v>
      </c>
      <c r="AR15" s="80">
        <f t="shared" si="11"/>
        <v>0</v>
      </c>
      <c r="AS15" s="80">
        <f t="shared" si="12"/>
        <v>0</v>
      </c>
      <c r="AT15" s="78"/>
      <c r="AU15" s="78"/>
      <c r="AV15" s="80">
        <f t="shared" si="13"/>
        <v>0</v>
      </c>
      <c r="AW15" s="80">
        <f t="shared" si="14"/>
        <v>0</v>
      </c>
      <c r="AX15" s="80">
        <f t="shared" si="15"/>
        <v>0</v>
      </c>
      <c r="AY15" s="80">
        <f t="shared" si="16"/>
        <v>0</v>
      </c>
      <c r="AZ15" s="80">
        <f t="shared" si="17"/>
        <v>0</v>
      </c>
      <c r="BA15" s="78">
        <f t="shared" si="18"/>
        <v>0</v>
      </c>
      <c r="BB15" s="78">
        <f t="shared" si="19"/>
        <v>0</v>
      </c>
      <c r="BC15" s="79">
        <v>0</v>
      </c>
      <c r="BD15" s="78">
        <f t="shared" si="20"/>
        <v>0</v>
      </c>
      <c r="BE15" s="79">
        <f t="shared" si="21"/>
        <v>0</v>
      </c>
      <c r="BF15" s="78">
        <f t="shared" si="49"/>
        <v>0</v>
      </c>
      <c r="BG15" s="78">
        <f t="shared" si="22"/>
        <v>0</v>
      </c>
      <c r="BH15" s="78">
        <f t="shared" si="23"/>
        <v>0</v>
      </c>
      <c r="BI15" s="78">
        <f t="shared" si="24"/>
        <v>0</v>
      </c>
      <c r="BJ15" s="80">
        <f t="shared" si="25"/>
        <v>0</v>
      </c>
      <c r="BK15" s="80">
        <f t="shared" si="26"/>
        <v>0</v>
      </c>
      <c r="BL15" s="78"/>
      <c r="BM15" s="78"/>
      <c r="BN15" s="80">
        <f t="shared" si="27"/>
        <v>0</v>
      </c>
      <c r="BO15" s="74">
        <f t="shared" si="28"/>
        <v>0</v>
      </c>
      <c r="BP15" s="74">
        <f t="shared" si="29"/>
        <v>1</v>
      </c>
      <c r="BQ15" s="74">
        <f t="shared" si="30"/>
        <v>0</v>
      </c>
      <c r="BR15" s="74">
        <f t="shared" si="31"/>
        <v>0</v>
      </c>
      <c r="BS15" s="74">
        <f t="shared" si="50"/>
        <v>0</v>
      </c>
      <c r="BT15" s="74">
        <f t="shared" si="32"/>
        <v>1</v>
      </c>
      <c r="BU15" s="60">
        <f t="shared" si="33"/>
        <v>0</v>
      </c>
      <c r="BV15" s="81">
        <f t="shared" si="51"/>
        <v>1</v>
      </c>
      <c r="BW15" s="60">
        <f t="shared" si="52"/>
        <v>0</v>
      </c>
      <c r="BX15" s="60">
        <f t="shared" si="53"/>
        <v>0</v>
      </c>
      <c r="BY15" s="49" t="str">
        <f t="shared" si="34"/>
        <v/>
      </c>
      <c r="BZ15" s="82" t="str">
        <f t="shared" si="54"/>
        <v/>
      </c>
      <c r="CA15" s="49" t="str">
        <f t="shared" si="55"/>
        <v/>
      </c>
      <c r="CB15" s="49" t="str">
        <f t="shared" si="56"/>
        <v/>
      </c>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0" t="str">
        <f>IF(ISNA(VLOOKUP(A16,Master!AE$60:AQ$107,3,FALSE)),"",VLOOKUP(A16,Master!AE$60:AQ$107,3,FALSE))</f>
        <v/>
      </c>
      <c r="C16" s="411" t="str">
        <f>IF(ISNA(VLOOKUP(A16,Master!AE$60:AQ$107,7,FALSE)),"",VLOOKUP(A16,Master!AE$60:AQ$107,7,FALSE))</f>
        <v/>
      </c>
      <c r="D16" s="412" t="str">
        <f>IF(ISNA(VLOOKUP(A16,Master!AE$60:AQ$107,8,FALSE)),"",VLOOKUP(A16,Master!AE$60:AQ$107,8,FALSE))</f>
        <v/>
      </c>
      <c r="E16" s="413" t="str">
        <f>IF(ISNA(VLOOKUP(A16,Master!AE$60:AQ$107,4,FALSE)),"",VLOOKUP(A16,Master!AE$60:AQ$107,4,FALSE))</f>
        <v/>
      </c>
      <c r="F16" s="124" t="str">
        <f>IF(ISNA(VLOOKUP(A16,Master!AE$60:AQ$107,5,FALSE)),"",VLOOKUP(A16,Master!AE$60:AQ$107,5,FALSE))</f>
        <v/>
      </c>
      <c r="G16" s="415" t="str">
        <f>IF(ISNA(VLOOKUP(A16,Master!AE$60:AQ$107,6,FALSE)),"",VLOOKUP(A16,Master!AE$60:AQ$107,6,FALSE))</f>
        <v/>
      </c>
      <c r="H16" s="415" t="str">
        <f t="shared" si="35"/>
        <v/>
      </c>
      <c r="I16" s="416" t="str">
        <f t="shared" ca="1" si="36"/>
        <v/>
      </c>
      <c r="J16" s="415" t="str">
        <f t="shared" si="37"/>
        <v/>
      </c>
      <c r="K16" s="415" t="str">
        <f t="shared" si="38"/>
        <v/>
      </c>
      <c r="L16" s="415" t="str">
        <f t="shared" si="39"/>
        <v/>
      </c>
      <c r="M16" s="415"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82" t="str">
        <f t="shared" si="54"/>
        <v/>
      </c>
      <c r="CA16" s="49" t="str">
        <f t="shared" si="55"/>
        <v/>
      </c>
      <c r="CB16" s="49" t="str">
        <f t="shared" si="56"/>
        <v/>
      </c>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0" t="str">
        <f>IF(ISNA(VLOOKUP(A17,Master!AE$60:AQ$107,3,FALSE)),"",VLOOKUP(A17,Master!AE$60:AQ$107,3,FALSE))</f>
        <v/>
      </c>
      <c r="C17" s="411" t="str">
        <f>IF(ISNA(VLOOKUP(A17,Master!AE$60:AQ$107,7,FALSE)),"",VLOOKUP(A17,Master!AE$60:AQ$107,7,FALSE))</f>
        <v/>
      </c>
      <c r="D17" s="412" t="str">
        <f>IF(ISNA(VLOOKUP(A17,Master!AE$60:AQ$107,8,FALSE)),"",VLOOKUP(A17,Master!AE$60:AQ$107,8,FALSE))</f>
        <v/>
      </c>
      <c r="E17" s="413" t="str">
        <f>IF(ISNA(VLOOKUP(A17,Master!AE$60:AQ$107,4,FALSE)),"",VLOOKUP(A17,Master!AE$60:AQ$107,4,FALSE))</f>
        <v/>
      </c>
      <c r="F17" s="124" t="str">
        <f>IF(ISNA(VLOOKUP(A17,Master!AE$60:AQ$107,5,FALSE)),"",VLOOKUP(A17,Master!AE$60:AQ$107,5,FALSE))</f>
        <v/>
      </c>
      <c r="G17" s="415" t="str">
        <f>IF(ISNA(VLOOKUP(A17,Master!AE$60:AQ$107,6,FALSE)),"",VLOOKUP(A17,Master!AE$60:AQ$107,6,FALSE))</f>
        <v/>
      </c>
      <c r="H17" s="415" t="str">
        <f t="shared" si="35"/>
        <v/>
      </c>
      <c r="I17" s="416" t="str">
        <f t="shared" ca="1" si="36"/>
        <v/>
      </c>
      <c r="J17" s="415" t="str">
        <f t="shared" si="37"/>
        <v/>
      </c>
      <c r="K17" s="415" t="str">
        <f t="shared" si="38"/>
        <v/>
      </c>
      <c r="L17" s="415" t="str">
        <f t="shared" si="39"/>
        <v/>
      </c>
      <c r="M17" s="415"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82" t="str">
        <f t="shared" si="54"/>
        <v/>
      </c>
      <c r="CA17" s="49" t="str">
        <f t="shared" si="55"/>
        <v/>
      </c>
      <c r="CB17" s="49" t="str">
        <f t="shared" si="56"/>
        <v/>
      </c>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0" t="str">
        <f>IF(ISNA(VLOOKUP(A18,Master!AE$60:AQ$107,3,FALSE)),"",VLOOKUP(A18,Master!AE$60:AQ$107,3,FALSE))</f>
        <v/>
      </c>
      <c r="C18" s="411" t="str">
        <f>IF(ISNA(VLOOKUP(A18,Master!AE$60:AQ$107,7,FALSE)),"",VLOOKUP(A18,Master!AE$60:AQ$107,7,FALSE))</f>
        <v/>
      </c>
      <c r="D18" s="412" t="str">
        <f>IF(ISNA(VLOOKUP(A18,Master!AE$60:AQ$107,8,FALSE)),"",VLOOKUP(A18,Master!AE$60:AQ$107,8,FALSE))</f>
        <v/>
      </c>
      <c r="E18" s="413" t="str">
        <f>IF(ISNA(VLOOKUP(A18,Master!AE$60:AQ$107,4,FALSE)),"",VLOOKUP(A18,Master!AE$60:AQ$107,4,FALSE))</f>
        <v/>
      </c>
      <c r="F18" s="124" t="str">
        <f>IF(ISNA(VLOOKUP(A18,Master!AE$60:AQ$107,5,FALSE)),"",VLOOKUP(A18,Master!AE$60:AQ$107,5,FALSE))</f>
        <v/>
      </c>
      <c r="G18" s="415" t="str">
        <f>IF(ISNA(VLOOKUP(A18,Master!AE$60:AQ$107,6,FALSE)),"",VLOOKUP(A18,Master!AE$60:AQ$107,6,FALSE))</f>
        <v/>
      </c>
      <c r="H18" s="415" t="str">
        <f t="shared" si="35"/>
        <v/>
      </c>
      <c r="I18" s="416" t="str">
        <f t="shared" ca="1" si="36"/>
        <v/>
      </c>
      <c r="J18" s="415" t="str">
        <f t="shared" si="37"/>
        <v/>
      </c>
      <c r="K18" s="415" t="str">
        <f t="shared" si="38"/>
        <v/>
      </c>
      <c r="L18" s="415" t="str">
        <f t="shared" si="39"/>
        <v/>
      </c>
      <c r="M18" s="415"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82" t="str">
        <f t="shared" si="54"/>
        <v/>
      </c>
      <c r="CA18" s="49" t="str">
        <f t="shared" si="55"/>
        <v/>
      </c>
      <c r="CB18" s="49" t="str">
        <f t="shared" si="56"/>
        <v/>
      </c>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0" t="str">
        <f>IF(ISNA(VLOOKUP(A19,Master!AE$60:AQ$107,3,FALSE)),"",VLOOKUP(A19,Master!AE$60:AQ$107,3,FALSE))</f>
        <v/>
      </c>
      <c r="C19" s="411" t="str">
        <f>IF(ISNA(VLOOKUP(A19,Master!AE$60:AQ$107,7,FALSE)),"",VLOOKUP(A19,Master!AE$60:AQ$107,7,FALSE))</f>
        <v/>
      </c>
      <c r="D19" s="412" t="str">
        <f>IF(ISNA(VLOOKUP(A19,Master!AE$60:AQ$107,8,FALSE)),"",VLOOKUP(A19,Master!AE$60:AQ$107,8,FALSE))</f>
        <v/>
      </c>
      <c r="E19" s="413" t="str">
        <f>IF(ISNA(VLOOKUP(A19,Master!AE$60:AQ$107,4,FALSE)),"",VLOOKUP(A19,Master!AE$60:AQ$107,4,FALSE))</f>
        <v/>
      </c>
      <c r="F19" s="124" t="str">
        <f>IF(ISNA(VLOOKUP(A19,Master!AE$60:AQ$107,5,FALSE)),"",VLOOKUP(A19,Master!AE$60:AQ$107,5,FALSE))</f>
        <v/>
      </c>
      <c r="G19" s="415" t="str">
        <f>IF(ISNA(VLOOKUP(A19,Master!AE$60:AQ$107,6,FALSE)),"",VLOOKUP(A19,Master!AE$60:AQ$107,6,FALSE))</f>
        <v/>
      </c>
      <c r="H19" s="415" t="str">
        <f t="shared" si="35"/>
        <v/>
      </c>
      <c r="I19" s="416" t="str">
        <f t="shared" ca="1" si="36"/>
        <v/>
      </c>
      <c r="J19" s="415" t="str">
        <f t="shared" si="37"/>
        <v/>
      </c>
      <c r="K19" s="415" t="str">
        <f t="shared" si="38"/>
        <v/>
      </c>
      <c r="L19" s="415" t="str">
        <f t="shared" si="39"/>
        <v/>
      </c>
      <c r="M19" s="415"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82" t="str">
        <f t="shared" si="54"/>
        <v/>
      </c>
      <c r="CA19" s="49" t="str">
        <f t="shared" si="55"/>
        <v/>
      </c>
      <c r="CB19" s="49" t="str">
        <f t="shared" si="56"/>
        <v/>
      </c>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0" t="str">
        <f>IF(ISNA(VLOOKUP(A20,Master!AE$60:AQ$107,3,FALSE)),"",VLOOKUP(A20,Master!AE$60:AQ$107,3,FALSE))</f>
        <v/>
      </c>
      <c r="C20" s="411" t="str">
        <f>IF(ISNA(VLOOKUP(A20,Master!AE$60:AQ$107,7,FALSE)),"",VLOOKUP(A20,Master!AE$60:AQ$107,7,FALSE))</f>
        <v/>
      </c>
      <c r="D20" s="412" t="str">
        <f>IF(ISNA(VLOOKUP(A20,Master!AE$60:AQ$107,8,FALSE)),"",VLOOKUP(A20,Master!AE$60:AQ$107,8,FALSE))</f>
        <v/>
      </c>
      <c r="E20" s="413" t="str">
        <f>IF(ISNA(VLOOKUP(A20,Master!AE$60:AQ$107,4,FALSE)),"",VLOOKUP(A20,Master!AE$60:AQ$107,4,FALSE))</f>
        <v/>
      </c>
      <c r="F20" s="124" t="str">
        <f>IF(ISNA(VLOOKUP(A20,Master!AE$60:AQ$107,5,FALSE)),"",VLOOKUP(A20,Master!AE$60:AQ$107,5,FALSE))</f>
        <v/>
      </c>
      <c r="G20" s="415" t="str">
        <f>IF(ISNA(VLOOKUP(A20,Master!AE$60:AQ$107,6,FALSE)),"",VLOOKUP(A20,Master!AE$60:AQ$107,6,FALSE))</f>
        <v/>
      </c>
      <c r="H20" s="415" t="str">
        <f t="shared" si="35"/>
        <v/>
      </c>
      <c r="I20" s="416" t="str">
        <f t="shared" ca="1" si="36"/>
        <v/>
      </c>
      <c r="J20" s="415" t="str">
        <f t="shared" si="37"/>
        <v/>
      </c>
      <c r="K20" s="415" t="str">
        <f t="shared" si="38"/>
        <v/>
      </c>
      <c r="L20" s="415" t="str">
        <f t="shared" si="39"/>
        <v/>
      </c>
      <c r="M20" s="415"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82" t="str">
        <f t="shared" si="54"/>
        <v/>
      </c>
      <c r="CA20" s="49" t="str">
        <f t="shared" si="55"/>
        <v/>
      </c>
      <c r="CB20" s="49" t="str">
        <f t="shared" si="56"/>
        <v/>
      </c>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0" t="str">
        <f>IF(ISNA(VLOOKUP(A21,Master!AE$60:AQ$107,3,FALSE)),"",VLOOKUP(A21,Master!AE$60:AQ$107,3,FALSE))</f>
        <v/>
      </c>
      <c r="C21" s="411" t="str">
        <f>IF(ISNA(VLOOKUP(A21,Master!AE$60:AQ$107,7,FALSE)),"",VLOOKUP(A21,Master!AE$60:AQ$107,7,FALSE))</f>
        <v/>
      </c>
      <c r="D21" s="412" t="str">
        <f>IF(ISNA(VLOOKUP(A21,Master!AE$60:AQ$107,8,FALSE)),"",VLOOKUP(A21,Master!AE$60:AQ$107,8,FALSE))</f>
        <v/>
      </c>
      <c r="E21" s="413" t="str">
        <f>IF(ISNA(VLOOKUP(A21,Master!AE$60:AQ$107,4,FALSE)),"",VLOOKUP(A21,Master!AE$60:AQ$107,4,FALSE))</f>
        <v/>
      </c>
      <c r="F21" s="124" t="str">
        <f>IF(ISNA(VLOOKUP(A21,Master!AE$60:AQ$107,5,FALSE)),"",VLOOKUP(A21,Master!AE$60:AQ$107,5,FALSE))</f>
        <v/>
      </c>
      <c r="G21" s="415" t="str">
        <f>IF(ISNA(VLOOKUP(A21,Master!AE$60:AQ$107,6,FALSE)),"",VLOOKUP(A21,Master!AE$60:AQ$107,6,FALSE))</f>
        <v/>
      </c>
      <c r="H21" s="415" t="str">
        <f t="shared" si="35"/>
        <v/>
      </c>
      <c r="I21" s="416" t="str">
        <f t="shared" ca="1" si="36"/>
        <v/>
      </c>
      <c r="J21" s="415" t="str">
        <f t="shared" si="37"/>
        <v/>
      </c>
      <c r="K21" s="415" t="str">
        <f t="shared" si="38"/>
        <v/>
      </c>
      <c r="L21" s="415" t="str">
        <f t="shared" si="39"/>
        <v/>
      </c>
      <c r="M21" s="415"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82" t="str">
        <f t="shared" si="54"/>
        <v/>
      </c>
      <c r="CA21" s="49" t="str">
        <f t="shared" si="55"/>
        <v/>
      </c>
      <c r="CB21" s="49" t="str">
        <f t="shared" si="56"/>
        <v/>
      </c>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0" t="str">
        <f>IF(ISNA(VLOOKUP(A22,Master!AE$60:AQ$107,3,FALSE)),"",VLOOKUP(A22,Master!AE$60:AQ$107,3,FALSE))</f>
        <v/>
      </c>
      <c r="C22" s="411" t="str">
        <f>IF(ISNA(VLOOKUP(A22,Master!AE$60:AQ$107,7,FALSE)),"",VLOOKUP(A22,Master!AE$60:AQ$107,7,FALSE))</f>
        <v/>
      </c>
      <c r="D22" s="412" t="str">
        <f>IF(ISNA(VLOOKUP(A22,Master!AE$60:AQ$107,8,FALSE)),"",VLOOKUP(A22,Master!AE$60:AQ$107,8,FALSE))</f>
        <v/>
      </c>
      <c r="E22" s="413" t="str">
        <f>IF(ISNA(VLOOKUP(A22,Master!AE$60:AQ$107,4,FALSE)),"",VLOOKUP(A22,Master!AE$60:AQ$107,4,FALSE))</f>
        <v/>
      </c>
      <c r="F22" s="124" t="str">
        <f>IF(ISNA(VLOOKUP(A22,Master!AE$60:AQ$107,5,FALSE)),"",VLOOKUP(A22,Master!AE$60:AQ$107,5,FALSE))</f>
        <v/>
      </c>
      <c r="G22" s="415" t="str">
        <f>IF(ISNA(VLOOKUP(A22,Master!AE$60:AQ$107,6,FALSE)),"",VLOOKUP(A22,Master!AE$60:AQ$107,6,FALSE))</f>
        <v/>
      </c>
      <c r="H22" s="415" t="str">
        <f t="shared" si="35"/>
        <v/>
      </c>
      <c r="I22" s="416" t="str">
        <f t="shared" ca="1" si="36"/>
        <v/>
      </c>
      <c r="J22" s="415" t="str">
        <f t="shared" si="37"/>
        <v/>
      </c>
      <c r="K22" s="415" t="str">
        <f t="shared" si="38"/>
        <v/>
      </c>
      <c r="L22" s="415" t="str">
        <f t="shared" si="39"/>
        <v/>
      </c>
      <c r="M22" s="415" t="str">
        <f>IF(ISNA(VLOOKUP(A22,Master!AE$60:AQ$107,12,FALSE)),"",VLOOKUP(A22,Master!AE$60:AQ$107,12,FALSE))</f>
        <v/>
      </c>
      <c r="N22" s="163"/>
      <c r="O22" s="163"/>
      <c r="P22" s="163"/>
      <c r="Q22" s="163">
        <f>IF(AND(M22=Y$1),0,IF(AND(G22=0),0,$E$81*1*(IF(G22&lt;=0,0,1))*(IF(F22&lt;=12,1,0))))</f>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82" t="str">
        <f t="shared" si="54"/>
        <v/>
      </c>
      <c r="CA22" s="49" t="str">
        <f t="shared" si="55"/>
        <v/>
      </c>
      <c r="CB22" s="49" t="str">
        <f t="shared" si="56"/>
        <v/>
      </c>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0" t="str">
        <f>IF(ISNA(VLOOKUP(A23,Master!AE$60:AQ$107,3,FALSE)),"",VLOOKUP(A23,Master!AE$60:AQ$107,3,FALSE))</f>
        <v/>
      </c>
      <c r="C23" s="411" t="str">
        <f>IF(ISNA(VLOOKUP(A23,Master!AE$60:AQ$107,7,FALSE)),"",VLOOKUP(A23,Master!AE$60:AQ$107,7,FALSE))</f>
        <v/>
      </c>
      <c r="D23" s="412" t="str">
        <f>IF(ISNA(VLOOKUP(A23,Master!AE$60:AQ$107,8,FALSE)),"",VLOOKUP(A23,Master!AE$60:AQ$107,8,FALSE))</f>
        <v/>
      </c>
      <c r="E23" s="413" t="str">
        <f>IF(ISNA(VLOOKUP(A23,Master!AE$60:AQ$107,4,FALSE)),"",VLOOKUP(A23,Master!AE$60:AQ$107,4,FALSE))</f>
        <v/>
      </c>
      <c r="F23" s="124" t="str">
        <f>IF(ISNA(VLOOKUP(A23,Master!AE$60:AQ$107,5,FALSE)),"",VLOOKUP(A23,Master!AE$60:AQ$107,5,FALSE))</f>
        <v/>
      </c>
      <c r="G23" s="415" t="str">
        <f>IF(ISNA(VLOOKUP(A23,Master!AE$60:AQ$107,6,FALSE)),"",VLOOKUP(A23,Master!AE$60:AQ$107,6,FALSE))</f>
        <v/>
      </c>
      <c r="H23" s="415" t="str">
        <f t="shared" si="35"/>
        <v/>
      </c>
      <c r="I23" s="416" t="str">
        <f t="shared" ca="1" si="36"/>
        <v/>
      </c>
      <c r="J23" s="415" t="str">
        <f t="shared" si="37"/>
        <v/>
      </c>
      <c r="K23" s="415" t="str">
        <f t="shared" si="38"/>
        <v/>
      </c>
      <c r="L23" s="415" t="str">
        <f t="shared" si="39"/>
        <v/>
      </c>
      <c r="M23" s="415"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82" t="str">
        <f t="shared" si="54"/>
        <v/>
      </c>
      <c r="CA23" s="49" t="str">
        <f t="shared" si="55"/>
        <v/>
      </c>
      <c r="CB23" s="49" t="str">
        <f t="shared" si="56"/>
        <v/>
      </c>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0" t="str">
        <f>IF(ISNA(VLOOKUP(A24,Master!AE$60:AQ$107,3,FALSE)),"",VLOOKUP(A24,Master!AE$60:AQ$107,3,FALSE))</f>
        <v/>
      </c>
      <c r="C24" s="411" t="str">
        <f>IF(ISNA(VLOOKUP(A24,Master!AE$60:AQ$107,7,FALSE)),"",VLOOKUP(A24,Master!AE$60:AQ$107,7,FALSE))</f>
        <v/>
      </c>
      <c r="D24" s="412" t="str">
        <f>IF(ISNA(VLOOKUP(A24,Master!AE$60:AQ$107,8,FALSE)),"",VLOOKUP(A24,Master!AE$60:AQ$107,8,FALSE))</f>
        <v/>
      </c>
      <c r="E24" s="413" t="str">
        <f>IF(ISNA(VLOOKUP(A24,Master!AE$60:AQ$107,4,FALSE)),"",VLOOKUP(A24,Master!AE$60:AQ$107,4,FALSE))</f>
        <v/>
      </c>
      <c r="F24" s="124" t="str">
        <f>IF(ISNA(VLOOKUP(A24,Master!AE$60:AQ$107,5,FALSE)),"",VLOOKUP(A24,Master!AE$60:AQ$107,5,FALSE))</f>
        <v/>
      </c>
      <c r="G24" s="415" t="str">
        <f>IF(ISNA(VLOOKUP(A24,Master!AE$60:AQ$107,6,FALSE)),"",VLOOKUP(A24,Master!AE$60:AQ$107,6,FALSE))</f>
        <v/>
      </c>
      <c r="H24" s="415" t="str">
        <f t="shared" si="35"/>
        <v/>
      </c>
      <c r="I24" s="416" t="str">
        <f t="shared" ca="1" si="36"/>
        <v/>
      </c>
      <c r="J24" s="415" t="str">
        <f t="shared" si="37"/>
        <v/>
      </c>
      <c r="K24" s="415" t="str">
        <f t="shared" si="38"/>
        <v/>
      </c>
      <c r="L24" s="415" t="str">
        <f t="shared" si="39"/>
        <v/>
      </c>
      <c r="M24" s="415"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82" t="str">
        <f t="shared" si="54"/>
        <v/>
      </c>
      <c r="CA24" s="49" t="str">
        <f t="shared" si="55"/>
        <v/>
      </c>
      <c r="CB24" s="49" t="str">
        <f t="shared" si="56"/>
        <v/>
      </c>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0" t="str">
        <f>IF(ISNA(VLOOKUP(A25,Master!AE$60:AQ$107,3,FALSE)),"",VLOOKUP(A25,Master!AE$60:AQ$107,3,FALSE))</f>
        <v/>
      </c>
      <c r="C25" s="411" t="str">
        <f>IF(ISNA(VLOOKUP(A25,Master!AE$60:AQ$107,7,FALSE)),"",VLOOKUP(A25,Master!AE$60:AQ$107,7,FALSE))</f>
        <v/>
      </c>
      <c r="D25" s="412" t="str">
        <f>IF(ISNA(VLOOKUP(A25,Master!AE$60:AQ$107,8,FALSE)),"",VLOOKUP(A25,Master!AE$60:AQ$107,8,FALSE))</f>
        <v/>
      </c>
      <c r="E25" s="413" t="str">
        <f>IF(ISNA(VLOOKUP(A25,Master!AE$60:AQ$107,4,FALSE)),"",VLOOKUP(A25,Master!AE$60:AQ$107,4,FALSE))</f>
        <v/>
      </c>
      <c r="F25" s="124" t="str">
        <f>IF(ISNA(VLOOKUP(A25,Master!AE$60:AQ$107,5,FALSE)),"",VLOOKUP(A25,Master!AE$60:AQ$107,5,FALSE))</f>
        <v/>
      </c>
      <c r="G25" s="415" t="str">
        <f>IF(ISNA(VLOOKUP(A25,Master!AE$60:AQ$107,6,FALSE)),"",VLOOKUP(A25,Master!AE$60:AQ$107,6,FALSE))</f>
        <v/>
      </c>
      <c r="H25" s="415" t="str">
        <f t="shared" si="35"/>
        <v/>
      </c>
      <c r="I25" s="416" t="str">
        <f t="shared" ca="1" si="36"/>
        <v/>
      </c>
      <c r="J25" s="415" t="str">
        <f t="shared" si="37"/>
        <v/>
      </c>
      <c r="K25" s="415" t="str">
        <f t="shared" si="38"/>
        <v/>
      </c>
      <c r="L25" s="415" t="str">
        <f t="shared" si="39"/>
        <v/>
      </c>
      <c r="M25" s="415"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82" t="str">
        <f t="shared" si="54"/>
        <v/>
      </c>
      <c r="CA25" s="49" t="str">
        <f t="shared" si="55"/>
        <v/>
      </c>
      <c r="CB25" s="49" t="str">
        <f t="shared" si="56"/>
        <v/>
      </c>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857"/>
      <c r="B26" s="858"/>
      <c r="C26" s="858"/>
      <c r="D26" s="126"/>
      <c r="E26" s="127" t="s">
        <v>177</v>
      </c>
      <c r="F26" s="128"/>
      <c r="G26" s="169"/>
      <c r="H26" s="169">
        <f t="shared" ref="H26:L26" si="57">SUM(H12:H25)</f>
        <v>2576400</v>
      </c>
      <c r="I26" s="169"/>
      <c r="J26" s="169">
        <f t="shared" si="57"/>
        <v>50400</v>
      </c>
      <c r="K26" s="169">
        <f t="shared" si="57"/>
        <v>2626800</v>
      </c>
      <c r="L26" s="169">
        <f t="shared" si="57"/>
        <v>2501600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82" t="str">
        <f t="shared" si="54"/>
        <v/>
      </c>
      <c r="CA26" s="49" t="str">
        <f t="shared" si="55"/>
        <v/>
      </c>
      <c r="CB26" s="49" t="str">
        <f t="shared" si="56"/>
        <v/>
      </c>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841" t="s">
        <v>548</v>
      </c>
      <c r="B27" s="842"/>
      <c r="C27" s="842"/>
      <c r="D27" s="842"/>
      <c r="E27" s="842"/>
      <c r="F27" s="842"/>
      <c r="G27" s="842"/>
      <c r="H27" s="842"/>
      <c r="I27" s="842"/>
      <c r="J27" s="842"/>
      <c r="K27" s="842"/>
      <c r="L27" s="842"/>
      <c r="M27" s="843"/>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82" t="str">
        <f t="shared" si="54"/>
        <v/>
      </c>
      <c r="CA27" s="49" t="str">
        <f t="shared" si="55"/>
        <v/>
      </c>
      <c r="CB27" s="49" t="str">
        <f t="shared" si="56"/>
        <v/>
      </c>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0" t="str">
        <f>IF(ISNA(VLOOKUP(A28,Master!AR$60:BD$107,3,FALSE)),"",VLOOKUP(A28,Master!AR$60:BD$107,3,FALSE))</f>
        <v>Jh lqjs'k pUn flaxkfM+;k</v>
      </c>
      <c r="C28" s="411" t="str">
        <f>IF(ISNA(VLOOKUP(A28,Master!AR$60:BD$107,7,FALSE)),"",VLOOKUP(A28,Master!AR$60:BD$107,7,FALSE))</f>
        <v>RJAJ199506021728</v>
      </c>
      <c r="D28" s="412">
        <f>IF(ISNA(VLOOKUP(A28,Master!AR$60:BD$107,8,FALSE)),"",VLOOKUP(A28,Master!AR$60:BD$107,8,FALSE))</f>
        <v>690644</v>
      </c>
      <c r="E28" s="417" t="str">
        <f>IF(ISNA(VLOOKUP(A28,Master!AR$60:BD$107,4,FALSE)),"",VLOOKUP(A28,Master!AR$60:BD$107,4,FALSE))</f>
        <v>TEACHER-II</v>
      </c>
      <c r="F28" s="124">
        <f>IF(ISNA(VLOOKUP(A28,Master!AR$60:BD$107,5,FALSE)),"",VLOOKUP(A28,Master!AR$60:BD$107,5,FALSE))</f>
        <v>12</v>
      </c>
      <c r="G28" s="415">
        <f>IF(ISNA(VLOOKUP(A28,Master!AR$60:BD$107,6,FALSE)),"",VLOOKUP(A28,Master!AR$60:BD$107,6,FALSE))</f>
        <v>53900</v>
      </c>
      <c r="H28" s="415">
        <f>IFERROR(IF(AND(G28=""),"",ROUND(G28*4,0))+IF(AND(G28=""),"",MROUND(G28*1.03,100)*8),"")</f>
        <v>659600</v>
      </c>
      <c r="I28" s="416" t="str">
        <f ca="1">IF(AND(G28=""),"",IF(G28&lt;=0,"",(CONCATENATE("01.07.",(YEAR(TODAY())+1)))))</f>
        <v>01.07.2026</v>
      </c>
      <c r="J28" s="415">
        <f>IF(AND(G28=""),"",ROUND(ROUND(G28*3%,0),-2)*IF(F28="FIX PAY",0,1)*8)</f>
        <v>12800</v>
      </c>
      <c r="K28" s="415">
        <f>IF(AND(G28=""),"",H28+J28)</f>
        <v>672400</v>
      </c>
      <c r="L28" s="415">
        <f>IF(AND(G28=""),"",IF(M28="FIX PAY",K28,((IF(M28="FIX PAY",0,AD28*4+G28*8)))))</f>
        <v>640400</v>
      </c>
      <c r="M28" s="415" t="str">
        <f>IF(ISNA(VLOOKUP(A28,Master!AR$60:BD$107,12,FALSE)),"",VLOOKUP(A28,Master!AR$60:BD$107,12,FALSE))</f>
        <v>NON GAZETTED - REGULAR</v>
      </c>
      <c r="N28" s="163"/>
      <c r="O28" s="163"/>
      <c r="P28" s="163"/>
      <c r="Q28" s="163">
        <f>IF(AND(G28=0),0,IF(AND(M28=Y$2),$E$81*1*(IF(F28&lt;=12,1,0)),0))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8">IF(W28="MALE",1,0)*(IF(E28="JAMADAR",1,0))*(IF(G28&lt;=0,0,1))</f>
        <v>0</v>
      </c>
      <c r="Y28" s="79">
        <f t="shared" ref="Y28:Y71" si="59">IF(W28="FEMALE",1,0)*(IF(E28="JAMADAR",1,0))*(IF(G28&lt;=0,0,1))</f>
        <v>0</v>
      </c>
      <c r="Z28" s="79">
        <f t="shared" ref="Z28:Z71" si="60">IF(W28="MALE",1,0)*(IF(E28="LAB BOY",1,0))*(IF(G28&lt;=0,0,1))</f>
        <v>0</v>
      </c>
      <c r="AA28" s="79">
        <f t="shared" ref="AA28:AA71" si="61">IF(W28="FEMALE",1,0)*(IF(E28="LAB BOY",1,0))*(IF(G28&lt;=0,0,1))</f>
        <v>0</v>
      </c>
      <c r="AB28" s="79">
        <f t="shared" ref="AB28:AB71" si="62">IF(W28="MALE",1,0)*(IF(E28="PEON",1,0))*(IF(G28&lt;=0,0,1))</f>
        <v>0</v>
      </c>
      <c r="AC28" s="79">
        <f t="shared" ref="AC28:AC71" si="63">IF(W28="FEMALE",1,0)*(IF(E28="PEON",1,0))*(IF(G28&lt;=0,0,1))</f>
        <v>0</v>
      </c>
      <c r="AD28" s="80">
        <f>IF(AND(G28=""),"",G28-ROUNDUP(ROUND((G28*3%)-(G28*3%)*2.9%,-2),0))</f>
        <v>52300</v>
      </c>
      <c r="AE28" s="80">
        <f>IF(AND(G28=""),"",$K28*$BO28)</f>
        <v>0</v>
      </c>
      <c r="AF28" s="80">
        <f>IF(AND(G28=""),"",$K28*$BP28)</f>
        <v>672400</v>
      </c>
      <c r="AG28" s="80">
        <f>IF(AND(G28=""),"",$K28*$BQ28)</f>
        <v>0</v>
      </c>
      <c r="AH28" s="80">
        <f>IF(AND(G28=""),"",$K28*$BR28)</f>
        <v>0</v>
      </c>
      <c r="AI28" s="78">
        <f>IF(AND(G28=""),"",ROUND((AE28+AF28)*$AI$10,0)*BS28)</f>
        <v>0</v>
      </c>
      <c r="AJ28" s="78">
        <v>0</v>
      </c>
      <c r="AK28" s="79">
        <v>0</v>
      </c>
      <c r="AL28" s="78">
        <f>IF(AND(G28=""),"",ROUND((AE28+AF28)*$AL$10,0)*BS28)</f>
        <v>0</v>
      </c>
      <c r="AM28" s="79">
        <f t="shared" ref="AM28:AM71" si="64">$E$81*BP28*BS28*(IF(G28&lt;=0,0,1))*(IF(F28&lt;=4800,1,0))</f>
        <v>0</v>
      </c>
      <c r="AN28" s="78">
        <f t="shared" si="48"/>
        <v>42851</v>
      </c>
      <c r="AO28" s="78">
        <f t="shared" ref="AO28:AO71" si="65">IF(E28="CLERK GRADE I",1,IF(E28="CLERK GRADE II",1,0))*75*12*BS28*(IF(G28&lt;=0,0,1))*BT28</f>
        <v>0</v>
      </c>
      <c r="AP28" s="78">
        <f t="shared" ref="AP28:AP71" si="66">IF(AND(G28=""),0,(IF(E28="ASSISTANT",12,IF(E28="CLERK GRADE I",12,IF(E28="CLERK GRADE II",12,IF(E28="FIELDMAN &amp; FIELD REC",12,IF(E28="LAB BOY",12,IF(E28="JAMADAR",12,IF(E28="PEON",12,10))))))))*(MINA(ROUND(G28*6%,0),600))*(IF($S28="yes",1,0)))</f>
        <v>0</v>
      </c>
      <c r="AQ28" s="78">
        <f t="shared" ref="AQ28:AQ71" si="67">(IF(E28="LAB BOY",150,IF(E28="JAMADAR",150,IF(E28="PEON",150,0))))*12*BS28*(IF(G28&lt;=0,0,1))</f>
        <v>0</v>
      </c>
      <c r="AR28" s="80">
        <f t="shared" ref="AR28:AR71" si="68">IF(AND(E28=""),0,SUM(AI28:AQ28)+AE28+AF28)</f>
        <v>715251</v>
      </c>
      <c r="AS28" s="80">
        <f t="shared" ref="AS28:AS71" si="69">IF(AND(E28=""),0,AR28)</f>
        <v>715251</v>
      </c>
      <c r="AT28" s="78"/>
      <c r="AU28" s="78"/>
      <c r="AV28" s="80">
        <f>AS28+AT28+AU28</f>
        <v>715251</v>
      </c>
      <c r="AW28" s="80">
        <f t="shared" ref="AW28:AW71" si="70">IF(AND(E28=""),0,L28*BO28)</f>
        <v>0</v>
      </c>
      <c r="AX28" s="80">
        <f t="shared" ref="AX28:AX71" si="71">IF(AND(E28=""),0,L28*BP28)</f>
        <v>640400</v>
      </c>
      <c r="AY28" s="80">
        <f t="shared" ref="AY28:AY71" si="72">IF(AND(E28=""),0,L28*BQ28)</f>
        <v>0</v>
      </c>
      <c r="AZ28" s="80">
        <f t="shared" ref="AZ28:AZ71" si="73">IF(AND(E28=""),0,L28*BR28)</f>
        <v>0</v>
      </c>
      <c r="BA28" s="78">
        <f>ROUND((AW28+AX28)*$BA$10,0)*BS28</f>
        <v>0</v>
      </c>
      <c r="BB28" s="78">
        <f t="shared" ref="BB28:BB71" si="74">IF(AND(E28=""),0,ROUND((IF(M28="FIX PAY",0,AD28))*$BB$10*2,0)*BS28)</f>
        <v>0</v>
      </c>
      <c r="BC28" s="79">
        <v>0</v>
      </c>
      <c r="BD28" s="78">
        <f>ROUND((AW28+AX28)*$BD$10,0)*BS28</f>
        <v>0</v>
      </c>
      <c r="BE28" s="79">
        <f t="shared" ref="BE28:BE71" si="75">3387*2*BP28*BS28*(IF(G28&lt;=0,0,1))*(IF(F28&lt;=4800,1,0))</f>
        <v>0</v>
      </c>
      <c r="BF28" s="78">
        <f t="shared" si="49"/>
        <v>41579</v>
      </c>
      <c r="BG28" s="78">
        <f t="shared" ref="BG28:BG71" si="76">IF(E28="CLERK GRADE I",1,IF(E28="CLERK GRADE II",1,0))*75*12*BS28*(IF(G28&lt;=0,0,1))*BT28</f>
        <v>0</v>
      </c>
      <c r="BH28" s="78">
        <f t="shared" ref="BH28:BH71" si="77">IF(AND(E28=""),0,(IF(E28="ASSISTANT",12,IF(E28="CLERK GRADE I",12,IF(E28="CLERK GRADE II",12,IF(E28="FIELDMAN &amp; FIELD REC",12,IF(E28="LAB BOY",12,IF(E28="JAMADAR",12,IF(E28="PEON",12,10))))))))*(MINA(ROUND(AD28*6%,0),600))*(IF($S28="yes",1,)))</f>
        <v>0</v>
      </c>
      <c r="BI28" s="78">
        <f t="shared" ref="BI28:BI71" si="78">(IF(E28="LAB BOY",150,IF(E28="JAMADAR",150,IF(E28="PEON",150,0))))*12*BS28*(IF(G28&lt;=0,0,1))</f>
        <v>0</v>
      </c>
      <c r="BJ28" s="80">
        <f>SUM(BA28:BI28)+AW28+AX28</f>
        <v>681979</v>
      </c>
      <c r="BK28" s="80">
        <f>BJ28</f>
        <v>681979</v>
      </c>
      <c r="BL28" s="78"/>
      <c r="BM28" s="78"/>
      <c r="BN28" s="80">
        <f>BK28+BL28+BM28</f>
        <v>681979</v>
      </c>
      <c r="BO28" s="74">
        <f t="shared" ref="BO28:BO71" si="79">(IF(E28="PRINCIPAL",1,IF(E28="H M",1,IF(E28="AGRICULTURE INST",1,IF(E28="TEACHER-1ST",1,IF(E28="PTI  I  (13)",1,IF(E28="AGRICULTURE TEACH",1,IF(E28="INSTRUCTOR",1,0))))))))+(IF(E28="JR TEACHER",1,IF(E28="LIBRARIAN I",1,0)))*(IF(M28="FIX PAY",0,1))</f>
        <v>0</v>
      </c>
      <c r="BP28" s="74">
        <f t="shared" ref="BP28:BP71" si="80">IF(BO28&lt;=0,1,0)*(IF(M28="FIX PAY",0,1))</f>
        <v>1</v>
      </c>
      <c r="BQ28" s="74">
        <f t="shared" ref="BQ28:BQ71" si="81">(IF(E28="PRINCIPAL (16)",1,IF(E28="V P (14)",1,IF(E28="H M (14)",1,IF(E28="AGRICULTURE INST (13)",1,IF(E28="TEACHER-1ST (13)",1,IF(E28="PTI  I  (13)",1,IF(E28="AGRICULTURE TEACH (13)",1,IF(E28="INSTRUCTOR (13)",1,0))))))))+(IF(E28="JR TEACHER (13)",1,IF(E28="LIBRARIAN I (13)",1,0))))*(IF(M28="FIX PAY",1,0))</f>
        <v>0</v>
      </c>
      <c r="BR28" s="74">
        <f t="shared" ref="BR28:BR71" si="82">IF(BQ28&lt;=0,1,0)*(IF(M28="FIX PAY",1,0))</f>
        <v>0</v>
      </c>
      <c r="BS28" s="74">
        <f t="shared" si="50"/>
        <v>0</v>
      </c>
      <c r="BT28" s="74">
        <f>IF(V28="No",0,1)</f>
        <v>0</v>
      </c>
      <c r="BU28" s="60">
        <f t="shared" ref="BU28:BU71" si="83">IF((ROUND((SUMPRODUCT(MID(0&amp;C28,LARGE(INDEX(ISNUMBER(--MID(C28,ROW($1:$25),1))* ROW($1:$25),0),ROW($1:$25))+1,1)*10^ROW($1:$25)/10)),-8)/100000000)&gt;=2004,1,0)</f>
        <v>0</v>
      </c>
      <c r="BV28" s="81">
        <f>IF(G28&lt;=0,0,1)</f>
        <v>1</v>
      </c>
      <c r="BW28" s="60">
        <f t="shared" si="52"/>
        <v>0</v>
      </c>
      <c r="BX28" s="60">
        <f t="shared" si="53"/>
        <v>0</v>
      </c>
      <c r="BY28" s="49">
        <f t="shared" ref="BY28:BY71" si="84">IF(AND(C28=""),"",IF(AND(C28&lt;=0),"",IF((ROUND((SUMPRODUCT(MID(0&amp;C28,LARGE(INDEX(ISNUMBER(--MID(C28,ROW($1:$71),1))* ROW($1:$71),0),ROW($1:$71))+1,1)*10^ROW($1:$71)/10)),-8)/100000000)&lt;2004,1,0)))</f>
        <v>1</v>
      </c>
      <c r="BZ28" s="82">
        <f t="shared" si="54"/>
        <v>215600</v>
      </c>
      <c r="CA28" s="49">
        <f t="shared" si="55"/>
        <v>444000</v>
      </c>
      <c r="CB28" s="49">
        <f t="shared" si="56"/>
        <v>431200</v>
      </c>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0" t="str">
        <f>IF(ISNA(VLOOKUP(A29,Master!AR$60:BD$107,3,FALSE)),"",VLOOKUP(A29,Master!AR$60:BD$107,3,FALSE))</f>
        <v>Jh jkds'k dqekj 'kekZ</v>
      </c>
      <c r="C29" s="411" t="str">
        <f>IF(ISNA(VLOOKUP(A29,Master!AR$60:BD$107,7,FALSE)),"",VLOOKUP(A29,Master!AR$60:BD$107,7,FALSE))</f>
        <v>RJAJ199506021728</v>
      </c>
      <c r="D29" s="412">
        <f>IF(ISNA(VLOOKUP(A29,Master!AR$60:BD$107,8,FALSE)),"",VLOOKUP(A29,Master!AR$60:BD$107,8,FALSE))</f>
        <v>690644</v>
      </c>
      <c r="E29" s="417" t="str">
        <f>IF(ISNA(VLOOKUP(A29,Master!AR$60:BD$107,4,FALSE)),"",VLOOKUP(A29,Master!AR$60:BD$107,4,FALSE))</f>
        <v>TEACHER-II</v>
      </c>
      <c r="F29" s="124">
        <f>IF(ISNA(VLOOKUP(A29,Master!AR$60:BD$107,5,FALSE)),"",VLOOKUP(A29,Master!AR$60:BD$107,5,FALSE))</f>
        <v>11</v>
      </c>
      <c r="G29" s="415">
        <f>IF(ISNA(VLOOKUP(A29,Master!AR$60:BD$107,6,FALSE)),"",VLOOKUP(A29,Master!AR$60:BD$107,6,FALSE))</f>
        <v>45600</v>
      </c>
      <c r="H29" s="415">
        <f t="shared" ref="H29:H71" si="85">IFERROR(IF(AND(G29=""),"",ROUND(G29*4,0))+IF(AND(G29=""),"",MROUND(G29*1.03,100)*8),"")</f>
        <v>558400</v>
      </c>
      <c r="I29" s="416" t="str">
        <f t="shared" ref="I29:I71" ca="1" si="86">IF(AND(G29=""),"",IF(G29&lt;=0,"",(CONCATENATE("01.07.",(YEAR(TODAY())+1)))))</f>
        <v>01.07.2026</v>
      </c>
      <c r="J29" s="415">
        <f t="shared" ref="J29:J71" si="87">IF(AND(G29=""),"",ROUND(ROUND(G29*3%,0),-2)*IF(F29="FIX PAY",0,1)*8)</f>
        <v>11200</v>
      </c>
      <c r="K29" s="415">
        <f t="shared" ref="K29:K71" si="88">IF(AND(G29=""),"",H29+J29)</f>
        <v>569600</v>
      </c>
      <c r="L29" s="415">
        <f t="shared" ref="L29:L71" si="89">IF(AND(G29=""),"",IF(M29="FIX PAY",K29,((IF(M29="FIX PAY",0,AD29*4+G29*8)))))</f>
        <v>542000</v>
      </c>
      <c r="M29" s="415" t="str">
        <f>IF(ISNA(VLOOKUP(A29,Master!AR$60:BD$107,12,FALSE)),"",VLOOKUP(A29,Master!AR$60:BD$107,12,FALSE))</f>
        <v>NON GAZETTED - REGULAR</v>
      </c>
      <c r="N29" s="163"/>
      <c r="O29" s="163"/>
      <c r="P29" s="163"/>
      <c r="Q29" s="163">
        <f t="shared" ref="Q29:Q71" si="90">IF(AND(G29=0),0,IF(AND(M29=Y$2),$E$81*1*(IF(F29&lt;=12,1,0)),0))</f>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8"/>
        <v>0</v>
      </c>
      <c r="Y29" s="79">
        <f t="shared" si="59"/>
        <v>0</v>
      </c>
      <c r="Z29" s="79">
        <f t="shared" si="60"/>
        <v>0</v>
      </c>
      <c r="AA29" s="79">
        <f t="shared" si="61"/>
        <v>0</v>
      </c>
      <c r="AB29" s="79">
        <f t="shared" si="62"/>
        <v>0</v>
      </c>
      <c r="AC29" s="79">
        <f t="shared" si="63"/>
        <v>0</v>
      </c>
      <c r="AD29" s="80">
        <f t="shared" ref="AD29:AD70" si="91">IF(AND(G29=""),"",G29-ROUNDUP(ROUND((G29*3%)-(G29*3%)*2.9%,-2),0))</f>
        <v>44300</v>
      </c>
      <c r="AE29" s="80">
        <f t="shared" ref="AE29:AE71" si="92">IF(AND(G29=""),"",$K29*$BO29)</f>
        <v>0</v>
      </c>
      <c r="AF29" s="80">
        <f t="shared" ref="AF29:AF71" si="93">IF(AND(G29=""),"",$K29*$BP29)</f>
        <v>569600</v>
      </c>
      <c r="AG29" s="80">
        <f t="shared" ref="AG29:AG71" si="94">IF(AND(G29=""),"",$K29*$BQ29)</f>
        <v>0</v>
      </c>
      <c r="AH29" s="80">
        <f t="shared" ref="AH29:AH71" si="95">IF(AND(G29=""),"",$K29*$BR29)</f>
        <v>0</v>
      </c>
      <c r="AI29" s="78">
        <f t="shared" ref="AI29:AI71" si="96">IF(AND(G29=""),"",ROUND((AE29+AF29)*$AI$10,0)*BS29)</f>
        <v>0</v>
      </c>
      <c r="AJ29" s="78">
        <v>0</v>
      </c>
      <c r="AK29" s="79">
        <v>0</v>
      </c>
      <c r="AL29" s="78">
        <f t="shared" ref="AL29:AL71" si="97">IF(AND(G29=""),"",ROUND((AE29+AF29)*$AL$10,0)*BS29)</f>
        <v>0</v>
      </c>
      <c r="AM29" s="79">
        <f t="shared" si="64"/>
        <v>0</v>
      </c>
      <c r="AN29" s="78">
        <f t="shared" si="48"/>
        <v>36252</v>
      </c>
      <c r="AO29" s="78">
        <f t="shared" si="65"/>
        <v>0</v>
      </c>
      <c r="AP29" s="78">
        <f t="shared" si="66"/>
        <v>0</v>
      </c>
      <c r="AQ29" s="78">
        <f t="shared" si="67"/>
        <v>0</v>
      </c>
      <c r="AR29" s="80">
        <f t="shared" si="68"/>
        <v>605852</v>
      </c>
      <c r="AS29" s="80">
        <f t="shared" si="69"/>
        <v>605852</v>
      </c>
      <c r="AT29" s="78"/>
      <c r="AU29" s="78"/>
      <c r="AV29" s="80">
        <f t="shared" ref="AV29:AV71" si="98">AS29+AT29+AU29</f>
        <v>605852</v>
      </c>
      <c r="AW29" s="80">
        <f t="shared" si="70"/>
        <v>0</v>
      </c>
      <c r="AX29" s="80">
        <f t="shared" si="71"/>
        <v>542000</v>
      </c>
      <c r="AY29" s="80">
        <f t="shared" si="72"/>
        <v>0</v>
      </c>
      <c r="AZ29" s="80">
        <f t="shared" si="73"/>
        <v>0</v>
      </c>
      <c r="BA29" s="78">
        <f t="shared" ref="BA29:BA71" si="99">ROUND((AW29+AX29)*$BA$10,0)*BS29</f>
        <v>0</v>
      </c>
      <c r="BB29" s="78">
        <f t="shared" si="74"/>
        <v>0</v>
      </c>
      <c r="BC29" s="79">
        <v>0</v>
      </c>
      <c r="BD29" s="78">
        <f t="shared" ref="BD29:BD71" si="100">ROUND((AW29+AX29)*$BD$10,0)*BS29</f>
        <v>0</v>
      </c>
      <c r="BE29" s="79">
        <f t="shared" si="75"/>
        <v>0</v>
      </c>
      <c r="BF29" s="78">
        <f t="shared" si="49"/>
        <v>35219</v>
      </c>
      <c r="BG29" s="78">
        <f t="shared" si="76"/>
        <v>0</v>
      </c>
      <c r="BH29" s="78">
        <f t="shared" si="77"/>
        <v>0</v>
      </c>
      <c r="BI29" s="78">
        <f t="shared" si="78"/>
        <v>0</v>
      </c>
      <c r="BJ29" s="80">
        <f t="shared" ref="BJ29:BJ71" si="101">SUM(BA29:BI29)+AW29+AX29</f>
        <v>577219</v>
      </c>
      <c r="BK29" s="80">
        <f t="shared" ref="BK29:BK71" si="102">BJ29</f>
        <v>577219</v>
      </c>
      <c r="BL29" s="78"/>
      <c r="BM29" s="78"/>
      <c r="BN29" s="80">
        <f t="shared" ref="BN29:BN71" si="103">BK29+BL29+BM29</f>
        <v>577219</v>
      </c>
      <c r="BO29" s="74">
        <f t="shared" si="79"/>
        <v>0</v>
      </c>
      <c r="BP29" s="74">
        <f t="shared" si="80"/>
        <v>1</v>
      </c>
      <c r="BQ29" s="74">
        <f t="shared" si="81"/>
        <v>0</v>
      </c>
      <c r="BR29" s="74">
        <f t="shared" si="82"/>
        <v>0</v>
      </c>
      <c r="BS29" s="74">
        <f t="shared" si="50"/>
        <v>0</v>
      </c>
      <c r="BT29" s="74">
        <f t="shared" ref="BT29:BT71" si="104">IF(V29="No",0,1)</f>
        <v>0</v>
      </c>
      <c r="BU29" s="60">
        <f t="shared" si="83"/>
        <v>0</v>
      </c>
      <c r="BV29" s="81">
        <f t="shared" ref="BV29:BV71" si="105">IF(G29&lt;=0,0,1)</f>
        <v>1</v>
      </c>
      <c r="BW29" s="60">
        <f t="shared" si="52"/>
        <v>0</v>
      </c>
      <c r="BX29" s="60">
        <f t="shared" si="53"/>
        <v>0</v>
      </c>
      <c r="BY29" s="49">
        <f t="shared" si="84"/>
        <v>1</v>
      </c>
      <c r="BZ29" s="82">
        <f t="shared" si="54"/>
        <v>182400</v>
      </c>
      <c r="CA29" s="49">
        <f t="shared" si="55"/>
        <v>376000</v>
      </c>
      <c r="CB29" s="49">
        <f t="shared" si="56"/>
        <v>364800</v>
      </c>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0" t="str">
        <f>IF(ISNA(VLOOKUP(A30,Master!AR$60:BD$107,3,FALSE)),"",VLOOKUP(A30,Master!AR$60:BD$107,3,FALSE))</f>
        <v>Jh ghjkyky tkV</v>
      </c>
      <c r="C30" s="411" t="str">
        <f>IF(ISNA(VLOOKUP(A30,Master!AR$60:BD$107,7,FALSE)),"",VLOOKUP(A30,Master!AR$60:BD$107,7,FALSE))</f>
        <v>RJAJ199506021728</v>
      </c>
      <c r="D30" s="412">
        <f>IF(ISNA(VLOOKUP(A30,Master!AR$60:BD$107,8,FALSE)),"",VLOOKUP(A30,Master!AR$60:BD$107,8,FALSE))</f>
        <v>690644</v>
      </c>
      <c r="E30" s="417" t="str">
        <f>IF(ISNA(VLOOKUP(A30,Master!AR$60:BD$107,4,FALSE)),"",VLOOKUP(A30,Master!AR$60:BD$107,4,FALSE))</f>
        <v>TEACHER-II</v>
      </c>
      <c r="F30" s="124">
        <f>IF(ISNA(VLOOKUP(A30,Master!AR$60:BD$107,5,FALSE)),"",VLOOKUP(A30,Master!AR$60:BD$107,5,FALSE))</f>
        <v>12</v>
      </c>
      <c r="G30" s="415">
        <f>IF(ISNA(VLOOKUP(A30,Master!AR$60:BD$107,6,FALSE)),"",VLOOKUP(A30,Master!AR$60:BD$107,6,FALSE))</f>
        <v>61300</v>
      </c>
      <c r="H30" s="415">
        <f t="shared" si="85"/>
        <v>750000</v>
      </c>
      <c r="I30" s="416" t="str">
        <f t="shared" ca="1" si="86"/>
        <v>01.07.2026</v>
      </c>
      <c r="J30" s="415">
        <f t="shared" si="87"/>
        <v>14400</v>
      </c>
      <c r="K30" s="415">
        <f t="shared" si="88"/>
        <v>764400</v>
      </c>
      <c r="L30" s="415">
        <f t="shared" si="89"/>
        <v>728400</v>
      </c>
      <c r="M30" s="415" t="str">
        <f>IF(ISNA(VLOOKUP(A30,Master!AR$60:BD$107,12,FALSE)),"",VLOOKUP(A30,Master!AR$60:BD$107,12,FALSE))</f>
        <v>NON GAZETTED - REGULAR</v>
      </c>
      <c r="N30" s="163"/>
      <c r="O30" s="163"/>
      <c r="P30" s="163"/>
      <c r="Q30" s="163">
        <f t="shared" si="90"/>
        <v>6774</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8"/>
        <v>0</v>
      </c>
      <c r="Y30" s="79">
        <f t="shared" si="59"/>
        <v>0</v>
      </c>
      <c r="Z30" s="79">
        <f t="shared" si="60"/>
        <v>0</v>
      </c>
      <c r="AA30" s="79">
        <f t="shared" si="61"/>
        <v>0</v>
      </c>
      <c r="AB30" s="79">
        <f t="shared" si="62"/>
        <v>0</v>
      </c>
      <c r="AC30" s="79">
        <f t="shared" si="63"/>
        <v>0</v>
      </c>
      <c r="AD30" s="80">
        <f t="shared" si="91"/>
        <v>59500</v>
      </c>
      <c r="AE30" s="80">
        <f t="shared" si="92"/>
        <v>0</v>
      </c>
      <c r="AF30" s="80">
        <f t="shared" si="93"/>
        <v>764400</v>
      </c>
      <c r="AG30" s="80">
        <f t="shared" si="94"/>
        <v>0</v>
      </c>
      <c r="AH30" s="80">
        <f t="shared" si="95"/>
        <v>0</v>
      </c>
      <c r="AI30" s="78">
        <f t="shared" si="96"/>
        <v>0</v>
      </c>
      <c r="AJ30" s="78">
        <v>0</v>
      </c>
      <c r="AK30" s="79">
        <v>0</v>
      </c>
      <c r="AL30" s="78">
        <f t="shared" si="97"/>
        <v>0</v>
      </c>
      <c r="AM30" s="79">
        <f t="shared" si="64"/>
        <v>0</v>
      </c>
      <c r="AN30" s="78">
        <f t="shared" si="48"/>
        <v>48734</v>
      </c>
      <c r="AO30" s="78">
        <f t="shared" si="65"/>
        <v>0</v>
      </c>
      <c r="AP30" s="78">
        <f t="shared" si="66"/>
        <v>0</v>
      </c>
      <c r="AQ30" s="78">
        <f t="shared" si="67"/>
        <v>0</v>
      </c>
      <c r="AR30" s="80">
        <f t="shared" si="68"/>
        <v>813134</v>
      </c>
      <c r="AS30" s="80">
        <f t="shared" si="69"/>
        <v>813134</v>
      </c>
      <c r="AT30" s="78"/>
      <c r="AU30" s="78"/>
      <c r="AV30" s="80">
        <f t="shared" si="98"/>
        <v>813134</v>
      </c>
      <c r="AW30" s="80">
        <f t="shared" si="70"/>
        <v>0</v>
      </c>
      <c r="AX30" s="80">
        <f t="shared" si="71"/>
        <v>728400</v>
      </c>
      <c r="AY30" s="80">
        <f t="shared" si="72"/>
        <v>0</v>
      </c>
      <c r="AZ30" s="80">
        <f t="shared" si="73"/>
        <v>0</v>
      </c>
      <c r="BA30" s="78">
        <f t="shared" si="99"/>
        <v>0</v>
      </c>
      <c r="BB30" s="78">
        <f t="shared" si="74"/>
        <v>0</v>
      </c>
      <c r="BC30" s="79">
        <v>0</v>
      </c>
      <c r="BD30" s="78">
        <f t="shared" si="100"/>
        <v>0</v>
      </c>
      <c r="BE30" s="79">
        <f t="shared" si="75"/>
        <v>0</v>
      </c>
      <c r="BF30" s="78">
        <f t="shared" si="49"/>
        <v>47303</v>
      </c>
      <c r="BG30" s="78">
        <f t="shared" si="76"/>
        <v>0</v>
      </c>
      <c r="BH30" s="78">
        <f t="shared" si="77"/>
        <v>0</v>
      </c>
      <c r="BI30" s="78">
        <f t="shared" si="78"/>
        <v>0</v>
      </c>
      <c r="BJ30" s="80">
        <f t="shared" si="101"/>
        <v>775703</v>
      </c>
      <c r="BK30" s="80">
        <f t="shared" si="102"/>
        <v>775703</v>
      </c>
      <c r="BL30" s="78"/>
      <c r="BM30" s="78"/>
      <c r="BN30" s="80">
        <f t="shared" si="103"/>
        <v>775703</v>
      </c>
      <c r="BO30" s="74">
        <f t="shared" si="79"/>
        <v>0</v>
      </c>
      <c r="BP30" s="74">
        <f t="shared" si="80"/>
        <v>1</v>
      </c>
      <c r="BQ30" s="74">
        <f t="shared" si="81"/>
        <v>0</v>
      </c>
      <c r="BR30" s="74">
        <f t="shared" si="82"/>
        <v>0</v>
      </c>
      <c r="BS30" s="74">
        <f t="shared" si="50"/>
        <v>0</v>
      </c>
      <c r="BT30" s="74">
        <f t="shared" si="104"/>
        <v>0</v>
      </c>
      <c r="BU30" s="60">
        <f t="shared" si="83"/>
        <v>0</v>
      </c>
      <c r="BV30" s="81">
        <f t="shared" si="105"/>
        <v>1</v>
      </c>
      <c r="BW30" s="60">
        <f t="shared" si="52"/>
        <v>0</v>
      </c>
      <c r="BX30" s="60">
        <f t="shared" si="53"/>
        <v>0</v>
      </c>
      <c r="BY30" s="49">
        <f t="shared" si="84"/>
        <v>1</v>
      </c>
      <c r="BZ30" s="82">
        <f t="shared" si="54"/>
        <v>245200</v>
      </c>
      <c r="CA30" s="49">
        <f t="shared" si="55"/>
        <v>504800</v>
      </c>
      <c r="CB30" s="49">
        <f t="shared" si="56"/>
        <v>490400</v>
      </c>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0" t="str">
        <f>IF(ISNA(VLOOKUP(A31,Master!AR$60:BD$107,3,FALSE)),"",VLOOKUP(A31,Master!AR$60:BD$107,3,FALSE))</f>
        <v>Jh 'kjn 'kekZ</v>
      </c>
      <c r="C31" s="411" t="str">
        <f>IF(ISNA(VLOOKUP(A31,Master!AR$60:BD$107,7,FALSE)),"",VLOOKUP(A31,Master!AR$60:BD$107,7,FALSE))</f>
        <v>RJAJ199506021728</v>
      </c>
      <c r="D31" s="412">
        <f>IF(ISNA(VLOOKUP(A31,Master!AR$60:BD$107,8,FALSE)),"",VLOOKUP(A31,Master!AR$60:BD$107,8,FALSE))</f>
        <v>110021685029</v>
      </c>
      <c r="E31" s="417" t="str">
        <f>IF(ISNA(VLOOKUP(A31,Master!AR$60:BD$107,4,FALSE)),"",VLOOKUP(A31,Master!AR$60:BD$107,4,FALSE))</f>
        <v>TEACHER-II</v>
      </c>
      <c r="F31" s="124">
        <f>IF(ISNA(VLOOKUP(A31,Master!AR$60:BD$107,5,FALSE)),"",VLOOKUP(A31,Master!AR$60:BD$107,5,FALSE))</f>
        <v>11</v>
      </c>
      <c r="G31" s="415">
        <f>IF(ISNA(VLOOKUP(A31,Master!AR$60:BD$107,6,FALSE)),"",VLOOKUP(A31,Master!AR$60:BD$107,6,FALSE))</f>
        <v>41300</v>
      </c>
      <c r="H31" s="415">
        <f t="shared" si="85"/>
        <v>505200</v>
      </c>
      <c r="I31" s="416" t="str">
        <f t="shared" ca="1" si="86"/>
        <v>01.07.2026</v>
      </c>
      <c r="J31" s="415">
        <f>IF(AND(G31=""),"",ROUND(ROUND(G31*3%,0),-2)*IF(F31="FIX PAY",0,1)*8)</f>
        <v>9600</v>
      </c>
      <c r="K31" s="415">
        <f t="shared" si="88"/>
        <v>514800</v>
      </c>
      <c r="L31" s="415">
        <f t="shared" si="89"/>
        <v>490800</v>
      </c>
      <c r="M31" s="415" t="str">
        <f>IF(ISNA(VLOOKUP(A31,Master!AR$60:BD$107,12,FALSE)),"",VLOOKUP(A31,Master!AR$60:BD$107,12,FALSE))</f>
        <v>NON GAZETTED - REGULAR</v>
      </c>
      <c r="N31" s="163"/>
      <c r="O31" s="163"/>
      <c r="P31" s="163"/>
      <c r="Q31" s="163">
        <f t="shared" si="90"/>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8"/>
        <v>0</v>
      </c>
      <c r="Y31" s="79">
        <f t="shared" si="59"/>
        <v>0</v>
      </c>
      <c r="Z31" s="79">
        <f t="shared" si="60"/>
        <v>0</v>
      </c>
      <c r="AA31" s="79">
        <f t="shared" si="61"/>
        <v>0</v>
      </c>
      <c r="AB31" s="79">
        <f t="shared" si="62"/>
        <v>0</v>
      </c>
      <c r="AC31" s="79">
        <f t="shared" si="63"/>
        <v>0</v>
      </c>
      <c r="AD31" s="80">
        <f t="shared" si="91"/>
        <v>40100</v>
      </c>
      <c r="AE31" s="80">
        <f t="shared" si="92"/>
        <v>0</v>
      </c>
      <c r="AF31" s="80">
        <f t="shared" si="93"/>
        <v>514800</v>
      </c>
      <c r="AG31" s="80">
        <f t="shared" si="94"/>
        <v>0</v>
      </c>
      <c r="AH31" s="80">
        <f t="shared" si="95"/>
        <v>0</v>
      </c>
      <c r="AI31" s="78">
        <f t="shared" si="96"/>
        <v>0</v>
      </c>
      <c r="AJ31" s="78">
        <v>0</v>
      </c>
      <c r="AK31" s="79">
        <v>0</v>
      </c>
      <c r="AL31" s="78">
        <f t="shared" si="97"/>
        <v>0</v>
      </c>
      <c r="AM31" s="79">
        <f t="shared" si="64"/>
        <v>0</v>
      </c>
      <c r="AN31" s="78">
        <f t="shared" si="48"/>
        <v>32834</v>
      </c>
      <c r="AO31" s="78">
        <f t="shared" si="65"/>
        <v>0</v>
      </c>
      <c r="AP31" s="78">
        <f t="shared" si="66"/>
        <v>0</v>
      </c>
      <c r="AQ31" s="78">
        <f t="shared" si="67"/>
        <v>0</v>
      </c>
      <c r="AR31" s="80">
        <f t="shared" si="68"/>
        <v>547634</v>
      </c>
      <c r="AS31" s="80">
        <f t="shared" si="69"/>
        <v>547634</v>
      </c>
      <c r="AT31" s="78"/>
      <c r="AU31" s="78"/>
      <c r="AV31" s="80">
        <f t="shared" si="98"/>
        <v>547634</v>
      </c>
      <c r="AW31" s="80">
        <f t="shared" si="70"/>
        <v>0</v>
      </c>
      <c r="AX31" s="80">
        <f t="shared" si="71"/>
        <v>490800</v>
      </c>
      <c r="AY31" s="80">
        <f t="shared" si="72"/>
        <v>0</v>
      </c>
      <c r="AZ31" s="80">
        <f t="shared" si="73"/>
        <v>0</v>
      </c>
      <c r="BA31" s="78">
        <f t="shared" si="99"/>
        <v>0</v>
      </c>
      <c r="BB31" s="78">
        <f t="shared" si="74"/>
        <v>0</v>
      </c>
      <c r="BC31" s="79">
        <v>0</v>
      </c>
      <c r="BD31" s="78">
        <f t="shared" si="100"/>
        <v>0</v>
      </c>
      <c r="BE31" s="79">
        <f t="shared" si="75"/>
        <v>0</v>
      </c>
      <c r="BF31" s="78">
        <f t="shared" si="49"/>
        <v>31880</v>
      </c>
      <c r="BG31" s="78">
        <f t="shared" si="76"/>
        <v>0</v>
      </c>
      <c r="BH31" s="78">
        <f t="shared" si="77"/>
        <v>0</v>
      </c>
      <c r="BI31" s="78">
        <f t="shared" si="78"/>
        <v>0</v>
      </c>
      <c r="BJ31" s="80">
        <f t="shared" si="101"/>
        <v>522680</v>
      </c>
      <c r="BK31" s="80">
        <f t="shared" si="102"/>
        <v>522680</v>
      </c>
      <c r="BL31" s="78"/>
      <c r="BM31" s="78"/>
      <c r="BN31" s="80">
        <f t="shared" si="103"/>
        <v>522680</v>
      </c>
      <c r="BO31" s="74">
        <f t="shared" si="79"/>
        <v>0</v>
      </c>
      <c r="BP31" s="74">
        <f t="shared" si="80"/>
        <v>1</v>
      </c>
      <c r="BQ31" s="74">
        <f t="shared" si="81"/>
        <v>0</v>
      </c>
      <c r="BR31" s="74">
        <f t="shared" si="82"/>
        <v>0</v>
      </c>
      <c r="BS31" s="74">
        <f t="shared" si="50"/>
        <v>0</v>
      </c>
      <c r="BT31" s="74">
        <f t="shared" si="104"/>
        <v>0</v>
      </c>
      <c r="BU31" s="60">
        <f t="shared" si="83"/>
        <v>0</v>
      </c>
      <c r="BV31" s="81">
        <f t="shared" si="105"/>
        <v>1</v>
      </c>
      <c r="BW31" s="60">
        <f t="shared" si="52"/>
        <v>0</v>
      </c>
      <c r="BX31" s="60">
        <f t="shared" si="53"/>
        <v>0</v>
      </c>
      <c r="BY31" s="49">
        <f t="shared" si="84"/>
        <v>1</v>
      </c>
      <c r="BZ31" s="82">
        <f t="shared" si="54"/>
        <v>165200</v>
      </c>
      <c r="CA31" s="49">
        <f t="shared" si="55"/>
        <v>340000</v>
      </c>
      <c r="CB31" s="49">
        <f t="shared" si="56"/>
        <v>330400</v>
      </c>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0" t="str">
        <f>IF(ISNA(VLOOKUP(A32,Master!AR$60:BD$107,3,FALSE)),"",VLOOKUP(A32,Master!AR$60:BD$107,3,FALSE))</f>
        <v>Jh jk/ks';ke</v>
      </c>
      <c r="C32" s="411" t="str">
        <f>IF(ISNA(VLOOKUP(A32,Master!AR$60:BD$107,7,FALSE)),"",VLOOKUP(A32,Master!AR$60:BD$107,7,FALSE))</f>
        <v>RJAJ199506021728</v>
      </c>
      <c r="D32" s="412">
        <f>IF(ISNA(VLOOKUP(A32,Master!AR$60:BD$107,8,FALSE)),"",VLOOKUP(A32,Master!AR$60:BD$107,8,FALSE))</f>
        <v>479405</v>
      </c>
      <c r="E32" s="417" t="str">
        <f>IF(ISNA(VLOOKUP(A32,Master!AR$60:BD$107,4,FALSE)),"",VLOOKUP(A32,Master!AR$60:BD$107,4,FALSE))</f>
        <v>TEACHER-II</v>
      </c>
      <c r="F32" s="124">
        <f>IF(ISNA(VLOOKUP(A32,Master!AR$60:BD$107,5,FALSE)),"",VLOOKUP(A32,Master!AR$60:BD$107,5,FALSE))</f>
        <v>12</v>
      </c>
      <c r="G32" s="415">
        <f>IF(ISNA(VLOOKUP(A32,Master!AR$60:BD$107,6,FALSE)),"",VLOOKUP(A32,Master!AR$60:BD$107,6,FALSE))</f>
        <v>69300</v>
      </c>
      <c r="H32" s="415">
        <f t="shared" si="85"/>
        <v>848400</v>
      </c>
      <c r="I32" s="416" t="str">
        <f t="shared" ca="1" si="86"/>
        <v>01.07.2026</v>
      </c>
      <c r="J32" s="415">
        <f t="shared" si="87"/>
        <v>16800</v>
      </c>
      <c r="K32" s="415">
        <f t="shared" si="88"/>
        <v>865200</v>
      </c>
      <c r="L32" s="415">
        <f t="shared" si="89"/>
        <v>823600</v>
      </c>
      <c r="M32" s="415" t="str">
        <f>IF(ISNA(VLOOKUP(A32,Master!AR$60:BD$107,12,FALSE)),"",VLOOKUP(A32,Master!AR$60:BD$107,12,FALSE))</f>
        <v>NON GAZETTED - REGULAR</v>
      </c>
      <c r="N32" s="163"/>
      <c r="O32" s="163"/>
      <c r="P32" s="163"/>
      <c r="Q32" s="163">
        <f t="shared" si="90"/>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8"/>
        <v>0</v>
      </c>
      <c r="Y32" s="79">
        <f t="shared" si="59"/>
        <v>0</v>
      </c>
      <c r="Z32" s="79">
        <f t="shared" si="60"/>
        <v>0</v>
      </c>
      <c r="AA32" s="79">
        <f t="shared" si="61"/>
        <v>0</v>
      </c>
      <c r="AB32" s="79">
        <f t="shared" si="62"/>
        <v>0</v>
      </c>
      <c r="AC32" s="79">
        <f t="shared" si="63"/>
        <v>0</v>
      </c>
      <c r="AD32" s="80">
        <f t="shared" si="91"/>
        <v>67300</v>
      </c>
      <c r="AE32" s="80">
        <f t="shared" si="92"/>
        <v>0</v>
      </c>
      <c r="AF32" s="80">
        <f t="shared" si="93"/>
        <v>865200</v>
      </c>
      <c r="AG32" s="80">
        <f t="shared" si="94"/>
        <v>0</v>
      </c>
      <c r="AH32" s="80">
        <f t="shared" si="95"/>
        <v>0</v>
      </c>
      <c r="AI32" s="78">
        <f t="shared" si="96"/>
        <v>0</v>
      </c>
      <c r="AJ32" s="78">
        <v>0</v>
      </c>
      <c r="AK32" s="79">
        <v>0</v>
      </c>
      <c r="AL32" s="78">
        <f t="shared" si="97"/>
        <v>0</v>
      </c>
      <c r="AM32" s="79">
        <f t="shared" si="64"/>
        <v>0</v>
      </c>
      <c r="AN32" s="78">
        <f t="shared" si="48"/>
        <v>55094</v>
      </c>
      <c r="AO32" s="78">
        <f t="shared" si="65"/>
        <v>0</v>
      </c>
      <c r="AP32" s="78">
        <f t="shared" si="66"/>
        <v>0</v>
      </c>
      <c r="AQ32" s="78">
        <f t="shared" si="67"/>
        <v>0</v>
      </c>
      <c r="AR32" s="80">
        <f t="shared" si="68"/>
        <v>920294</v>
      </c>
      <c r="AS32" s="80">
        <f t="shared" si="69"/>
        <v>920294</v>
      </c>
      <c r="AT32" s="78"/>
      <c r="AU32" s="78"/>
      <c r="AV32" s="80">
        <f t="shared" si="98"/>
        <v>920294</v>
      </c>
      <c r="AW32" s="80">
        <f t="shared" si="70"/>
        <v>0</v>
      </c>
      <c r="AX32" s="80">
        <f t="shared" si="71"/>
        <v>823600</v>
      </c>
      <c r="AY32" s="80">
        <f t="shared" si="72"/>
        <v>0</v>
      </c>
      <c r="AZ32" s="80">
        <f t="shared" si="73"/>
        <v>0</v>
      </c>
      <c r="BA32" s="78">
        <f t="shared" si="99"/>
        <v>0</v>
      </c>
      <c r="BB32" s="78">
        <f t="shared" si="74"/>
        <v>0</v>
      </c>
      <c r="BC32" s="79">
        <v>0</v>
      </c>
      <c r="BD32" s="78">
        <f t="shared" si="100"/>
        <v>0</v>
      </c>
      <c r="BE32" s="79">
        <f t="shared" si="75"/>
        <v>0</v>
      </c>
      <c r="BF32" s="78">
        <f t="shared" si="49"/>
        <v>53504</v>
      </c>
      <c r="BG32" s="78">
        <f t="shared" si="76"/>
        <v>0</v>
      </c>
      <c r="BH32" s="78">
        <f t="shared" si="77"/>
        <v>0</v>
      </c>
      <c r="BI32" s="78">
        <f t="shared" si="78"/>
        <v>0</v>
      </c>
      <c r="BJ32" s="80">
        <f t="shared" si="101"/>
        <v>877104</v>
      </c>
      <c r="BK32" s="80">
        <f t="shared" si="102"/>
        <v>877104</v>
      </c>
      <c r="BL32" s="78"/>
      <c r="BM32" s="78"/>
      <c r="BN32" s="80">
        <f t="shared" si="103"/>
        <v>877104</v>
      </c>
      <c r="BO32" s="74">
        <f t="shared" si="79"/>
        <v>0</v>
      </c>
      <c r="BP32" s="74">
        <f t="shared" si="80"/>
        <v>1</v>
      </c>
      <c r="BQ32" s="74">
        <f t="shared" si="81"/>
        <v>0</v>
      </c>
      <c r="BR32" s="74">
        <f t="shared" si="82"/>
        <v>0</v>
      </c>
      <c r="BS32" s="74">
        <f t="shared" si="50"/>
        <v>0</v>
      </c>
      <c r="BT32" s="74">
        <f t="shared" si="104"/>
        <v>0</v>
      </c>
      <c r="BU32" s="60">
        <f t="shared" si="83"/>
        <v>0</v>
      </c>
      <c r="BV32" s="81">
        <f t="shared" si="105"/>
        <v>1</v>
      </c>
      <c r="BW32" s="60">
        <f t="shared" si="52"/>
        <v>0</v>
      </c>
      <c r="BX32" s="60">
        <f t="shared" si="53"/>
        <v>0</v>
      </c>
      <c r="BY32" s="49">
        <f t="shared" si="84"/>
        <v>1</v>
      </c>
      <c r="BZ32" s="82">
        <f t="shared" si="54"/>
        <v>277200</v>
      </c>
      <c r="CA32" s="49">
        <f t="shared" si="55"/>
        <v>571200</v>
      </c>
      <c r="CB32" s="49">
        <f t="shared" si="56"/>
        <v>554400</v>
      </c>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0" t="str">
        <f>IF(ISNA(VLOOKUP(A33,Master!AR$60:BD$107,3,FALSE)),"",VLOOKUP(A33,Master!AR$60:BD$107,3,FALSE))</f>
        <v>Jh izdk'k pUn</v>
      </c>
      <c r="C33" s="411" t="str">
        <f>IF(ISNA(VLOOKUP(A33,Master!AR$60:BD$107,7,FALSE)),"",VLOOKUP(A33,Master!AR$60:BD$107,7,FALSE))</f>
        <v>RJAJ199506021728</v>
      </c>
      <c r="D33" s="412">
        <f>IF(ISNA(VLOOKUP(A33,Master!AR$60:BD$107,8,FALSE)),"",VLOOKUP(A33,Master!AR$60:BD$107,8,FALSE))</f>
        <v>479404</v>
      </c>
      <c r="E33" s="417" t="str">
        <f>IF(ISNA(VLOOKUP(A33,Master!AR$60:BD$107,4,FALSE)),"",VLOOKUP(A33,Master!AR$60:BD$107,4,FALSE))</f>
        <v>TEACHER-III</v>
      </c>
      <c r="F33" s="124">
        <f>IF(ISNA(VLOOKUP(A33,Master!AR$60:BD$107,5,FALSE)),"",VLOOKUP(A33,Master!AR$60:BD$107,5,FALSE))</f>
        <v>10</v>
      </c>
      <c r="G33" s="415">
        <f>IF(ISNA(VLOOKUP(A33,Master!AR$60:BD$107,6,FALSE)),"",VLOOKUP(A33,Master!AR$60:BD$107,6,FALSE))</f>
        <v>41100</v>
      </c>
      <c r="H33" s="415">
        <f t="shared" si="85"/>
        <v>502800</v>
      </c>
      <c r="I33" s="416" t="str">
        <f t="shared" ca="1" si="86"/>
        <v>01.07.2026</v>
      </c>
      <c r="J33" s="415">
        <f t="shared" si="87"/>
        <v>9600</v>
      </c>
      <c r="K33" s="415">
        <f t="shared" si="88"/>
        <v>512400</v>
      </c>
      <c r="L33" s="415">
        <f t="shared" si="89"/>
        <v>488400</v>
      </c>
      <c r="M33" s="415" t="str">
        <f>IF(ISNA(VLOOKUP(A33,Master!AR$60:BD$107,12,FALSE)),"",VLOOKUP(A33,Master!AR$60:BD$107,12,FALSE))</f>
        <v>NON GAZETTED - REGULAR</v>
      </c>
      <c r="N33" s="163"/>
      <c r="O33" s="163"/>
      <c r="P33" s="163"/>
      <c r="Q33" s="163">
        <f t="shared" si="90"/>
        <v>6774</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8"/>
        <v>0</v>
      </c>
      <c r="Y33" s="79">
        <f t="shared" si="59"/>
        <v>0</v>
      </c>
      <c r="Z33" s="79">
        <f t="shared" si="60"/>
        <v>0</v>
      </c>
      <c r="AA33" s="79">
        <f t="shared" si="61"/>
        <v>0</v>
      </c>
      <c r="AB33" s="79">
        <f t="shared" si="62"/>
        <v>0</v>
      </c>
      <c r="AC33" s="79">
        <f t="shared" si="63"/>
        <v>0</v>
      </c>
      <c r="AD33" s="80">
        <f t="shared" si="91"/>
        <v>39900</v>
      </c>
      <c r="AE33" s="80">
        <f t="shared" si="92"/>
        <v>0</v>
      </c>
      <c r="AF33" s="80">
        <f t="shared" si="93"/>
        <v>512400</v>
      </c>
      <c r="AG33" s="80">
        <f t="shared" si="94"/>
        <v>0</v>
      </c>
      <c r="AH33" s="80">
        <f t="shared" si="95"/>
        <v>0</v>
      </c>
      <c r="AI33" s="78">
        <f t="shared" si="96"/>
        <v>0</v>
      </c>
      <c r="AJ33" s="78">
        <v>0</v>
      </c>
      <c r="AK33" s="79">
        <v>0</v>
      </c>
      <c r="AL33" s="78">
        <f t="shared" si="97"/>
        <v>0</v>
      </c>
      <c r="AM33" s="79">
        <f t="shared" si="64"/>
        <v>0</v>
      </c>
      <c r="AN33" s="78">
        <f t="shared" si="48"/>
        <v>32675</v>
      </c>
      <c r="AO33" s="78">
        <f t="shared" si="65"/>
        <v>0</v>
      </c>
      <c r="AP33" s="78">
        <f t="shared" si="66"/>
        <v>0</v>
      </c>
      <c r="AQ33" s="78">
        <f t="shared" si="67"/>
        <v>0</v>
      </c>
      <c r="AR33" s="80">
        <f t="shared" si="68"/>
        <v>545075</v>
      </c>
      <c r="AS33" s="80">
        <f t="shared" si="69"/>
        <v>545075</v>
      </c>
      <c r="AT33" s="78"/>
      <c r="AU33" s="78"/>
      <c r="AV33" s="80">
        <f t="shared" si="98"/>
        <v>545075</v>
      </c>
      <c r="AW33" s="80">
        <f t="shared" si="70"/>
        <v>0</v>
      </c>
      <c r="AX33" s="80">
        <f t="shared" si="71"/>
        <v>488400</v>
      </c>
      <c r="AY33" s="80">
        <f t="shared" si="72"/>
        <v>0</v>
      </c>
      <c r="AZ33" s="80">
        <f t="shared" si="73"/>
        <v>0</v>
      </c>
      <c r="BA33" s="78">
        <f t="shared" si="99"/>
        <v>0</v>
      </c>
      <c r="BB33" s="78">
        <f t="shared" si="74"/>
        <v>0</v>
      </c>
      <c r="BC33" s="79">
        <v>0</v>
      </c>
      <c r="BD33" s="78">
        <f t="shared" si="100"/>
        <v>0</v>
      </c>
      <c r="BE33" s="79">
        <f t="shared" si="75"/>
        <v>0</v>
      </c>
      <c r="BF33" s="78">
        <f t="shared" si="49"/>
        <v>31721</v>
      </c>
      <c r="BG33" s="78">
        <f t="shared" si="76"/>
        <v>0</v>
      </c>
      <c r="BH33" s="78">
        <f t="shared" si="77"/>
        <v>0</v>
      </c>
      <c r="BI33" s="78">
        <f t="shared" si="78"/>
        <v>0</v>
      </c>
      <c r="BJ33" s="80">
        <f t="shared" si="101"/>
        <v>520121</v>
      </c>
      <c r="BK33" s="80">
        <f t="shared" si="102"/>
        <v>520121</v>
      </c>
      <c r="BL33" s="78"/>
      <c r="BM33" s="78"/>
      <c r="BN33" s="80">
        <f t="shared" si="103"/>
        <v>520121</v>
      </c>
      <c r="BO33" s="74">
        <f t="shared" si="79"/>
        <v>0</v>
      </c>
      <c r="BP33" s="74">
        <f t="shared" si="80"/>
        <v>1</v>
      </c>
      <c r="BQ33" s="74">
        <f t="shared" si="81"/>
        <v>0</v>
      </c>
      <c r="BR33" s="74">
        <f t="shared" si="82"/>
        <v>0</v>
      </c>
      <c r="BS33" s="74">
        <f t="shared" si="50"/>
        <v>0</v>
      </c>
      <c r="BT33" s="74">
        <f t="shared" si="104"/>
        <v>0</v>
      </c>
      <c r="BU33" s="60">
        <f t="shared" si="83"/>
        <v>0</v>
      </c>
      <c r="BV33" s="81">
        <f t="shared" si="105"/>
        <v>1</v>
      </c>
      <c r="BW33" s="60">
        <f t="shared" si="52"/>
        <v>0</v>
      </c>
      <c r="BX33" s="60">
        <f t="shared" si="53"/>
        <v>0</v>
      </c>
      <c r="BY33" s="49">
        <f t="shared" si="84"/>
        <v>1</v>
      </c>
      <c r="BZ33" s="82">
        <f t="shared" si="54"/>
        <v>164400</v>
      </c>
      <c r="CA33" s="49">
        <f t="shared" si="55"/>
        <v>338400</v>
      </c>
      <c r="CB33" s="49">
        <f t="shared" si="56"/>
        <v>328800</v>
      </c>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0" t="str">
        <f>IF(ISNA(VLOOKUP(A34,Master!AR$60:BD$107,3,FALSE)),"",VLOOKUP(A34,Master!AR$60:BD$107,3,FALSE))</f>
        <v>Jherh eerk yokfu;k</v>
      </c>
      <c r="C34" s="411" t="str">
        <f>IF(ISNA(VLOOKUP(A34,Master!AR$60:BD$107,7,FALSE)),"",VLOOKUP(A34,Master!AR$60:BD$107,7,FALSE))</f>
        <v>RJAJ199506021728</v>
      </c>
      <c r="D34" s="412">
        <f>IF(ISNA(VLOOKUP(A34,Master!AR$60:BD$107,8,FALSE)),"",VLOOKUP(A34,Master!AR$60:BD$107,8,FALSE))</f>
        <v>479404</v>
      </c>
      <c r="E34" s="417" t="str">
        <f>IF(ISNA(VLOOKUP(A34,Master!AR$60:BD$107,4,FALSE)),"",VLOOKUP(A34,Master!AR$60:BD$107,4,FALSE))</f>
        <v>TEACHER-III</v>
      </c>
      <c r="F34" s="124">
        <f>IF(ISNA(VLOOKUP(A34,Master!AR$60:BD$107,5,FALSE)),"",VLOOKUP(A34,Master!AR$60:BD$107,5,FALSE))</f>
        <v>11</v>
      </c>
      <c r="G34" s="415">
        <f>IF(ISNA(VLOOKUP(A34,Master!AR$60:BD$107,6,FALSE)),"",VLOOKUP(A34,Master!AR$60:BD$107,6,FALSE))</f>
        <v>41100</v>
      </c>
      <c r="H34" s="415">
        <f t="shared" si="85"/>
        <v>502800</v>
      </c>
      <c r="I34" s="416" t="str">
        <f t="shared" ca="1" si="86"/>
        <v>01.07.2026</v>
      </c>
      <c r="J34" s="415">
        <f t="shared" si="87"/>
        <v>9600</v>
      </c>
      <c r="K34" s="415">
        <f t="shared" si="88"/>
        <v>512400</v>
      </c>
      <c r="L34" s="415">
        <f t="shared" si="89"/>
        <v>488400</v>
      </c>
      <c r="M34" s="415" t="str">
        <f>IF(ISNA(VLOOKUP(A34,Master!AR$60:BD$107,12,FALSE)),"",VLOOKUP(A34,Master!AR$60:BD$107,12,FALSE))</f>
        <v>NON GAZETTED - REGULAR</v>
      </c>
      <c r="N34" s="163"/>
      <c r="O34" s="163"/>
      <c r="P34" s="163"/>
      <c r="Q34" s="163">
        <f t="shared" si="90"/>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FEMALE</v>
      </c>
      <c r="X34" s="79">
        <f t="shared" si="58"/>
        <v>0</v>
      </c>
      <c r="Y34" s="79">
        <f t="shared" si="59"/>
        <v>0</v>
      </c>
      <c r="Z34" s="79">
        <f t="shared" si="60"/>
        <v>0</v>
      </c>
      <c r="AA34" s="79">
        <f t="shared" si="61"/>
        <v>0</v>
      </c>
      <c r="AB34" s="79">
        <f t="shared" si="62"/>
        <v>0</v>
      </c>
      <c r="AC34" s="79">
        <f t="shared" si="63"/>
        <v>0</v>
      </c>
      <c r="AD34" s="80">
        <f t="shared" si="91"/>
        <v>39900</v>
      </c>
      <c r="AE34" s="80">
        <f t="shared" si="92"/>
        <v>0</v>
      </c>
      <c r="AF34" s="80">
        <f t="shared" si="93"/>
        <v>512400</v>
      </c>
      <c r="AG34" s="80">
        <f t="shared" si="94"/>
        <v>0</v>
      </c>
      <c r="AH34" s="80">
        <f t="shared" si="95"/>
        <v>0</v>
      </c>
      <c r="AI34" s="78">
        <f t="shared" si="96"/>
        <v>0</v>
      </c>
      <c r="AJ34" s="78">
        <v>0</v>
      </c>
      <c r="AK34" s="79">
        <v>0</v>
      </c>
      <c r="AL34" s="78">
        <f t="shared" si="97"/>
        <v>0</v>
      </c>
      <c r="AM34" s="79">
        <f t="shared" si="64"/>
        <v>0</v>
      </c>
      <c r="AN34" s="78">
        <f t="shared" si="48"/>
        <v>32675</v>
      </c>
      <c r="AO34" s="78">
        <f t="shared" si="65"/>
        <v>0</v>
      </c>
      <c r="AP34" s="78">
        <f t="shared" si="66"/>
        <v>0</v>
      </c>
      <c r="AQ34" s="78">
        <f t="shared" si="67"/>
        <v>0</v>
      </c>
      <c r="AR34" s="80">
        <f t="shared" si="68"/>
        <v>545075</v>
      </c>
      <c r="AS34" s="80">
        <f t="shared" si="69"/>
        <v>545075</v>
      </c>
      <c r="AT34" s="78"/>
      <c r="AU34" s="78"/>
      <c r="AV34" s="80">
        <f t="shared" si="98"/>
        <v>545075</v>
      </c>
      <c r="AW34" s="80">
        <f t="shared" si="70"/>
        <v>0</v>
      </c>
      <c r="AX34" s="80">
        <f t="shared" si="71"/>
        <v>488400</v>
      </c>
      <c r="AY34" s="80">
        <f t="shared" si="72"/>
        <v>0</v>
      </c>
      <c r="AZ34" s="80">
        <f t="shared" si="73"/>
        <v>0</v>
      </c>
      <c r="BA34" s="78">
        <f t="shared" si="99"/>
        <v>0</v>
      </c>
      <c r="BB34" s="78">
        <f t="shared" si="74"/>
        <v>0</v>
      </c>
      <c r="BC34" s="79">
        <v>0</v>
      </c>
      <c r="BD34" s="78">
        <f t="shared" si="100"/>
        <v>0</v>
      </c>
      <c r="BE34" s="79">
        <f t="shared" si="75"/>
        <v>0</v>
      </c>
      <c r="BF34" s="78">
        <f t="shared" si="49"/>
        <v>31721</v>
      </c>
      <c r="BG34" s="78">
        <f t="shared" si="76"/>
        <v>0</v>
      </c>
      <c r="BH34" s="78">
        <f t="shared" si="77"/>
        <v>0</v>
      </c>
      <c r="BI34" s="78">
        <f t="shared" si="78"/>
        <v>0</v>
      </c>
      <c r="BJ34" s="80">
        <f t="shared" si="101"/>
        <v>520121</v>
      </c>
      <c r="BK34" s="80">
        <f t="shared" si="102"/>
        <v>520121</v>
      </c>
      <c r="BL34" s="78"/>
      <c r="BM34" s="78"/>
      <c r="BN34" s="80">
        <f t="shared" si="103"/>
        <v>520121</v>
      </c>
      <c r="BO34" s="74">
        <f t="shared" si="79"/>
        <v>0</v>
      </c>
      <c r="BP34" s="74">
        <f t="shared" si="80"/>
        <v>1</v>
      </c>
      <c r="BQ34" s="74">
        <f t="shared" si="81"/>
        <v>0</v>
      </c>
      <c r="BR34" s="74">
        <f t="shared" si="82"/>
        <v>0</v>
      </c>
      <c r="BS34" s="74">
        <f t="shared" si="50"/>
        <v>0</v>
      </c>
      <c r="BT34" s="74">
        <f t="shared" si="104"/>
        <v>0</v>
      </c>
      <c r="BU34" s="60">
        <f t="shared" si="83"/>
        <v>0</v>
      </c>
      <c r="BV34" s="81">
        <f t="shared" si="105"/>
        <v>1</v>
      </c>
      <c r="BW34" s="60">
        <f t="shared" si="52"/>
        <v>0</v>
      </c>
      <c r="BX34" s="60">
        <f t="shared" si="53"/>
        <v>0</v>
      </c>
      <c r="BY34" s="49">
        <f t="shared" si="84"/>
        <v>1</v>
      </c>
      <c r="BZ34" s="82">
        <f t="shared" si="54"/>
        <v>164400</v>
      </c>
      <c r="CA34" s="49">
        <f t="shared" si="55"/>
        <v>338400</v>
      </c>
      <c r="CB34" s="49">
        <f t="shared" si="56"/>
        <v>328800</v>
      </c>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0" t="str">
        <f>IF(ISNA(VLOOKUP(A35,Master!AR$60:BD$107,3,FALSE)),"",VLOOKUP(A35,Master!AR$60:BD$107,3,FALSE))</f>
        <v>Jh lEirjkt</v>
      </c>
      <c r="C35" s="411" t="str">
        <f>IF(ISNA(VLOOKUP(A35,Master!AR$60:BD$107,7,FALSE)),"",VLOOKUP(A35,Master!AR$60:BD$107,7,FALSE))</f>
        <v>RJAJ199506021728</v>
      </c>
      <c r="D35" s="412">
        <f>IF(ISNA(VLOOKUP(A35,Master!AR$60:BD$107,8,FALSE)),"",VLOOKUP(A35,Master!AR$60:BD$107,8,FALSE))</f>
        <v>479404</v>
      </c>
      <c r="E35" s="417" t="str">
        <f>IF(ISNA(VLOOKUP(A35,Master!AR$60:BD$107,4,FALSE)),"",VLOOKUP(A35,Master!AR$60:BD$107,4,FALSE))</f>
        <v>TEACHER-III</v>
      </c>
      <c r="F35" s="124">
        <f>IF(ISNA(VLOOKUP(A35,Master!AR$60:BD$107,5,FALSE)),"",VLOOKUP(A35,Master!AR$60:BD$107,5,FALSE))</f>
        <v>10</v>
      </c>
      <c r="G35" s="415">
        <f>IF(ISNA(VLOOKUP(A35,Master!AR$60:BD$107,6,FALSE)),"",VLOOKUP(A35,Master!AR$60:BD$107,6,FALSE))</f>
        <v>41100</v>
      </c>
      <c r="H35" s="415">
        <f t="shared" si="85"/>
        <v>502800</v>
      </c>
      <c r="I35" s="416" t="str">
        <f t="shared" ca="1" si="86"/>
        <v>01.07.2026</v>
      </c>
      <c r="J35" s="415">
        <f t="shared" si="87"/>
        <v>9600</v>
      </c>
      <c r="K35" s="415">
        <f t="shared" si="88"/>
        <v>512400</v>
      </c>
      <c r="L35" s="415">
        <f t="shared" si="89"/>
        <v>488400</v>
      </c>
      <c r="M35" s="415" t="str">
        <f>IF(ISNA(VLOOKUP(A35,Master!AR$60:BD$107,12,FALSE)),"",VLOOKUP(A35,Master!AR$60:BD$107,12,FALSE))</f>
        <v>NON GAZETTED - REGULAR</v>
      </c>
      <c r="N35" s="163"/>
      <c r="O35" s="163"/>
      <c r="P35" s="163"/>
      <c r="Q35" s="163">
        <f t="shared" si="90"/>
        <v>6774</v>
      </c>
      <c r="R35" s="52">
        <f t="shared" si="40"/>
        <v>1</v>
      </c>
      <c r="S35" s="1" t="str">
        <f>IF(ISNA(VLOOKUP(A35,Master!AR$60:BD$107,10,FALSE)),"",VLOOKUP(A35,Master!AR$60:BD$107,10,FALSE))</f>
        <v>NO</v>
      </c>
      <c r="T35" s="77"/>
      <c r="U35" s="77"/>
      <c r="V35" s="78" t="str">
        <f>IF(ISNA(VLOOKUP(A35,Master!AR$60:BD$107,11,FALSE)),"",VLOOKUP(A35,Master!AR$60:BD$107,11,FALSE))</f>
        <v>NO</v>
      </c>
      <c r="W35" s="78" t="str">
        <f>IF(ISNA(VLOOKUP(A35,Master!AR$60:BD$107,9,FALSE)),"",VLOOKUP(A35,Master!AR$60:BD$107,9,FALSE))</f>
        <v>MALE</v>
      </c>
      <c r="X35" s="79">
        <f t="shared" si="58"/>
        <v>0</v>
      </c>
      <c r="Y35" s="79">
        <f t="shared" si="59"/>
        <v>0</v>
      </c>
      <c r="Z35" s="79">
        <f t="shared" si="60"/>
        <v>0</v>
      </c>
      <c r="AA35" s="79">
        <f t="shared" si="61"/>
        <v>0</v>
      </c>
      <c r="AB35" s="79">
        <f t="shared" si="62"/>
        <v>0</v>
      </c>
      <c r="AC35" s="79">
        <f t="shared" si="63"/>
        <v>0</v>
      </c>
      <c r="AD35" s="80">
        <f t="shared" si="91"/>
        <v>39900</v>
      </c>
      <c r="AE35" s="80">
        <f t="shared" si="92"/>
        <v>0</v>
      </c>
      <c r="AF35" s="80">
        <f t="shared" si="93"/>
        <v>512400</v>
      </c>
      <c r="AG35" s="80">
        <f t="shared" si="94"/>
        <v>0</v>
      </c>
      <c r="AH35" s="80">
        <f t="shared" si="95"/>
        <v>0</v>
      </c>
      <c r="AI35" s="78">
        <f t="shared" si="96"/>
        <v>0</v>
      </c>
      <c r="AJ35" s="78">
        <v>0</v>
      </c>
      <c r="AK35" s="79">
        <v>0</v>
      </c>
      <c r="AL35" s="78">
        <f t="shared" si="97"/>
        <v>0</v>
      </c>
      <c r="AM35" s="79">
        <f t="shared" si="64"/>
        <v>0</v>
      </c>
      <c r="AN35" s="78">
        <f t="shared" si="48"/>
        <v>32675</v>
      </c>
      <c r="AO35" s="78">
        <f t="shared" si="65"/>
        <v>0</v>
      </c>
      <c r="AP35" s="78">
        <f t="shared" si="66"/>
        <v>0</v>
      </c>
      <c r="AQ35" s="78">
        <f t="shared" si="67"/>
        <v>0</v>
      </c>
      <c r="AR35" s="80">
        <f t="shared" si="68"/>
        <v>545075</v>
      </c>
      <c r="AS35" s="80">
        <f t="shared" si="69"/>
        <v>545075</v>
      </c>
      <c r="AT35" s="78"/>
      <c r="AU35" s="78"/>
      <c r="AV35" s="80">
        <f t="shared" si="98"/>
        <v>545075</v>
      </c>
      <c r="AW35" s="80">
        <f t="shared" si="70"/>
        <v>0</v>
      </c>
      <c r="AX35" s="80">
        <f t="shared" si="71"/>
        <v>488400</v>
      </c>
      <c r="AY35" s="80">
        <f t="shared" si="72"/>
        <v>0</v>
      </c>
      <c r="AZ35" s="80">
        <f t="shared" si="73"/>
        <v>0</v>
      </c>
      <c r="BA35" s="78">
        <f t="shared" si="99"/>
        <v>0</v>
      </c>
      <c r="BB35" s="78">
        <f t="shared" si="74"/>
        <v>0</v>
      </c>
      <c r="BC35" s="79">
        <v>0</v>
      </c>
      <c r="BD35" s="78">
        <f t="shared" si="100"/>
        <v>0</v>
      </c>
      <c r="BE35" s="79">
        <f t="shared" si="75"/>
        <v>0</v>
      </c>
      <c r="BF35" s="78">
        <f t="shared" si="49"/>
        <v>31721</v>
      </c>
      <c r="BG35" s="78">
        <f t="shared" si="76"/>
        <v>0</v>
      </c>
      <c r="BH35" s="78">
        <f t="shared" si="77"/>
        <v>0</v>
      </c>
      <c r="BI35" s="78">
        <f t="shared" si="78"/>
        <v>0</v>
      </c>
      <c r="BJ35" s="80">
        <f t="shared" si="101"/>
        <v>520121</v>
      </c>
      <c r="BK35" s="80">
        <f t="shared" si="102"/>
        <v>520121</v>
      </c>
      <c r="BL35" s="78"/>
      <c r="BM35" s="78"/>
      <c r="BN35" s="80">
        <f t="shared" si="103"/>
        <v>520121</v>
      </c>
      <c r="BO35" s="74">
        <f t="shared" si="79"/>
        <v>0</v>
      </c>
      <c r="BP35" s="74">
        <f t="shared" si="80"/>
        <v>1</v>
      </c>
      <c r="BQ35" s="74">
        <f t="shared" si="81"/>
        <v>0</v>
      </c>
      <c r="BR35" s="74">
        <f t="shared" si="82"/>
        <v>0</v>
      </c>
      <c r="BS35" s="74">
        <f t="shared" si="50"/>
        <v>0</v>
      </c>
      <c r="BT35" s="74">
        <f t="shared" si="104"/>
        <v>0</v>
      </c>
      <c r="BU35" s="60">
        <f t="shared" si="83"/>
        <v>0</v>
      </c>
      <c r="BV35" s="81">
        <f t="shared" si="105"/>
        <v>1</v>
      </c>
      <c r="BW35" s="60">
        <f t="shared" si="52"/>
        <v>0</v>
      </c>
      <c r="BX35" s="60">
        <f t="shared" si="53"/>
        <v>0</v>
      </c>
      <c r="BY35" s="49">
        <f t="shared" si="84"/>
        <v>1</v>
      </c>
      <c r="BZ35" s="82">
        <f t="shared" si="54"/>
        <v>164400</v>
      </c>
      <c r="CA35" s="49">
        <f t="shared" si="55"/>
        <v>338400</v>
      </c>
      <c r="CB35" s="49">
        <f t="shared" si="56"/>
        <v>328800</v>
      </c>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0" t="str">
        <f>IF(ISNA(VLOOKUP(A36,Master!AR$60:BD$107,3,FALSE)),"",VLOOKUP(A36,Master!AR$60:BD$107,3,FALSE))</f>
        <v>Jh eukst ikpksjh</v>
      </c>
      <c r="C36" s="411" t="str">
        <f>IF(ISNA(VLOOKUP(A36,Master!AR$60:BD$107,7,FALSE)),"",VLOOKUP(A36,Master!AR$60:BD$107,7,FALSE))</f>
        <v>RJAJ199506021728</v>
      </c>
      <c r="D36" s="412">
        <f>IF(ISNA(VLOOKUP(A36,Master!AR$60:BD$107,8,FALSE)),"",VLOOKUP(A36,Master!AR$60:BD$107,8,FALSE))</f>
        <v>111002730880</v>
      </c>
      <c r="E36" s="417" t="str">
        <f>IF(ISNA(VLOOKUP(A36,Master!AR$60:BD$107,4,FALSE)),"",VLOOKUP(A36,Master!AR$60:BD$107,4,FALSE))</f>
        <v>TEACHER-III</v>
      </c>
      <c r="F36" s="124">
        <f>IF(ISNA(VLOOKUP(A36,Master!AR$60:BD$107,5,FALSE)),"",VLOOKUP(A36,Master!AR$60:BD$107,5,FALSE))</f>
        <v>10</v>
      </c>
      <c r="G36" s="415">
        <f>IF(ISNA(VLOOKUP(A36,Master!AR$60:BD$107,6,FALSE)),"",VLOOKUP(A36,Master!AR$60:BD$107,6,FALSE))</f>
        <v>41100</v>
      </c>
      <c r="H36" s="415">
        <f t="shared" si="85"/>
        <v>502800</v>
      </c>
      <c r="I36" s="416" t="str">
        <f t="shared" ca="1" si="86"/>
        <v>01.07.2026</v>
      </c>
      <c r="J36" s="415">
        <f t="shared" si="87"/>
        <v>9600</v>
      </c>
      <c r="K36" s="415">
        <f t="shared" si="88"/>
        <v>512400</v>
      </c>
      <c r="L36" s="415">
        <f t="shared" si="89"/>
        <v>488400</v>
      </c>
      <c r="M36" s="415" t="str">
        <f>IF(ISNA(VLOOKUP(A36,Master!AR$60:BD$107,12,FALSE)),"",VLOOKUP(A36,Master!AR$60:BD$107,12,FALSE))</f>
        <v>NON GAZETTED - REGULAR</v>
      </c>
      <c r="N36" s="163"/>
      <c r="O36" s="163"/>
      <c r="P36" s="163"/>
      <c r="Q36" s="163">
        <f t="shared" si="90"/>
        <v>6774</v>
      </c>
      <c r="R36" s="52">
        <f t="shared" ref="R36:R71" si="106">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8"/>
        <v>0</v>
      </c>
      <c r="Y36" s="79">
        <f t="shared" si="59"/>
        <v>0</v>
      </c>
      <c r="Z36" s="79">
        <f t="shared" si="60"/>
        <v>0</v>
      </c>
      <c r="AA36" s="79">
        <f t="shared" si="61"/>
        <v>0</v>
      </c>
      <c r="AB36" s="79">
        <f t="shared" si="62"/>
        <v>0</v>
      </c>
      <c r="AC36" s="79">
        <f t="shared" si="63"/>
        <v>0</v>
      </c>
      <c r="AD36" s="80">
        <f t="shared" si="91"/>
        <v>39900</v>
      </c>
      <c r="AE36" s="80">
        <f t="shared" si="92"/>
        <v>0</v>
      </c>
      <c r="AF36" s="80">
        <f t="shared" si="93"/>
        <v>512400</v>
      </c>
      <c r="AG36" s="80">
        <f t="shared" si="94"/>
        <v>0</v>
      </c>
      <c r="AH36" s="80">
        <f t="shared" si="95"/>
        <v>0</v>
      </c>
      <c r="AI36" s="78">
        <f t="shared" si="96"/>
        <v>0</v>
      </c>
      <c r="AJ36" s="78">
        <v>0</v>
      </c>
      <c r="AK36" s="79">
        <v>0</v>
      </c>
      <c r="AL36" s="78">
        <f t="shared" si="97"/>
        <v>0</v>
      </c>
      <c r="AM36" s="79">
        <f t="shared" si="64"/>
        <v>0</v>
      </c>
      <c r="AN36" s="78">
        <f t="shared" si="48"/>
        <v>32675</v>
      </c>
      <c r="AO36" s="78">
        <f t="shared" si="65"/>
        <v>0</v>
      </c>
      <c r="AP36" s="78">
        <f t="shared" si="66"/>
        <v>0</v>
      </c>
      <c r="AQ36" s="78">
        <f t="shared" si="67"/>
        <v>0</v>
      </c>
      <c r="AR36" s="80">
        <f t="shared" si="68"/>
        <v>545075</v>
      </c>
      <c r="AS36" s="80">
        <f t="shared" si="69"/>
        <v>545075</v>
      </c>
      <c r="AT36" s="78"/>
      <c r="AU36" s="78"/>
      <c r="AV36" s="80">
        <f t="shared" si="98"/>
        <v>545075</v>
      </c>
      <c r="AW36" s="80">
        <f t="shared" si="70"/>
        <v>0</v>
      </c>
      <c r="AX36" s="80">
        <f t="shared" si="71"/>
        <v>488400</v>
      </c>
      <c r="AY36" s="80">
        <f t="shared" si="72"/>
        <v>0</v>
      </c>
      <c r="AZ36" s="80">
        <f t="shared" si="73"/>
        <v>0</v>
      </c>
      <c r="BA36" s="78">
        <f t="shared" si="99"/>
        <v>0</v>
      </c>
      <c r="BB36" s="78">
        <f t="shared" si="74"/>
        <v>0</v>
      </c>
      <c r="BC36" s="79">
        <v>0</v>
      </c>
      <c r="BD36" s="78">
        <f t="shared" si="100"/>
        <v>0</v>
      </c>
      <c r="BE36" s="79">
        <f t="shared" si="75"/>
        <v>0</v>
      </c>
      <c r="BF36" s="78">
        <f t="shared" si="49"/>
        <v>31721</v>
      </c>
      <c r="BG36" s="78">
        <f t="shared" si="76"/>
        <v>0</v>
      </c>
      <c r="BH36" s="78">
        <f t="shared" si="77"/>
        <v>0</v>
      </c>
      <c r="BI36" s="78">
        <f t="shared" si="78"/>
        <v>0</v>
      </c>
      <c r="BJ36" s="80">
        <f t="shared" si="101"/>
        <v>520121</v>
      </c>
      <c r="BK36" s="80">
        <f t="shared" si="102"/>
        <v>520121</v>
      </c>
      <c r="BL36" s="78"/>
      <c r="BM36" s="78"/>
      <c r="BN36" s="80">
        <f t="shared" si="103"/>
        <v>520121</v>
      </c>
      <c r="BO36" s="74">
        <f t="shared" si="79"/>
        <v>0</v>
      </c>
      <c r="BP36" s="74">
        <f t="shared" si="80"/>
        <v>1</v>
      </c>
      <c r="BQ36" s="74">
        <f t="shared" si="81"/>
        <v>0</v>
      </c>
      <c r="BR36" s="74">
        <f t="shared" si="82"/>
        <v>0</v>
      </c>
      <c r="BS36" s="74">
        <f t="shared" si="50"/>
        <v>0</v>
      </c>
      <c r="BT36" s="74">
        <f t="shared" si="104"/>
        <v>0</v>
      </c>
      <c r="BU36" s="60">
        <f t="shared" si="83"/>
        <v>0</v>
      </c>
      <c r="BV36" s="81">
        <f t="shared" si="105"/>
        <v>1</v>
      </c>
      <c r="BW36" s="60">
        <f t="shared" si="52"/>
        <v>0</v>
      </c>
      <c r="BX36" s="60">
        <f t="shared" si="53"/>
        <v>0</v>
      </c>
      <c r="BY36" s="49">
        <f t="shared" si="84"/>
        <v>1</v>
      </c>
      <c r="BZ36" s="82">
        <f t="shared" si="54"/>
        <v>164400</v>
      </c>
      <c r="CA36" s="49">
        <f t="shared" si="55"/>
        <v>338400</v>
      </c>
      <c r="CB36" s="49">
        <f t="shared" si="56"/>
        <v>328800</v>
      </c>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0" t="str">
        <f>IF(ISNA(VLOOKUP(A37,Master!AR$60:BD$107,3,FALSE)),"",VLOOKUP(A37,Master!AR$60:BD$107,3,FALSE))</f>
        <v>Jh iznhiflag</v>
      </c>
      <c r="C37" s="411" t="str">
        <f>IF(ISNA(VLOOKUP(A37,Master!AR$60:BD$107,7,FALSE)),"",VLOOKUP(A37,Master!AR$60:BD$107,7,FALSE))</f>
        <v>RJAJ199506021728</v>
      </c>
      <c r="D37" s="412">
        <f>IF(ISNA(VLOOKUP(A37,Master!AR$60:BD$107,8,FALSE)),"",VLOOKUP(A37,Master!AR$60:BD$107,8,FALSE))</f>
        <v>1057886</v>
      </c>
      <c r="E37" s="417" t="str">
        <f>IF(ISNA(VLOOKUP(A37,Master!AR$60:BD$107,4,FALSE)),"",VLOOKUP(A37,Master!AR$60:BD$107,4,FALSE))</f>
        <v>TEACHER-III</v>
      </c>
      <c r="F37" s="124">
        <f>IF(ISNA(VLOOKUP(A37,Master!AR$60:BD$107,5,FALSE)),"",VLOOKUP(A37,Master!AR$60:BD$107,5,FALSE))</f>
        <v>10</v>
      </c>
      <c r="G37" s="415">
        <f>IF(ISNA(VLOOKUP(A37,Master!AR$60:BD$107,6,FALSE)),"",VLOOKUP(A37,Master!AR$60:BD$107,6,FALSE))</f>
        <v>41100</v>
      </c>
      <c r="H37" s="415">
        <f t="shared" si="85"/>
        <v>502800</v>
      </c>
      <c r="I37" s="416" t="str">
        <f t="shared" ca="1" si="86"/>
        <v>01.07.2026</v>
      </c>
      <c r="J37" s="415">
        <f t="shared" si="87"/>
        <v>9600</v>
      </c>
      <c r="K37" s="415">
        <f t="shared" si="88"/>
        <v>512400</v>
      </c>
      <c r="L37" s="415">
        <f t="shared" si="89"/>
        <v>488400</v>
      </c>
      <c r="M37" s="415" t="str">
        <f>IF(ISNA(VLOOKUP(A37,Master!AR$60:BD$107,12,FALSE)),"",VLOOKUP(A37,Master!AR$60:BD$107,12,FALSE))</f>
        <v>NON GAZETTED - REGULAR</v>
      </c>
      <c r="N37" s="163"/>
      <c r="O37" s="163"/>
      <c r="P37" s="163"/>
      <c r="Q37" s="163">
        <f t="shared" si="90"/>
        <v>6774</v>
      </c>
      <c r="R37" s="52">
        <f t="shared" si="106"/>
        <v>1</v>
      </c>
      <c r="S37" s="1" t="str">
        <f>IF(ISNA(VLOOKUP(A37,Master!AR$60:BD$107,10,FALSE)),"",VLOOKUP(A37,Master!AR$60:BD$107,10,FALSE))</f>
        <v>NO</v>
      </c>
      <c r="T37" s="77"/>
      <c r="U37" s="77"/>
      <c r="V37" s="78" t="str">
        <f>IF(ISNA(VLOOKUP(A37,Master!AR$60:BD$107,11,FALSE)),"",VLOOKUP(A37,Master!AR$60:BD$107,11,FALSE))</f>
        <v>NO</v>
      </c>
      <c r="W37" s="78" t="str">
        <f>IF(ISNA(VLOOKUP(A37,Master!AR$60:BD$107,9,FALSE)),"",VLOOKUP(A37,Master!AR$60:BD$107,9,FALSE))</f>
        <v>MALE</v>
      </c>
      <c r="X37" s="79">
        <f t="shared" si="58"/>
        <v>0</v>
      </c>
      <c r="Y37" s="79">
        <f t="shared" si="59"/>
        <v>0</v>
      </c>
      <c r="Z37" s="79">
        <f t="shared" si="60"/>
        <v>0</v>
      </c>
      <c r="AA37" s="79">
        <f t="shared" si="61"/>
        <v>0</v>
      </c>
      <c r="AB37" s="79">
        <f t="shared" si="62"/>
        <v>0</v>
      </c>
      <c r="AC37" s="79">
        <f t="shared" si="63"/>
        <v>0</v>
      </c>
      <c r="AD37" s="80">
        <f t="shared" si="91"/>
        <v>39900</v>
      </c>
      <c r="AE37" s="80">
        <f t="shared" si="92"/>
        <v>0</v>
      </c>
      <c r="AF37" s="80">
        <f t="shared" si="93"/>
        <v>512400</v>
      </c>
      <c r="AG37" s="80">
        <f t="shared" si="94"/>
        <v>0</v>
      </c>
      <c r="AH37" s="80">
        <f t="shared" si="95"/>
        <v>0</v>
      </c>
      <c r="AI37" s="78">
        <f t="shared" si="96"/>
        <v>0</v>
      </c>
      <c r="AJ37" s="78">
        <v>0</v>
      </c>
      <c r="AK37" s="79">
        <v>0</v>
      </c>
      <c r="AL37" s="78">
        <f t="shared" si="97"/>
        <v>0</v>
      </c>
      <c r="AM37" s="79">
        <f t="shared" si="64"/>
        <v>0</v>
      </c>
      <c r="AN37" s="78">
        <f t="shared" si="48"/>
        <v>32675</v>
      </c>
      <c r="AO37" s="78">
        <f t="shared" si="65"/>
        <v>0</v>
      </c>
      <c r="AP37" s="78">
        <f t="shared" si="66"/>
        <v>0</v>
      </c>
      <c r="AQ37" s="78">
        <f t="shared" si="67"/>
        <v>0</v>
      </c>
      <c r="AR37" s="80">
        <f t="shared" si="68"/>
        <v>545075</v>
      </c>
      <c r="AS37" s="80">
        <f t="shared" si="69"/>
        <v>545075</v>
      </c>
      <c r="AT37" s="78"/>
      <c r="AU37" s="78"/>
      <c r="AV37" s="80">
        <f t="shared" si="98"/>
        <v>545075</v>
      </c>
      <c r="AW37" s="80">
        <f t="shared" si="70"/>
        <v>0</v>
      </c>
      <c r="AX37" s="80">
        <f t="shared" si="71"/>
        <v>488400</v>
      </c>
      <c r="AY37" s="80">
        <f t="shared" si="72"/>
        <v>0</v>
      </c>
      <c r="AZ37" s="80">
        <f t="shared" si="73"/>
        <v>0</v>
      </c>
      <c r="BA37" s="78">
        <f t="shared" si="99"/>
        <v>0</v>
      </c>
      <c r="BB37" s="78">
        <f t="shared" si="74"/>
        <v>0</v>
      </c>
      <c r="BC37" s="79">
        <v>0</v>
      </c>
      <c r="BD37" s="78">
        <f t="shared" si="100"/>
        <v>0</v>
      </c>
      <c r="BE37" s="79">
        <f t="shared" si="75"/>
        <v>0</v>
      </c>
      <c r="BF37" s="78">
        <f t="shared" si="49"/>
        <v>31721</v>
      </c>
      <c r="BG37" s="78">
        <f t="shared" si="76"/>
        <v>0</v>
      </c>
      <c r="BH37" s="78">
        <f t="shared" si="77"/>
        <v>0</v>
      </c>
      <c r="BI37" s="78">
        <f t="shared" si="78"/>
        <v>0</v>
      </c>
      <c r="BJ37" s="80">
        <f t="shared" si="101"/>
        <v>520121</v>
      </c>
      <c r="BK37" s="80">
        <f t="shared" si="102"/>
        <v>520121</v>
      </c>
      <c r="BL37" s="78"/>
      <c r="BM37" s="78"/>
      <c r="BN37" s="80">
        <f t="shared" si="103"/>
        <v>520121</v>
      </c>
      <c r="BO37" s="74">
        <f t="shared" si="79"/>
        <v>0</v>
      </c>
      <c r="BP37" s="74">
        <f t="shared" si="80"/>
        <v>1</v>
      </c>
      <c r="BQ37" s="74">
        <f t="shared" si="81"/>
        <v>0</v>
      </c>
      <c r="BR37" s="74">
        <f t="shared" si="82"/>
        <v>0</v>
      </c>
      <c r="BS37" s="74">
        <f t="shared" si="50"/>
        <v>0</v>
      </c>
      <c r="BT37" s="74">
        <f t="shared" si="104"/>
        <v>0</v>
      </c>
      <c r="BU37" s="60">
        <f t="shared" si="83"/>
        <v>0</v>
      </c>
      <c r="BV37" s="81">
        <f t="shared" si="105"/>
        <v>1</v>
      </c>
      <c r="BW37" s="60">
        <f t="shared" si="52"/>
        <v>0</v>
      </c>
      <c r="BX37" s="60">
        <f t="shared" si="53"/>
        <v>0</v>
      </c>
      <c r="BY37" s="49">
        <f t="shared" si="84"/>
        <v>1</v>
      </c>
      <c r="BZ37" s="82">
        <f t="shared" si="54"/>
        <v>164400</v>
      </c>
      <c r="CA37" s="49">
        <f t="shared" si="55"/>
        <v>338400</v>
      </c>
      <c r="CB37" s="49">
        <f t="shared" si="56"/>
        <v>328800</v>
      </c>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0" t="str">
        <f>IF(ISNA(VLOOKUP(A38,Master!AR$60:BD$107,3,FALSE)),"",VLOOKUP(A38,Master!AR$60:BD$107,3,FALSE))</f>
        <v>Jh vfHkeU;q flag</v>
      </c>
      <c r="C38" s="411" t="str">
        <f>IF(ISNA(VLOOKUP(A38,Master!AR$60:BD$107,7,FALSE)),"",VLOOKUP(A38,Master!AR$60:BD$107,7,FALSE))</f>
        <v>RJAJ199506021728</v>
      </c>
      <c r="D38" s="412">
        <f>IF(ISNA(VLOOKUP(A38,Master!AR$60:BD$107,8,FALSE)),"",VLOOKUP(A38,Master!AR$60:BD$107,8,FALSE))</f>
        <v>1057886</v>
      </c>
      <c r="E38" s="417" t="str">
        <f>IF(ISNA(VLOOKUP(A38,Master!AR$60:BD$107,4,FALSE)),"",VLOOKUP(A38,Master!AR$60:BD$107,4,FALSE))</f>
        <v>TEACHER-III</v>
      </c>
      <c r="F38" s="124">
        <f>IF(ISNA(VLOOKUP(A38,Master!AR$60:BD$107,5,FALSE)),"",VLOOKUP(A38,Master!AR$60:BD$107,5,FALSE))</f>
        <v>10</v>
      </c>
      <c r="G38" s="415">
        <f>IF(ISNA(VLOOKUP(A38,Master!AR$60:BD$107,6,FALSE)),"",VLOOKUP(A38,Master!AR$60:BD$107,6,FALSE))</f>
        <v>41100</v>
      </c>
      <c r="H38" s="415">
        <f t="shared" si="85"/>
        <v>502800</v>
      </c>
      <c r="I38" s="416" t="str">
        <f t="shared" ca="1" si="86"/>
        <v>01.07.2026</v>
      </c>
      <c r="J38" s="415">
        <f t="shared" si="87"/>
        <v>9600</v>
      </c>
      <c r="K38" s="415">
        <f t="shared" si="88"/>
        <v>512400</v>
      </c>
      <c r="L38" s="415">
        <f t="shared" si="89"/>
        <v>488400</v>
      </c>
      <c r="M38" s="415" t="str">
        <f>IF(ISNA(VLOOKUP(A38,Master!AR$60:BD$107,12,FALSE)),"",VLOOKUP(A38,Master!AR$60:BD$107,12,FALSE))</f>
        <v>NON GAZETTED - REGULAR</v>
      </c>
      <c r="N38" s="163"/>
      <c r="O38" s="163"/>
      <c r="P38" s="163"/>
      <c r="Q38" s="163">
        <f t="shared" si="90"/>
        <v>6774</v>
      </c>
      <c r="R38" s="52">
        <f t="shared" si="106"/>
        <v>1</v>
      </c>
      <c r="S38" s="1" t="str">
        <f>IF(ISNA(VLOOKUP(A38,Master!AR$60:BD$107,10,FALSE)),"",VLOOKUP(A38,Master!AR$60:BD$107,10,FALSE))</f>
        <v>NO</v>
      </c>
      <c r="T38" s="77"/>
      <c r="U38" s="77"/>
      <c r="V38" s="78" t="str">
        <f>IF(ISNA(VLOOKUP(A38,Master!AR$60:BD$107,11,FALSE)),"",VLOOKUP(A38,Master!AR$60:BD$107,11,FALSE))</f>
        <v>NO</v>
      </c>
      <c r="W38" s="78" t="str">
        <f>IF(ISNA(VLOOKUP(A38,Master!AR$60:BD$107,9,FALSE)),"",VLOOKUP(A38,Master!AR$60:BD$107,9,FALSE))</f>
        <v>MALE</v>
      </c>
      <c r="X38" s="79">
        <f t="shared" si="58"/>
        <v>0</v>
      </c>
      <c r="Y38" s="79">
        <f t="shared" si="59"/>
        <v>0</v>
      </c>
      <c r="Z38" s="79">
        <f t="shared" si="60"/>
        <v>0</v>
      </c>
      <c r="AA38" s="79">
        <f t="shared" si="61"/>
        <v>0</v>
      </c>
      <c r="AB38" s="79">
        <f t="shared" si="62"/>
        <v>0</v>
      </c>
      <c r="AC38" s="79">
        <f t="shared" si="63"/>
        <v>0</v>
      </c>
      <c r="AD38" s="80">
        <f t="shared" si="91"/>
        <v>39900</v>
      </c>
      <c r="AE38" s="80">
        <f t="shared" si="92"/>
        <v>0</v>
      </c>
      <c r="AF38" s="80">
        <f t="shared" si="93"/>
        <v>512400</v>
      </c>
      <c r="AG38" s="80">
        <f t="shared" si="94"/>
        <v>0</v>
      </c>
      <c r="AH38" s="80">
        <f t="shared" si="95"/>
        <v>0</v>
      </c>
      <c r="AI38" s="78">
        <f t="shared" si="96"/>
        <v>0</v>
      </c>
      <c r="AJ38" s="78">
        <v>0</v>
      </c>
      <c r="AK38" s="79">
        <v>0</v>
      </c>
      <c r="AL38" s="78">
        <f t="shared" si="97"/>
        <v>0</v>
      </c>
      <c r="AM38" s="79">
        <f t="shared" si="64"/>
        <v>0</v>
      </c>
      <c r="AN38" s="78">
        <f t="shared" si="48"/>
        <v>32675</v>
      </c>
      <c r="AO38" s="78">
        <f t="shared" si="65"/>
        <v>0</v>
      </c>
      <c r="AP38" s="78">
        <f t="shared" si="66"/>
        <v>0</v>
      </c>
      <c r="AQ38" s="78">
        <f t="shared" si="67"/>
        <v>0</v>
      </c>
      <c r="AR38" s="80">
        <f t="shared" si="68"/>
        <v>545075</v>
      </c>
      <c r="AS38" s="80">
        <f t="shared" si="69"/>
        <v>545075</v>
      </c>
      <c r="AT38" s="78"/>
      <c r="AU38" s="78"/>
      <c r="AV38" s="80">
        <f t="shared" si="98"/>
        <v>545075</v>
      </c>
      <c r="AW38" s="80">
        <f t="shared" si="70"/>
        <v>0</v>
      </c>
      <c r="AX38" s="80">
        <f t="shared" si="71"/>
        <v>488400</v>
      </c>
      <c r="AY38" s="80">
        <f t="shared" si="72"/>
        <v>0</v>
      </c>
      <c r="AZ38" s="80">
        <f t="shared" si="73"/>
        <v>0</v>
      </c>
      <c r="BA38" s="78">
        <f t="shared" si="99"/>
        <v>0</v>
      </c>
      <c r="BB38" s="78">
        <f t="shared" si="74"/>
        <v>0</v>
      </c>
      <c r="BC38" s="79">
        <v>0</v>
      </c>
      <c r="BD38" s="78">
        <f t="shared" si="100"/>
        <v>0</v>
      </c>
      <c r="BE38" s="79">
        <f t="shared" si="75"/>
        <v>0</v>
      </c>
      <c r="BF38" s="78">
        <f t="shared" si="49"/>
        <v>31721</v>
      </c>
      <c r="BG38" s="78">
        <f t="shared" si="76"/>
        <v>0</v>
      </c>
      <c r="BH38" s="78">
        <f t="shared" si="77"/>
        <v>0</v>
      </c>
      <c r="BI38" s="78">
        <f t="shared" si="78"/>
        <v>0</v>
      </c>
      <c r="BJ38" s="80">
        <f t="shared" si="101"/>
        <v>520121</v>
      </c>
      <c r="BK38" s="80">
        <f t="shared" si="102"/>
        <v>520121</v>
      </c>
      <c r="BL38" s="78"/>
      <c r="BM38" s="78"/>
      <c r="BN38" s="80">
        <f t="shared" si="103"/>
        <v>520121</v>
      </c>
      <c r="BO38" s="74">
        <f t="shared" si="79"/>
        <v>0</v>
      </c>
      <c r="BP38" s="74">
        <f t="shared" si="80"/>
        <v>1</v>
      </c>
      <c r="BQ38" s="74">
        <f t="shared" si="81"/>
        <v>0</v>
      </c>
      <c r="BR38" s="74">
        <f t="shared" si="82"/>
        <v>0</v>
      </c>
      <c r="BS38" s="74">
        <f t="shared" si="50"/>
        <v>0</v>
      </c>
      <c r="BT38" s="74">
        <f t="shared" si="104"/>
        <v>0</v>
      </c>
      <c r="BU38" s="60">
        <f t="shared" si="83"/>
        <v>0</v>
      </c>
      <c r="BV38" s="81">
        <f t="shared" si="105"/>
        <v>1</v>
      </c>
      <c r="BW38" s="60">
        <f t="shared" si="52"/>
        <v>0</v>
      </c>
      <c r="BX38" s="60">
        <f t="shared" si="53"/>
        <v>0</v>
      </c>
      <c r="BY38" s="49">
        <f t="shared" si="84"/>
        <v>1</v>
      </c>
      <c r="BZ38" s="82">
        <f t="shared" si="54"/>
        <v>164400</v>
      </c>
      <c r="CA38" s="49">
        <f t="shared" si="55"/>
        <v>338400</v>
      </c>
      <c r="CB38" s="49">
        <f t="shared" si="56"/>
        <v>328800</v>
      </c>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0" t="str">
        <f>IF(ISNA(VLOOKUP(A39,Master!AR$60:BD$107,3,FALSE)),"",VLOOKUP(A39,Master!AR$60:BD$107,3,FALSE))</f>
        <v>Jh iq"isUn toM+k</v>
      </c>
      <c r="C39" s="411" t="str">
        <f>IF(ISNA(VLOOKUP(A39,Master!AR$60:BD$107,7,FALSE)),"",VLOOKUP(A39,Master!AR$60:BD$107,7,FALSE))</f>
        <v>RJAJ199506021728</v>
      </c>
      <c r="D39" s="412">
        <f>IF(ISNA(VLOOKUP(A39,Master!AR$60:BD$107,8,FALSE)),"",VLOOKUP(A39,Master!AR$60:BD$107,8,FALSE))</f>
        <v>1057886</v>
      </c>
      <c r="E39" s="417" t="str">
        <f>IF(ISNA(VLOOKUP(A39,Master!AR$60:BD$107,4,FALSE)),"",VLOOKUP(A39,Master!AR$60:BD$107,4,FALSE))</f>
        <v>TEACHER-III</v>
      </c>
      <c r="F39" s="124">
        <f>IF(ISNA(VLOOKUP(A39,Master!AR$60:BD$107,5,FALSE)),"",VLOOKUP(A39,Master!AR$60:BD$107,5,FALSE))</f>
        <v>10</v>
      </c>
      <c r="G39" s="415">
        <f>IF(ISNA(VLOOKUP(A39,Master!AR$60:BD$107,6,FALSE)),"",VLOOKUP(A39,Master!AR$60:BD$107,6,FALSE))</f>
        <v>41100</v>
      </c>
      <c r="H39" s="415">
        <f t="shared" si="85"/>
        <v>502800</v>
      </c>
      <c r="I39" s="416" t="str">
        <f t="shared" ca="1" si="86"/>
        <v>01.07.2026</v>
      </c>
      <c r="J39" s="415">
        <f t="shared" si="87"/>
        <v>9600</v>
      </c>
      <c r="K39" s="415">
        <f t="shared" si="88"/>
        <v>512400</v>
      </c>
      <c r="L39" s="415">
        <f t="shared" si="89"/>
        <v>488400</v>
      </c>
      <c r="M39" s="415" t="str">
        <f>IF(ISNA(VLOOKUP(A39,Master!AR$60:BD$107,12,FALSE)),"",VLOOKUP(A39,Master!AR$60:BD$107,12,FALSE))</f>
        <v>NON GAZETTED - REGULAR</v>
      </c>
      <c r="N39" s="163"/>
      <c r="O39" s="163"/>
      <c r="P39" s="163"/>
      <c r="Q39" s="163">
        <f t="shared" si="90"/>
        <v>6774</v>
      </c>
      <c r="R39" s="52">
        <f t="shared" si="106"/>
        <v>1</v>
      </c>
      <c r="S39" s="1" t="str">
        <f>IF(ISNA(VLOOKUP(A39,Master!AR$60:BD$107,10,FALSE)),"",VLOOKUP(A39,Master!AR$60:BD$107,10,FALSE))</f>
        <v>NO</v>
      </c>
      <c r="T39" s="77"/>
      <c r="U39" s="77"/>
      <c r="V39" s="78" t="str">
        <f>IF(ISNA(VLOOKUP(A39,Master!AR$60:BD$107,11,FALSE)),"",VLOOKUP(A39,Master!AR$60:BD$107,11,FALSE))</f>
        <v>NO</v>
      </c>
      <c r="W39" s="78" t="str">
        <f>IF(ISNA(VLOOKUP(A39,Master!AR$60:BD$107,9,FALSE)),"",VLOOKUP(A39,Master!AR$60:BD$107,9,FALSE))</f>
        <v>MALE</v>
      </c>
      <c r="X39" s="79">
        <f t="shared" si="58"/>
        <v>0</v>
      </c>
      <c r="Y39" s="79">
        <f t="shared" si="59"/>
        <v>0</v>
      </c>
      <c r="Z39" s="79">
        <f t="shared" si="60"/>
        <v>0</v>
      </c>
      <c r="AA39" s="79">
        <f t="shared" si="61"/>
        <v>0</v>
      </c>
      <c r="AB39" s="79">
        <f t="shared" si="62"/>
        <v>0</v>
      </c>
      <c r="AC39" s="79">
        <f t="shared" si="63"/>
        <v>0</v>
      </c>
      <c r="AD39" s="80">
        <f t="shared" si="91"/>
        <v>39900</v>
      </c>
      <c r="AE39" s="80">
        <f t="shared" si="92"/>
        <v>0</v>
      </c>
      <c r="AF39" s="80">
        <f t="shared" si="93"/>
        <v>512400</v>
      </c>
      <c r="AG39" s="80">
        <f t="shared" si="94"/>
        <v>0</v>
      </c>
      <c r="AH39" s="80">
        <f t="shared" si="95"/>
        <v>0</v>
      </c>
      <c r="AI39" s="78">
        <f t="shared" si="96"/>
        <v>0</v>
      </c>
      <c r="AJ39" s="78">
        <v>0</v>
      </c>
      <c r="AK39" s="79">
        <v>0</v>
      </c>
      <c r="AL39" s="78">
        <f t="shared" si="97"/>
        <v>0</v>
      </c>
      <c r="AM39" s="79">
        <f t="shared" si="64"/>
        <v>0</v>
      </c>
      <c r="AN39" s="78">
        <f t="shared" si="48"/>
        <v>32675</v>
      </c>
      <c r="AO39" s="78">
        <f t="shared" si="65"/>
        <v>0</v>
      </c>
      <c r="AP39" s="78">
        <f t="shared" si="66"/>
        <v>0</v>
      </c>
      <c r="AQ39" s="78">
        <f t="shared" si="67"/>
        <v>0</v>
      </c>
      <c r="AR39" s="80">
        <f t="shared" si="68"/>
        <v>545075</v>
      </c>
      <c r="AS39" s="80">
        <f t="shared" si="69"/>
        <v>545075</v>
      </c>
      <c r="AT39" s="78"/>
      <c r="AU39" s="78"/>
      <c r="AV39" s="80">
        <f t="shared" si="98"/>
        <v>545075</v>
      </c>
      <c r="AW39" s="80">
        <f t="shared" si="70"/>
        <v>0</v>
      </c>
      <c r="AX39" s="80">
        <f t="shared" si="71"/>
        <v>488400</v>
      </c>
      <c r="AY39" s="80">
        <f t="shared" si="72"/>
        <v>0</v>
      </c>
      <c r="AZ39" s="80">
        <f t="shared" si="73"/>
        <v>0</v>
      </c>
      <c r="BA39" s="78">
        <f t="shared" si="99"/>
        <v>0</v>
      </c>
      <c r="BB39" s="78">
        <f t="shared" si="74"/>
        <v>0</v>
      </c>
      <c r="BC39" s="79">
        <v>0</v>
      </c>
      <c r="BD39" s="78">
        <f t="shared" si="100"/>
        <v>0</v>
      </c>
      <c r="BE39" s="79">
        <f t="shared" si="75"/>
        <v>0</v>
      </c>
      <c r="BF39" s="78">
        <f t="shared" si="49"/>
        <v>31721</v>
      </c>
      <c r="BG39" s="78">
        <f t="shared" si="76"/>
        <v>0</v>
      </c>
      <c r="BH39" s="78">
        <f t="shared" si="77"/>
        <v>0</v>
      </c>
      <c r="BI39" s="78">
        <f t="shared" si="78"/>
        <v>0</v>
      </c>
      <c r="BJ39" s="80">
        <f t="shared" si="101"/>
        <v>520121</v>
      </c>
      <c r="BK39" s="80">
        <f t="shared" si="102"/>
        <v>520121</v>
      </c>
      <c r="BL39" s="78"/>
      <c r="BM39" s="78"/>
      <c r="BN39" s="80">
        <f t="shared" si="103"/>
        <v>520121</v>
      </c>
      <c r="BO39" s="74">
        <f t="shared" si="79"/>
        <v>0</v>
      </c>
      <c r="BP39" s="74">
        <f t="shared" si="80"/>
        <v>1</v>
      </c>
      <c r="BQ39" s="74">
        <f t="shared" si="81"/>
        <v>0</v>
      </c>
      <c r="BR39" s="74">
        <f t="shared" si="82"/>
        <v>0</v>
      </c>
      <c r="BS39" s="74">
        <f t="shared" si="50"/>
        <v>0</v>
      </c>
      <c r="BT39" s="74">
        <f t="shared" si="104"/>
        <v>0</v>
      </c>
      <c r="BU39" s="60">
        <f t="shared" si="83"/>
        <v>0</v>
      </c>
      <c r="BV39" s="81">
        <f t="shared" si="105"/>
        <v>1</v>
      </c>
      <c r="BW39" s="60">
        <f t="shared" si="52"/>
        <v>0</v>
      </c>
      <c r="BX39" s="60">
        <f t="shared" si="53"/>
        <v>0</v>
      </c>
      <c r="BY39" s="49">
        <f t="shared" si="84"/>
        <v>1</v>
      </c>
      <c r="BZ39" s="82">
        <f t="shared" si="54"/>
        <v>164400</v>
      </c>
      <c r="CA39" s="49">
        <f t="shared" si="55"/>
        <v>338400</v>
      </c>
      <c r="CB39" s="49">
        <f t="shared" si="56"/>
        <v>328800</v>
      </c>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0" t="str">
        <f>IF(ISNA(VLOOKUP(A40,Master!AR$60:BD$107,3,FALSE)),"",VLOOKUP(A40,Master!AR$60:BD$107,3,FALSE))</f>
        <v>Jherh 'kkjnk pkS/kjh</v>
      </c>
      <c r="C40" s="411" t="str">
        <f>IF(ISNA(VLOOKUP(A40,Master!AR$60:BD$107,7,FALSE)),"",VLOOKUP(A40,Master!AR$60:BD$107,7,FALSE))</f>
        <v>RJAJ199506021728</v>
      </c>
      <c r="D40" s="412">
        <f>IF(ISNA(VLOOKUP(A40,Master!AR$60:BD$107,8,FALSE)),"",VLOOKUP(A40,Master!AR$60:BD$107,8,FALSE))</f>
        <v>1057886</v>
      </c>
      <c r="E40" s="417" t="str">
        <f>IF(ISNA(VLOOKUP(A40,Master!AR$60:BD$107,4,FALSE)),"",VLOOKUP(A40,Master!AR$60:BD$107,4,FALSE))</f>
        <v>PTI  III</v>
      </c>
      <c r="F40" s="124">
        <f>IF(ISNA(VLOOKUP(A40,Master!AR$60:BD$107,5,FALSE)),"",VLOOKUP(A40,Master!AR$60:BD$107,5,FALSE))</f>
        <v>13</v>
      </c>
      <c r="G40" s="415">
        <f>IF(ISNA(VLOOKUP(A40,Master!AR$60:BD$107,6,FALSE)),"",VLOOKUP(A40,Master!AR$60:BD$107,6,FALSE))</f>
        <v>34600</v>
      </c>
      <c r="H40" s="415">
        <f t="shared" si="85"/>
        <v>423200</v>
      </c>
      <c r="I40" s="416" t="str">
        <f t="shared" ca="1" si="86"/>
        <v>01.07.2026</v>
      </c>
      <c r="J40" s="415">
        <f t="shared" si="87"/>
        <v>8000</v>
      </c>
      <c r="K40" s="415">
        <f t="shared" si="88"/>
        <v>431200</v>
      </c>
      <c r="L40" s="415">
        <f t="shared" si="89"/>
        <v>411200</v>
      </c>
      <c r="M40" s="415" t="str">
        <f>IF(ISNA(VLOOKUP(A40,Master!AR$60:BD$107,12,FALSE)),"",VLOOKUP(A40,Master!AR$60:BD$107,12,FALSE))</f>
        <v>NON GAZETTED - REGULAR</v>
      </c>
      <c r="N40" s="163"/>
      <c r="O40" s="163"/>
      <c r="P40" s="163"/>
      <c r="Q40" s="163">
        <f t="shared" si="90"/>
        <v>0</v>
      </c>
      <c r="R40" s="52">
        <f t="shared" si="106"/>
        <v>1</v>
      </c>
      <c r="S40" s="1" t="str">
        <f>IF(ISNA(VLOOKUP(A40,Master!AR$60:BD$107,10,FALSE)),"",VLOOKUP(A40,Master!AR$60:BD$107,10,FALSE))</f>
        <v>NO</v>
      </c>
      <c r="T40" s="77"/>
      <c r="U40" s="77"/>
      <c r="V40" s="78" t="str">
        <f>IF(ISNA(VLOOKUP(A40,Master!AR$60:BD$107,11,FALSE)),"",VLOOKUP(A40,Master!AR$60:BD$107,11,FALSE))</f>
        <v>NO</v>
      </c>
      <c r="W40" s="78" t="str">
        <f>IF(ISNA(VLOOKUP(A40,Master!AR$60:BD$107,9,FALSE)),"",VLOOKUP(A40,Master!AR$60:BD$107,9,FALSE))</f>
        <v>FEMALE</v>
      </c>
      <c r="X40" s="79">
        <f t="shared" si="58"/>
        <v>0</v>
      </c>
      <c r="Y40" s="79">
        <f t="shared" si="59"/>
        <v>0</v>
      </c>
      <c r="Z40" s="79">
        <f t="shared" si="60"/>
        <v>0</v>
      </c>
      <c r="AA40" s="79">
        <f t="shared" si="61"/>
        <v>0</v>
      </c>
      <c r="AB40" s="79">
        <f t="shared" si="62"/>
        <v>0</v>
      </c>
      <c r="AC40" s="79">
        <f t="shared" si="63"/>
        <v>0</v>
      </c>
      <c r="AD40" s="80">
        <f t="shared" si="91"/>
        <v>33600</v>
      </c>
      <c r="AE40" s="80">
        <f t="shared" si="92"/>
        <v>0</v>
      </c>
      <c r="AF40" s="80">
        <f t="shared" si="93"/>
        <v>431200</v>
      </c>
      <c r="AG40" s="80">
        <f t="shared" si="94"/>
        <v>0</v>
      </c>
      <c r="AH40" s="80">
        <f t="shared" si="95"/>
        <v>0</v>
      </c>
      <c r="AI40" s="78">
        <f t="shared" si="96"/>
        <v>0</v>
      </c>
      <c r="AJ40" s="78">
        <v>0</v>
      </c>
      <c r="AK40" s="79">
        <v>0</v>
      </c>
      <c r="AL40" s="78">
        <f t="shared" si="97"/>
        <v>0</v>
      </c>
      <c r="AM40" s="79">
        <f t="shared" si="64"/>
        <v>0</v>
      </c>
      <c r="AN40" s="78">
        <f t="shared" si="48"/>
        <v>27507</v>
      </c>
      <c r="AO40" s="78">
        <f t="shared" si="65"/>
        <v>0</v>
      </c>
      <c r="AP40" s="78">
        <f t="shared" si="66"/>
        <v>0</v>
      </c>
      <c r="AQ40" s="78">
        <f t="shared" si="67"/>
        <v>0</v>
      </c>
      <c r="AR40" s="80">
        <f t="shared" si="68"/>
        <v>458707</v>
      </c>
      <c r="AS40" s="80">
        <f t="shared" si="69"/>
        <v>458707</v>
      </c>
      <c r="AT40" s="78"/>
      <c r="AU40" s="78"/>
      <c r="AV40" s="80">
        <f t="shared" si="98"/>
        <v>458707</v>
      </c>
      <c r="AW40" s="80">
        <f t="shared" si="70"/>
        <v>0</v>
      </c>
      <c r="AX40" s="80">
        <f t="shared" si="71"/>
        <v>411200</v>
      </c>
      <c r="AY40" s="80">
        <f t="shared" si="72"/>
        <v>0</v>
      </c>
      <c r="AZ40" s="80">
        <f t="shared" si="73"/>
        <v>0</v>
      </c>
      <c r="BA40" s="78">
        <f t="shared" si="99"/>
        <v>0</v>
      </c>
      <c r="BB40" s="78">
        <f t="shared" si="74"/>
        <v>0</v>
      </c>
      <c r="BC40" s="79">
        <v>0</v>
      </c>
      <c r="BD40" s="78">
        <f t="shared" si="100"/>
        <v>0</v>
      </c>
      <c r="BE40" s="79">
        <f t="shared" si="75"/>
        <v>0</v>
      </c>
      <c r="BF40" s="78">
        <f t="shared" si="49"/>
        <v>26712</v>
      </c>
      <c r="BG40" s="78">
        <f t="shared" si="76"/>
        <v>0</v>
      </c>
      <c r="BH40" s="78">
        <f t="shared" si="77"/>
        <v>0</v>
      </c>
      <c r="BI40" s="78">
        <f t="shared" si="78"/>
        <v>0</v>
      </c>
      <c r="BJ40" s="80">
        <f t="shared" si="101"/>
        <v>437912</v>
      </c>
      <c r="BK40" s="80">
        <f t="shared" si="102"/>
        <v>437912</v>
      </c>
      <c r="BL40" s="78"/>
      <c r="BM40" s="78"/>
      <c r="BN40" s="80">
        <f t="shared" si="103"/>
        <v>437912</v>
      </c>
      <c r="BO40" s="74">
        <f t="shared" si="79"/>
        <v>0</v>
      </c>
      <c r="BP40" s="74">
        <f t="shared" si="80"/>
        <v>1</v>
      </c>
      <c r="BQ40" s="74">
        <f t="shared" si="81"/>
        <v>0</v>
      </c>
      <c r="BR40" s="74">
        <f t="shared" si="82"/>
        <v>0</v>
      </c>
      <c r="BS40" s="74">
        <f t="shared" si="50"/>
        <v>0</v>
      </c>
      <c r="BT40" s="74">
        <f t="shared" si="104"/>
        <v>0</v>
      </c>
      <c r="BU40" s="60">
        <f t="shared" si="83"/>
        <v>0</v>
      </c>
      <c r="BV40" s="81">
        <f t="shared" si="105"/>
        <v>1</v>
      </c>
      <c r="BW40" s="60">
        <f t="shared" si="52"/>
        <v>0</v>
      </c>
      <c r="BX40" s="60">
        <f t="shared" si="53"/>
        <v>0</v>
      </c>
      <c r="BY40" s="49">
        <f t="shared" si="84"/>
        <v>1</v>
      </c>
      <c r="BZ40" s="82">
        <f t="shared" si="54"/>
        <v>138400</v>
      </c>
      <c r="CA40" s="49">
        <f t="shared" si="55"/>
        <v>284800</v>
      </c>
      <c r="CB40" s="49">
        <f t="shared" si="56"/>
        <v>276800</v>
      </c>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0" t="str">
        <f>IF(ISNA(VLOOKUP(A41,Master!AR$60:BD$107,3,FALSE)),"",VLOOKUP(A41,Master!AR$60:BD$107,3,FALSE))</f>
        <v>Jh eqds'k dqekj</v>
      </c>
      <c r="C41" s="411" t="str">
        <f>IF(ISNA(VLOOKUP(A41,Master!AR$60:BD$107,7,FALSE)),"",VLOOKUP(A41,Master!AR$60:BD$107,7,FALSE))</f>
        <v>RJAJ199506021728</v>
      </c>
      <c r="D41" s="412">
        <f>IF(ISNA(VLOOKUP(A41,Master!AR$60:BD$107,8,FALSE)),"",VLOOKUP(A41,Master!AR$60:BD$107,8,FALSE))</f>
        <v>1057886</v>
      </c>
      <c r="E41" s="417" t="str">
        <f>IF(ISNA(VLOOKUP(A41,Master!AR$60:BD$107,4,FALSE)),"",VLOOKUP(A41,Master!AR$60:BD$107,4,FALSE))</f>
        <v>LAB ASST</v>
      </c>
      <c r="F41" s="124">
        <f>IF(ISNA(VLOOKUP(A41,Master!AR$60:BD$107,5,FALSE)),"",VLOOKUP(A41,Master!AR$60:BD$107,5,FALSE))</f>
        <v>8</v>
      </c>
      <c r="G41" s="415">
        <f>IF(ISNA(VLOOKUP(A41,Master!AR$60:BD$107,6,FALSE)),"",VLOOKUP(A41,Master!AR$60:BD$107,6,FALSE))</f>
        <v>34600</v>
      </c>
      <c r="H41" s="415">
        <f t="shared" si="85"/>
        <v>423200</v>
      </c>
      <c r="I41" s="416" t="str">
        <f t="shared" ca="1" si="86"/>
        <v>01.07.2026</v>
      </c>
      <c r="J41" s="415">
        <f t="shared" si="87"/>
        <v>8000</v>
      </c>
      <c r="K41" s="415">
        <f t="shared" si="88"/>
        <v>431200</v>
      </c>
      <c r="L41" s="415">
        <f t="shared" si="89"/>
        <v>411200</v>
      </c>
      <c r="M41" s="415" t="str">
        <f>IF(ISNA(VLOOKUP(A41,Master!AR$60:BD$107,12,FALSE)),"",VLOOKUP(A41,Master!AR$60:BD$107,12,FALSE))</f>
        <v>NON GAZETTED - REGULAR</v>
      </c>
      <c r="N41" s="163"/>
      <c r="O41" s="163"/>
      <c r="P41" s="163"/>
      <c r="Q41" s="163">
        <f t="shared" si="90"/>
        <v>6774</v>
      </c>
      <c r="R41" s="52">
        <f t="shared" si="106"/>
        <v>1</v>
      </c>
      <c r="S41" s="1" t="str">
        <f>IF(ISNA(VLOOKUP(A41,Master!AR$60:BD$107,10,FALSE)),"",VLOOKUP(A41,Master!AR$60:BD$107,10,FALSE))</f>
        <v>NO</v>
      </c>
      <c r="T41" s="77"/>
      <c r="U41" s="77"/>
      <c r="V41" s="78" t="str">
        <f>IF(ISNA(VLOOKUP(A41,Master!AR$60:BD$107,11,FALSE)),"",VLOOKUP(A41,Master!AR$60:BD$107,11,FALSE))</f>
        <v>NO</v>
      </c>
      <c r="W41" s="78" t="str">
        <f>IF(ISNA(VLOOKUP(A41,Master!AR$60:BD$107,9,FALSE)),"",VLOOKUP(A41,Master!AR$60:BD$107,9,FALSE))</f>
        <v>MALE</v>
      </c>
      <c r="X41" s="79">
        <f t="shared" si="58"/>
        <v>0</v>
      </c>
      <c r="Y41" s="79">
        <f t="shared" si="59"/>
        <v>0</v>
      </c>
      <c r="Z41" s="79">
        <f t="shared" si="60"/>
        <v>0</v>
      </c>
      <c r="AA41" s="79">
        <f t="shared" si="61"/>
        <v>0</v>
      </c>
      <c r="AB41" s="79">
        <f t="shared" si="62"/>
        <v>0</v>
      </c>
      <c r="AC41" s="79">
        <f t="shared" si="63"/>
        <v>0</v>
      </c>
      <c r="AD41" s="80">
        <f t="shared" si="91"/>
        <v>33600</v>
      </c>
      <c r="AE41" s="80">
        <f t="shared" si="92"/>
        <v>0</v>
      </c>
      <c r="AF41" s="80">
        <f t="shared" si="93"/>
        <v>431200</v>
      </c>
      <c r="AG41" s="80">
        <f t="shared" si="94"/>
        <v>0</v>
      </c>
      <c r="AH41" s="80">
        <f t="shared" si="95"/>
        <v>0</v>
      </c>
      <c r="AI41" s="78">
        <f t="shared" si="96"/>
        <v>0</v>
      </c>
      <c r="AJ41" s="78">
        <v>0</v>
      </c>
      <c r="AK41" s="79">
        <v>0</v>
      </c>
      <c r="AL41" s="78">
        <f t="shared" si="97"/>
        <v>0</v>
      </c>
      <c r="AM41" s="79">
        <f t="shared" si="64"/>
        <v>0</v>
      </c>
      <c r="AN41" s="78">
        <f t="shared" si="48"/>
        <v>27507</v>
      </c>
      <c r="AO41" s="78">
        <f t="shared" si="65"/>
        <v>0</v>
      </c>
      <c r="AP41" s="78">
        <f t="shared" si="66"/>
        <v>0</v>
      </c>
      <c r="AQ41" s="78">
        <f t="shared" si="67"/>
        <v>0</v>
      </c>
      <c r="AR41" s="80">
        <f t="shared" si="68"/>
        <v>458707</v>
      </c>
      <c r="AS41" s="80">
        <f t="shared" si="69"/>
        <v>458707</v>
      </c>
      <c r="AT41" s="78"/>
      <c r="AU41" s="78"/>
      <c r="AV41" s="80">
        <f t="shared" si="98"/>
        <v>458707</v>
      </c>
      <c r="AW41" s="80">
        <f t="shared" si="70"/>
        <v>0</v>
      </c>
      <c r="AX41" s="80">
        <f t="shared" si="71"/>
        <v>411200</v>
      </c>
      <c r="AY41" s="80">
        <f t="shared" si="72"/>
        <v>0</v>
      </c>
      <c r="AZ41" s="80">
        <f t="shared" si="73"/>
        <v>0</v>
      </c>
      <c r="BA41" s="78">
        <f t="shared" si="99"/>
        <v>0</v>
      </c>
      <c r="BB41" s="78">
        <f t="shared" si="74"/>
        <v>0</v>
      </c>
      <c r="BC41" s="79">
        <v>0</v>
      </c>
      <c r="BD41" s="78">
        <f t="shared" si="100"/>
        <v>0</v>
      </c>
      <c r="BE41" s="79">
        <f t="shared" si="75"/>
        <v>0</v>
      </c>
      <c r="BF41" s="78">
        <f t="shared" si="49"/>
        <v>26712</v>
      </c>
      <c r="BG41" s="78">
        <f t="shared" si="76"/>
        <v>0</v>
      </c>
      <c r="BH41" s="78">
        <f t="shared" si="77"/>
        <v>0</v>
      </c>
      <c r="BI41" s="78">
        <f t="shared" si="78"/>
        <v>0</v>
      </c>
      <c r="BJ41" s="80">
        <f t="shared" si="101"/>
        <v>437912</v>
      </c>
      <c r="BK41" s="80">
        <f t="shared" si="102"/>
        <v>437912</v>
      </c>
      <c r="BL41" s="78"/>
      <c r="BM41" s="78"/>
      <c r="BN41" s="80">
        <f t="shared" si="103"/>
        <v>437912</v>
      </c>
      <c r="BO41" s="74">
        <f t="shared" si="79"/>
        <v>0</v>
      </c>
      <c r="BP41" s="74">
        <f t="shared" si="80"/>
        <v>1</v>
      </c>
      <c r="BQ41" s="74">
        <f t="shared" si="81"/>
        <v>0</v>
      </c>
      <c r="BR41" s="74">
        <f t="shared" si="82"/>
        <v>0</v>
      </c>
      <c r="BS41" s="74">
        <f t="shared" si="50"/>
        <v>0</v>
      </c>
      <c r="BT41" s="74">
        <f t="shared" si="104"/>
        <v>0</v>
      </c>
      <c r="BU41" s="60">
        <f t="shared" si="83"/>
        <v>0</v>
      </c>
      <c r="BV41" s="81">
        <f t="shared" si="105"/>
        <v>1</v>
      </c>
      <c r="BW41" s="60">
        <f t="shared" si="52"/>
        <v>0</v>
      </c>
      <c r="BX41" s="60">
        <f t="shared" si="53"/>
        <v>0</v>
      </c>
      <c r="BY41" s="49">
        <f t="shared" si="84"/>
        <v>1</v>
      </c>
      <c r="BZ41" s="82">
        <f t="shared" si="54"/>
        <v>138400</v>
      </c>
      <c r="CA41" s="49">
        <f t="shared" si="55"/>
        <v>284800</v>
      </c>
      <c r="CB41" s="49">
        <f t="shared" si="56"/>
        <v>276800</v>
      </c>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0" t="str">
        <f>IF(ISNA(VLOOKUP(A42,Master!AR$60:BD$107,3,FALSE)),"",VLOOKUP(A42,Master!AR$60:BD$107,3,FALSE))</f>
        <v xml:space="preserve">Jh cgknqj jke </v>
      </c>
      <c r="C42" s="411" t="str">
        <f>IF(ISNA(VLOOKUP(A42,Master!AR$60:BD$107,7,FALSE)),"",VLOOKUP(A42,Master!AR$60:BD$107,7,FALSE))</f>
        <v>RJAJ199506021728</v>
      </c>
      <c r="D42" s="412">
        <f>IF(ISNA(VLOOKUP(A42,Master!AR$60:BD$107,8,FALSE)),"",VLOOKUP(A42,Master!AR$60:BD$107,8,FALSE))</f>
        <v>1057886</v>
      </c>
      <c r="E42" s="417" t="str">
        <f>IF(ISNA(VLOOKUP(A42,Master!AR$60:BD$107,4,FALSE)),"",VLOOKUP(A42,Master!AR$60:BD$107,4,FALSE))</f>
        <v>CLERK GRADE II</v>
      </c>
      <c r="F42" s="124">
        <f>IF(ISNA(VLOOKUP(A42,Master!AR$60:BD$107,5,FALSE)),"",VLOOKUP(A42,Master!AR$60:BD$107,5,FALSE))</f>
        <v>9</v>
      </c>
      <c r="G42" s="415">
        <f>IF(ISNA(VLOOKUP(A42,Master!AR$60:BD$107,6,FALSE)),"",VLOOKUP(A42,Master!AR$60:BD$107,6,FALSE))</f>
        <v>34600</v>
      </c>
      <c r="H42" s="415">
        <f t="shared" si="85"/>
        <v>423200</v>
      </c>
      <c r="I42" s="416" t="str">
        <f t="shared" ca="1" si="86"/>
        <v>01.07.2026</v>
      </c>
      <c r="J42" s="415">
        <f t="shared" si="87"/>
        <v>8000</v>
      </c>
      <c r="K42" s="415">
        <f t="shared" si="88"/>
        <v>431200</v>
      </c>
      <c r="L42" s="415">
        <f t="shared" si="89"/>
        <v>411200</v>
      </c>
      <c r="M42" s="415" t="str">
        <f>IF(ISNA(VLOOKUP(A42,Master!AR$60:BD$107,12,FALSE)),"",VLOOKUP(A42,Master!AR$60:BD$107,12,FALSE))</f>
        <v>NON GAZETTED - REGULAR</v>
      </c>
      <c r="N42" s="163"/>
      <c r="O42" s="163"/>
      <c r="P42" s="163"/>
      <c r="Q42" s="163">
        <f t="shared" si="90"/>
        <v>6774</v>
      </c>
      <c r="R42" s="52">
        <f t="shared" si="106"/>
        <v>1</v>
      </c>
      <c r="S42" s="1" t="str">
        <f>IF(ISNA(VLOOKUP(A42,Master!AR$60:BD$107,10,FALSE)),"",VLOOKUP(A42,Master!AR$60:BD$107,10,FALSE))</f>
        <v>NO</v>
      </c>
      <c r="T42" s="77"/>
      <c r="U42" s="77"/>
      <c r="V42" s="78" t="str">
        <f>IF(ISNA(VLOOKUP(A42,Master!AR$60:BD$107,11,FALSE)),"",VLOOKUP(A42,Master!AR$60:BD$107,11,FALSE))</f>
        <v>NO</v>
      </c>
      <c r="W42" s="78" t="str">
        <f>IF(ISNA(VLOOKUP(A42,Master!AR$60:BD$107,9,FALSE)),"",VLOOKUP(A42,Master!AR$60:BD$107,9,FALSE))</f>
        <v>MALE</v>
      </c>
      <c r="X42" s="79">
        <f t="shared" si="58"/>
        <v>0</v>
      </c>
      <c r="Y42" s="79">
        <f t="shared" si="59"/>
        <v>0</v>
      </c>
      <c r="Z42" s="79">
        <f t="shared" si="60"/>
        <v>0</v>
      </c>
      <c r="AA42" s="79">
        <f t="shared" si="61"/>
        <v>0</v>
      </c>
      <c r="AB42" s="79">
        <f t="shared" si="62"/>
        <v>0</v>
      </c>
      <c r="AC42" s="79">
        <f t="shared" si="63"/>
        <v>0</v>
      </c>
      <c r="AD42" s="80">
        <f t="shared" si="91"/>
        <v>33600</v>
      </c>
      <c r="AE42" s="80">
        <f t="shared" si="92"/>
        <v>0</v>
      </c>
      <c r="AF42" s="80">
        <f t="shared" si="93"/>
        <v>431200</v>
      </c>
      <c r="AG42" s="80">
        <f t="shared" si="94"/>
        <v>0</v>
      </c>
      <c r="AH42" s="80">
        <f t="shared" si="95"/>
        <v>0</v>
      </c>
      <c r="AI42" s="78">
        <f t="shared" si="96"/>
        <v>0</v>
      </c>
      <c r="AJ42" s="78">
        <v>0</v>
      </c>
      <c r="AK42" s="79">
        <v>0</v>
      </c>
      <c r="AL42" s="78">
        <f t="shared" si="97"/>
        <v>0</v>
      </c>
      <c r="AM42" s="79">
        <f t="shared" si="64"/>
        <v>0</v>
      </c>
      <c r="AN42" s="78">
        <f t="shared" si="48"/>
        <v>27507</v>
      </c>
      <c r="AO42" s="78">
        <f t="shared" si="65"/>
        <v>0</v>
      </c>
      <c r="AP42" s="78">
        <f t="shared" si="66"/>
        <v>0</v>
      </c>
      <c r="AQ42" s="78">
        <f t="shared" si="67"/>
        <v>0</v>
      </c>
      <c r="AR42" s="80">
        <f t="shared" si="68"/>
        <v>458707</v>
      </c>
      <c r="AS42" s="80">
        <f t="shared" si="69"/>
        <v>458707</v>
      </c>
      <c r="AT42" s="78"/>
      <c r="AU42" s="78"/>
      <c r="AV42" s="80">
        <f t="shared" si="98"/>
        <v>458707</v>
      </c>
      <c r="AW42" s="80">
        <f t="shared" si="70"/>
        <v>0</v>
      </c>
      <c r="AX42" s="80">
        <f t="shared" si="71"/>
        <v>411200</v>
      </c>
      <c r="AY42" s="80">
        <f t="shared" si="72"/>
        <v>0</v>
      </c>
      <c r="AZ42" s="80">
        <f t="shared" si="73"/>
        <v>0</v>
      </c>
      <c r="BA42" s="78">
        <f t="shared" si="99"/>
        <v>0</v>
      </c>
      <c r="BB42" s="78">
        <f t="shared" si="74"/>
        <v>0</v>
      </c>
      <c r="BC42" s="79">
        <v>0</v>
      </c>
      <c r="BD42" s="78">
        <f t="shared" si="100"/>
        <v>0</v>
      </c>
      <c r="BE42" s="79">
        <f t="shared" si="75"/>
        <v>0</v>
      </c>
      <c r="BF42" s="78">
        <f t="shared" si="49"/>
        <v>26712</v>
      </c>
      <c r="BG42" s="78">
        <f t="shared" si="76"/>
        <v>0</v>
      </c>
      <c r="BH42" s="78">
        <f t="shared" si="77"/>
        <v>0</v>
      </c>
      <c r="BI42" s="78">
        <f t="shared" si="78"/>
        <v>0</v>
      </c>
      <c r="BJ42" s="80">
        <f t="shared" si="101"/>
        <v>437912</v>
      </c>
      <c r="BK42" s="80">
        <f t="shared" si="102"/>
        <v>437912</v>
      </c>
      <c r="BL42" s="78"/>
      <c r="BM42" s="78"/>
      <c r="BN42" s="80">
        <f t="shared" si="103"/>
        <v>437912</v>
      </c>
      <c r="BO42" s="74">
        <f t="shared" si="79"/>
        <v>0</v>
      </c>
      <c r="BP42" s="74">
        <f t="shared" si="80"/>
        <v>1</v>
      </c>
      <c r="BQ42" s="74">
        <f t="shared" si="81"/>
        <v>0</v>
      </c>
      <c r="BR42" s="74">
        <f t="shared" si="82"/>
        <v>0</v>
      </c>
      <c r="BS42" s="74">
        <f t="shared" si="50"/>
        <v>0</v>
      </c>
      <c r="BT42" s="74">
        <f t="shared" si="104"/>
        <v>0</v>
      </c>
      <c r="BU42" s="60">
        <f t="shared" si="83"/>
        <v>0</v>
      </c>
      <c r="BV42" s="81">
        <f t="shared" si="105"/>
        <v>1</v>
      </c>
      <c r="BW42" s="60">
        <f t="shared" si="52"/>
        <v>0</v>
      </c>
      <c r="BX42" s="60">
        <f t="shared" si="53"/>
        <v>0</v>
      </c>
      <c r="BY42" s="49">
        <f t="shared" si="84"/>
        <v>1</v>
      </c>
      <c r="BZ42" s="82">
        <f t="shared" si="54"/>
        <v>138400</v>
      </c>
      <c r="CA42" s="49">
        <f t="shared" si="55"/>
        <v>284800</v>
      </c>
      <c r="CB42" s="49">
        <f t="shared" si="56"/>
        <v>276800</v>
      </c>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0" t="str">
        <f>IF(ISNA(VLOOKUP(A43,Master!AR$60:BD$107,3,FALSE)),"",VLOOKUP(A43,Master!AR$60:BD$107,3,FALSE))</f>
        <v xml:space="preserve">Jh gseUr vkgqtk </v>
      </c>
      <c r="C43" s="411" t="str">
        <f>IF(ISNA(VLOOKUP(A43,Master!AR$60:BD$107,7,FALSE)),"",VLOOKUP(A43,Master!AR$60:BD$107,7,FALSE))</f>
        <v>RJAJ199506021728</v>
      </c>
      <c r="D43" s="412">
        <f>IF(ISNA(VLOOKUP(A43,Master!AR$60:BD$107,8,FALSE)),"",VLOOKUP(A43,Master!AR$60:BD$107,8,FALSE))</f>
        <v>1057886</v>
      </c>
      <c r="E43" s="417" t="str">
        <f>IF(ISNA(VLOOKUP(A43,Master!AR$60:BD$107,4,FALSE)),"",VLOOKUP(A43,Master!AR$60:BD$107,4,FALSE))</f>
        <v>CLERK GRADE III</v>
      </c>
      <c r="F43" s="124">
        <f>IF(ISNA(VLOOKUP(A43,Master!AR$60:BD$107,5,FALSE)),"",VLOOKUP(A43,Master!AR$60:BD$107,5,FALSE))</f>
        <v>5</v>
      </c>
      <c r="G43" s="415">
        <f>IF(ISNA(VLOOKUP(A43,Master!AR$60:BD$107,6,FALSE)),"",VLOOKUP(A43,Master!AR$60:BD$107,6,FALSE))</f>
        <v>34600</v>
      </c>
      <c r="H43" s="415">
        <f t="shared" si="85"/>
        <v>423200</v>
      </c>
      <c r="I43" s="416" t="str">
        <f t="shared" ca="1" si="86"/>
        <v>01.07.2026</v>
      </c>
      <c r="J43" s="415">
        <f t="shared" si="87"/>
        <v>8000</v>
      </c>
      <c r="K43" s="415">
        <f t="shared" si="88"/>
        <v>431200</v>
      </c>
      <c r="L43" s="415">
        <f t="shared" si="89"/>
        <v>411200</v>
      </c>
      <c r="M43" s="415" t="str">
        <f>IF(ISNA(VLOOKUP(A43,Master!AR$60:BD$107,12,FALSE)),"",VLOOKUP(A43,Master!AR$60:BD$107,12,FALSE))</f>
        <v>NON GAZETTED - REGULAR</v>
      </c>
      <c r="N43" s="163"/>
      <c r="O43" s="163"/>
      <c r="P43" s="163"/>
      <c r="Q43" s="163">
        <f t="shared" si="90"/>
        <v>6774</v>
      </c>
      <c r="R43" s="52">
        <f t="shared" si="106"/>
        <v>1</v>
      </c>
      <c r="S43" s="1" t="str">
        <f>IF(ISNA(VLOOKUP(A43,Master!AR$60:BD$107,10,FALSE)),"",VLOOKUP(A43,Master!AR$60:BD$107,10,FALSE))</f>
        <v>NO</v>
      </c>
      <c r="T43" s="77"/>
      <c r="U43" s="77"/>
      <c r="V43" s="78" t="str">
        <f>IF(ISNA(VLOOKUP(A43,Master!AR$60:BD$107,11,FALSE)),"",VLOOKUP(A43,Master!AR$60:BD$107,11,FALSE))</f>
        <v>NO</v>
      </c>
      <c r="W43" s="78" t="str">
        <f>IF(ISNA(VLOOKUP(A43,Master!AR$60:BD$107,9,FALSE)),"",VLOOKUP(A43,Master!AR$60:BD$107,9,FALSE))</f>
        <v>MALE</v>
      </c>
      <c r="X43" s="79">
        <f t="shared" si="58"/>
        <v>0</v>
      </c>
      <c r="Y43" s="79">
        <f t="shared" si="59"/>
        <v>0</v>
      </c>
      <c r="Z43" s="79">
        <f t="shared" si="60"/>
        <v>0</v>
      </c>
      <c r="AA43" s="79">
        <f t="shared" si="61"/>
        <v>0</v>
      </c>
      <c r="AB43" s="79">
        <f t="shared" si="62"/>
        <v>0</v>
      </c>
      <c r="AC43" s="79">
        <f t="shared" si="63"/>
        <v>0</v>
      </c>
      <c r="AD43" s="80">
        <f t="shared" si="91"/>
        <v>33600</v>
      </c>
      <c r="AE43" s="80">
        <f t="shared" si="92"/>
        <v>0</v>
      </c>
      <c r="AF43" s="80">
        <f t="shared" si="93"/>
        <v>431200</v>
      </c>
      <c r="AG43" s="80">
        <f t="shared" si="94"/>
        <v>0</v>
      </c>
      <c r="AH43" s="80">
        <f t="shared" si="95"/>
        <v>0</v>
      </c>
      <c r="AI43" s="78">
        <f t="shared" si="96"/>
        <v>0</v>
      </c>
      <c r="AJ43" s="78">
        <v>0</v>
      </c>
      <c r="AK43" s="79">
        <v>0</v>
      </c>
      <c r="AL43" s="78">
        <f t="shared" si="97"/>
        <v>0</v>
      </c>
      <c r="AM43" s="79">
        <f t="shared" si="64"/>
        <v>0</v>
      </c>
      <c r="AN43" s="78">
        <f t="shared" si="48"/>
        <v>27507</v>
      </c>
      <c r="AO43" s="78">
        <f t="shared" si="65"/>
        <v>0</v>
      </c>
      <c r="AP43" s="78">
        <f t="shared" si="66"/>
        <v>0</v>
      </c>
      <c r="AQ43" s="78">
        <f t="shared" si="67"/>
        <v>0</v>
      </c>
      <c r="AR43" s="80">
        <f t="shared" si="68"/>
        <v>458707</v>
      </c>
      <c r="AS43" s="80">
        <f t="shared" si="69"/>
        <v>458707</v>
      </c>
      <c r="AT43" s="78"/>
      <c r="AU43" s="78"/>
      <c r="AV43" s="80">
        <f t="shared" si="98"/>
        <v>458707</v>
      </c>
      <c r="AW43" s="80">
        <f t="shared" si="70"/>
        <v>0</v>
      </c>
      <c r="AX43" s="80">
        <f t="shared" si="71"/>
        <v>411200</v>
      </c>
      <c r="AY43" s="80">
        <f t="shared" si="72"/>
        <v>0</v>
      </c>
      <c r="AZ43" s="80">
        <f t="shared" si="73"/>
        <v>0</v>
      </c>
      <c r="BA43" s="78">
        <f t="shared" si="99"/>
        <v>0</v>
      </c>
      <c r="BB43" s="78">
        <f t="shared" si="74"/>
        <v>0</v>
      </c>
      <c r="BC43" s="79">
        <v>0</v>
      </c>
      <c r="BD43" s="78">
        <f t="shared" si="100"/>
        <v>0</v>
      </c>
      <c r="BE43" s="79">
        <f t="shared" si="75"/>
        <v>0</v>
      </c>
      <c r="BF43" s="78">
        <f t="shared" si="49"/>
        <v>26712</v>
      </c>
      <c r="BG43" s="78">
        <f t="shared" si="76"/>
        <v>0</v>
      </c>
      <c r="BH43" s="78">
        <f t="shared" si="77"/>
        <v>0</v>
      </c>
      <c r="BI43" s="78">
        <f t="shared" si="78"/>
        <v>0</v>
      </c>
      <c r="BJ43" s="80">
        <f t="shared" si="101"/>
        <v>437912</v>
      </c>
      <c r="BK43" s="80">
        <f t="shared" si="102"/>
        <v>437912</v>
      </c>
      <c r="BL43" s="78"/>
      <c r="BM43" s="78"/>
      <c r="BN43" s="80">
        <f t="shared" si="103"/>
        <v>437912</v>
      </c>
      <c r="BO43" s="74">
        <f t="shared" si="79"/>
        <v>0</v>
      </c>
      <c r="BP43" s="74">
        <f t="shared" si="80"/>
        <v>1</v>
      </c>
      <c r="BQ43" s="74">
        <f t="shared" si="81"/>
        <v>0</v>
      </c>
      <c r="BR43" s="74">
        <f t="shared" si="82"/>
        <v>0</v>
      </c>
      <c r="BS43" s="74">
        <f t="shared" si="50"/>
        <v>0</v>
      </c>
      <c r="BT43" s="74">
        <f t="shared" si="104"/>
        <v>0</v>
      </c>
      <c r="BU43" s="60">
        <f t="shared" si="83"/>
        <v>0</v>
      </c>
      <c r="BV43" s="81">
        <f t="shared" si="105"/>
        <v>1</v>
      </c>
      <c r="BW43" s="60">
        <f t="shared" si="52"/>
        <v>0</v>
      </c>
      <c r="BX43" s="60">
        <f t="shared" si="53"/>
        <v>0</v>
      </c>
      <c r="BY43" s="49">
        <f t="shared" si="84"/>
        <v>1</v>
      </c>
      <c r="BZ43" s="82">
        <f t="shared" si="54"/>
        <v>138400</v>
      </c>
      <c r="CA43" s="49">
        <f t="shared" si="55"/>
        <v>284800</v>
      </c>
      <c r="CB43" s="49">
        <f t="shared" si="56"/>
        <v>276800</v>
      </c>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0" t="str">
        <f>IF(ISNA(VLOOKUP(A44,Master!AR$60:BD$107,3,FALSE)),"",VLOOKUP(A44,Master!AR$60:BD$107,3,FALSE))</f>
        <v/>
      </c>
      <c r="C44" s="411" t="str">
        <f>IF(ISNA(VLOOKUP(A44,Master!AR$60:BD$107,7,FALSE)),"",VLOOKUP(A44,Master!AR$60:BD$107,7,FALSE))</f>
        <v/>
      </c>
      <c r="D44" s="412" t="str">
        <f>IF(ISNA(VLOOKUP(A44,Master!AR$60:BD$107,8,FALSE)),"",VLOOKUP(A44,Master!AR$60:BD$107,8,FALSE))</f>
        <v/>
      </c>
      <c r="E44" s="417" t="str">
        <f>IF(ISNA(VLOOKUP(A44,Master!AR$60:BD$107,4,FALSE)),"",VLOOKUP(A44,Master!AR$60:BD$107,4,FALSE))</f>
        <v/>
      </c>
      <c r="F44" s="124" t="str">
        <f>IF(ISNA(VLOOKUP(A44,Master!AR$60:BD$107,5,FALSE)),"",VLOOKUP(A44,Master!AR$60:BD$107,5,FALSE))</f>
        <v/>
      </c>
      <c r="G44" s="415" t="str">
        <f>IF(ISNA(VLOOKUP(A44,Master!AR$60:BD$107,6,FALSE)),"",VLOOKUP(A44,Master!AR$60:BD$107,6,FALSE))</f>
        <v/>
      </c>
      <c r="H44" s="415" t="str">
        <f t="shared" si="85"/>
        <v/>
      </c>
      <c r="I44" s="416" t="str">
        <f t="shared" ca="1" si="86"/>
        <v/>
      </c>
      <c r="J44" s="415" t="str">
        <f t="shared" si="87"/>
        <v/>
      </c>
      <c r="K44" s="415" t="str">
        <f t="shared" si="88"/>
        <v/>
      </c>
      <c r="L44" s="415" t="str">
        <f t="shared" si="89"/>
        <v/>
      </c>
      <c r="M44" s="415" t="str">
        <f>IF(ISNA(VLOOKUP(A44,Master!AR$60:BD$107,12,FALSE)),"",VLOOKUP(A44,Master!AR$60:BD$107,12,FALSE))</f>
        <v/>
      </c>
      <c r="N44" s="163"/>
      <c r="O44" s="163"/>
      <c r="P44" s="163"/>
      <c r="Q44" s="163">
        <f t="shared" si="90"/>
        <v>0</v>
      </c>
      <c r="R44" s="52">
        <f t="shared" si="106"/>
        <v>1</v>
      </c>
      <c r="S44" s="1" t="str">
        <f>IF(ISNA(VLOOKUP(A44,Master!AR$60:BD$107,10,FALSE)),"",VLOOKUP(A44,Master!AR$60:BD$107,10,FALSE))</f>
        <v/>
      </c>
      <c r="T44" s="77"/>
      <c r="U44" s="77"/>
      <c r="V44" s="78" t="str">
        <f>IF(ISNA(VLOOKUP(A44,Master!AR$60:BD$107,11,FALSE)),"",VLOOKUP(A44,Master!AR$60:BD$107,11,FALSE))</f>
        <v/>
      </c>
      <c r="W44" s="78" t="str">
        <f>IF(ISNA(VLOOKUP(A44,Master!AR$60:BD$107,9,FALSE)),"",VLOOKUP(A44,Master!AR$60:BD$107,9,FALSE))</f>
        <v/>
      </c>
      <c r="X44" s="79">
        <f t="shared" si="58"/>
        <v>0</v>
      </c>
      <c r="Y44" s="79">
        <f t="shared" si="59"/>
        <v>0</v>
      </c>
      <c r="Z44" s="79">
        <f t="shared" si="60"/>
        <v>0</v>
      </c>
      <c r="AA44" s="79">
        <f t="shared" si="61"/>
        <v>0</v>
      </c>
      <c r="AB44" s="79">
        <f t="shared" si="62"/>
        <v>0</v>
      </c>
      <c r="AC44" s="79">
        <f t="shared" si="63"/>
        <v>0</v>
      </c>
      <c r="AD44" s="80" t="str">
        <f t="shared" si="91"/>
        <v/>
      </c>
      <c r="AE44" s="80" t="str">
        <f t="shared" si="92"/>
        <v/>
      </c>
      <c r="AF44" s="80" t="str">
        <f t="shared" si="93"/>
        <v/>
      </c>
      <c r="AG44" s="80" t="str">
        <f t="shared" si="94"/>
        <v/>
      </c>
      <c r="AH44" s="80" t="str">
        <f t="shared" si="95"/>
        <v/>
      </c>
      <c r="AI44" s="78" t="str">
        <f t="shared" si="96"/>
        <v/>
      </c>
      <c r="AJ44" s="78">
        <v>0</v>
      </c>
      <c r="AK44" s="79">
        <v>0</v>
      </c>
      <c r="AL44" s="78" t="str">
        <f t="shared" si="97"/>
        <v/>
      </c>
      <c r="AM44" s="79">
        <f t="shared" si="64"/>
        <v>0</v>
      </c>
      <c r="AN44" s="78">
        <f t="shared" si="48"/>
        <v>0</v>
      </c>
      <c r="AO44" s="78">
        <f t="shared" si="65"/>
        <v>0</v>
      </c>
      <c r="AP44" s="78">
        <f t="shared" si="66"/>
        <v>0</v>
      </c>
      <c r="AQ44" s="78">
        <f t="shared" si="67"/>
        <v>0</v>
      </c>
      <c r="AR44" s="80">
        <f t="shared" si="68"/>
        <v>0</v>
      </c>
      <c r="AS44" s="80">
        <f t="shared" si="69"/>
        <v>0</v>
      </c>
      <c r="AT44" s="78"/>
      <c r="AU44" s="78"/>
      <c r="AV44" s="80">
        <f t="shared" si="98"/>
        <v>0</v>
      </c>
      <c r="AW44" s="80">
        <f t="shared" si="70"/>
        <v>0</v>
      </c>
      <c r="AX44" s="80">
        <f t="shared" si="71"/>
        <v>0</v>
      </c>
      <c r="AY44" s="80">
        <f t="shared" si="72"/>
        <v>0</v>
      </c>
      <c r="AZ44" s="80">
        <f t="shared" si="73"/>
        <v>0</v>
      </c>
      <c r="BA44" s="78">
        <f t="shared" si="99"/>
        <v>0</v>
      </c>
      <c r="BB44" s="78">
        <f t="shared" si="74"/>
        <v>0</v>
      </c>
      <c r="BC44" s="79">
        <v>0</v>
      </c>
      <c r="BD44" s="78">
        <f t="shared" si="100"/>
        <v>0</v>
      </c>
      <c r="BE44" s="79">
        <f t="shared" si="75"/>
        <v>0</v>
      </c>
      <c r="BF44" s="78">
        <f t="shared" si="49"/>
        <v>0</v>
      </c>
      <c r="BG44" s="78">
        <f t="shared" si="76"/>
        <v>0</v>
      </c>
      <c r="BH44" s="78">
        <f t="shared" si="77"/>
        <v>0</v>
      </c>
      <c r="BI44" s="78">
        <f t="shared" si="78"/>
        <v>0</v>
      </c>
      <c r="BJ44" s="80">
        <f t="shared" si="101"/>
        <v>0</v>
      </c>
      <c r="BK44" s="80">
        <f t="shared" si="102"/>
        <v>0</v>
      </c>
      <c r="BL44" s="78"/>
      <c r="BM44" s="78"/>
      <c r="BN44" s="80">
        <f t="shared" si="103"/>
        <v>0</v>
      </c>
      <c r="BO44" s="74">
        <f t="shared" si="79"/>
        <v>0</v>
      </c>
      <c r="BP44" s="74">
        <f t="shared" si="80"/>
        <v>1</v>
      </c>
      <c r="BQ44" s="74">
        <f t="shared" si="81"/>
        <v>0</v>
      </c>
      <c r="BR44" s="74">
        <f t="shared" si="82"/>
        <v>0</v>
      </c>
      <c r="BS44" s="74">
        <f t="shared" si="50"/>
        <v>0</v>
      </c>
      <c r="BT44" s="74">
        <f t="shared" si="104"/>
        <v>1</v>
      </c>
      <c r="BU44" s="60">
        <f t="shared" si="83"/>
        <v>0</v>
      </c>
      <c r="BV44" s="81">
        <f t="shared" si="105"/>
        <v>1</v>
      </c>
      <c r="BW44" s="60">
        <f t="shared" si="52"/>
        <v>0</v>
      </c>
      <c r="BX44" s="60">
        <f t="shared" si="53"/>
        <v>0</v>
      </c>
      <c r="BY44" s="49" t="str">
        <f t="shared" si="84"/>
        <v/>
      </c>
      <c r="BZ44" s="82" t="str">
        <f t="shared" si="54"/>
        <v/>
      </c>
      <c r="CA44" s="49" t="str">
        <f t="shared" si="55"/>
        <v/>
      </c>
      <c r="CB44" s="49" t="str">
        <f t="shared" si="56"/>
        <v/>
      </c>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0" t="str">
        <f>IF(ISNA(VLOOKUP(A45,Master!AR$60:BD$107,3,FALSE)),"",VLOOKUP(A45,Master!AR$60:BD$107,3,FALSE))</f>
        <v/>
      </c>
      <c r="C45" s="411" t="str">
        <f>IF(ISNA(VLOOKUP(A45,Master!AR$60:BD$107,7,FALSE)),"",VLOOKUP(A45,Master!AR$60:BD$107,7,FALSE))</f>
        <v/>
      </c>
      <c r="D45" s="412" t="str">
        <f>IF(ISNA(VLOOKUP(A45,Master!AR$60:BD$107,8,FALSE)),"",VLOOKUP(A45,Master!AR$60:BD$107,8,FALSE))</f>
        <v/>
      </c>
      <c r="E45" s="417" t="str">
        <f>IF(ISNA(VLOOKUP(A45,Master!AR$60:BD$107,4,FALSE)),"",VLOOKUP(A45,Master!AR$60:BD$107,4,FALSE))</f>
        <v/>
      </c>
      <c r="F45" s="124" t="str">
        <f>IF(ISNA(VLOOKUP(A45,Master!AR$60:BD$107,5,FALSE)),"",VLOOKUP(A45,Master!AR$60:BD$107,5,FALSE))</f>
        <v/>
      </c>
      <c r="G45" s="415" t="str">
        <f>IF(ISNA(VLOOKUP(A45,Master!AR$60:BD$107,6,FALSE)),"",VLOOKUP(A45,Master!AR$60:BD$107,6,FALSE))</f>
        <v/>
      </c>
      <c r="H45" s="415" t="str">
        <f t="shared" si="85"/>
        <v/>
      </c>
      <c r="I45" s="416" t="str">
        <f t="shared" ca="1" si="86"/>
        <v/>
      </c>
      <c r="J45" s="415" t="str">
        <f t="shared" si="87"/>
        <v/>
      </c>
      <c r="K45" s="415" t="str">
        <f t="shared" si="88"/>
        <v/>
      </c>
      <c r="L45" s="415" t="str">
        <f t="shared" si="89"/>
        <v/>
      </c>
      <c r="M45" s="415" t="str">
        <f>IF(ISNA(VLOOKUP(A45,Master!AR$60:BD$107,12,FALSE)),"",VLOOKUP(A45,Master!AR$60:BD$107,12,FALSE))</f>
        <v/>
      </c>
      <c r="N45" s="163"/>
      <c r="O45" s="163"/>
      <c r="P45" s="163"/>
      <c r="Q45" s="163">
        <f t="shared" si="90"/>
        <v>0</v>
      </c>
      <c r="R45" s="52">
        <f t="shared" si="106"/>
        <v>1</v>
      </c>
      <c r="S45" s="1" t="str">
        <f>IF(ISNA(VLOOKUP(A45,Master!AR$60:BD$107,10,FALSE)),"",VLOOKUP(A45,Master!AR$60:BD$107,10,FALSE))</f>
        <v/>
      </c>
      <c r="T45" s="77"/>
      <c r="U45" s="77"/>
      <c r="V45" s="78" t="str">
        <f>IF(ISNA(VLOOKUP(A45,Master!AR$60:BD$107,11,FALSE)),"",VLOOKUP(A45,Master!AR$60:BD$107,11,FALSE))</f>
        <v/>
      </c>
      <c r="W45" s="78" t="str">
        <f>IF(ISNA(VLOOKUP(A45,Master!AR$60:BD$107,9,FALSE)),"",VLOOKUP(A45,Master!AR$60:BD$107,9,FALSE))</f>
        <v/>
      </c>
      <c r="X45" s="79">
        <f t="shared" si="58"/>
        <v>0</v>
      </c>
      <c r="Y45" s="79">
        <f t="shared" si="59"/>
        <v>0</v>
      </c>
      <c r="Z45" s="79">
        <f t="shared" si="60"/>
        <v>0</v>
      </c>
      <c r="AA45" s="79">
        <f t="shared" si="61"/>
        <v>0</v>
      </c>
      <c r="AB45" s="79">
        <f t="shared" si="62"/>
        <v>0</v>
      </c>
      <c r="AC45" s="79">
        <f t="shared" si="63"/>
        <v>0</v>
      </c>
      <c r="AD45" s="80" t="str">
        <f t="shared" si="91"/>
        <v/>
      </c>
      <c r="AE45" s="80" t="str">
        <f t="shared" si="92"/>
        <v/>
      </c>
      <c r="AF45" s="80" t="str">
        <f t="shared" si="93"/>
        <v/>
      </c>
      <c r="AG45" s="80" t="str">
        <f t="shared" si="94"/>
        <v/>
      </c>
      <c r="AH45" s="80" t="str">
        <f t="shared" si="95"/>
        <v/>
      </c>
      <c r="AI45" s="78" t="str">
        <f t="shared" si="96"/>
        <v/>
      </c>
      <c r="AJ45" s="78">
        <v>0</v>
      </c>
      <c r="AK45" s="79">
        <v>0</v>
      </c>
      <c r="AL45" s="78" t="str">
        <f t="shared" si="97"/>
        <v/>
      </c>
      <c r="AM45" s="79">
        <f t="shared" si="64"/>
        <v>0</v>
      </c>
      <c r="AN45" s="78">
        <f t="shared" si="48"/>
        <v>0</v>
      </c>
      <c r="AO45" s="78">
        <f t="shared" si="65"/>
        <v>0</v>
      </c>
      <c r="AP45" s="78">
        <f t="shared" si="66"/>
        <v>0</v>
      </c>
      <c r="AQ45" s="78">
        <f t="shared" si="67"/>
        <v>0</v>
      </c>
      <c r="AR45" s="80">
        <f t="shared" si="68"/>
        <v>0</v>
      </c>
      <c r="AS45" s="80">
        <f t="shared" si="69"/>
        <v>0</v>
      </c>
      <c r="AT45" s="78"/>
      <c r="AU45" s="78"/>
      <c r="AV45" s="80">
        <f t="shared" si="98"/>
        <v>0</v>
      </c>
      <c r="AW45" s="80">
        <f t="shared" si="70"/>
        <v>0</v>
      </c>
      <c r="AX45" s="80">
        <f t="shared" si="71"/>
        <v>0</v>
      </c>
      <c r="AY45" s="80">
        <f t="shared" si="72"/>
        <v>0</v>
      </c>
      <c r="AZ45" s="80">
        <f t="shared" si="73"/>
        <v>0</v>
      </c>
      <c r="BA45" s="78">
        <f t="shared" si="99"/>
        <v>0</v>
      </c>
      <c r="BB45" s="78">
        <f t="shared" si="74"/>
        <v>0</v>
      </c>
      <c r="BC45" s="79">
        <v>0</v>
      </c>
      <c r="BD45" s="78">
        <f t="shared" si="100"/>
        <v>0</v>
      </c>
      <c r="BE45" s="79">
        <f t="shared" si="75"/>
        <v>0</v>
      </c>
      <c r="BF45" s="78">
        <f t="shared" si="49"/>
        <v>0</v>
      </c>
      <c r="BG45" s="78">
        <f t="shared" si="76"/>
        <v>0</v>
      </c>
      <c r="BH45" s="78">
        <f t="shared" si="77"/>
        <v>0</v>
      </c>
      <c r="BI45" s="78">
        <f t="shared" si="78"/>
        <v>0</v>
      </c>
      <c r="BJ45" s="80">
        <f t="shared" si="101"/>
        <v>0</v>
      </c>
      <c r="BK45" s="80">
        <f t="shared" si="102"/>
        <v>0</v>
      </c>
      <c r="BL45" s="78"/>
      <c r="BM45" s="78"/>
      <c r="BN45" s="80">
        <f t="shared" si="103"/>
        <v>0</v>
      </c>
      <c r="BO45" s="74">
        <f t="shared" si="79"/>
        <v>0</v>
      </c>
      <c r="BP45" s="74">
        <f t="shared" si="80"/>
        <v>1</v>
      </c>
      <c r="BQ45" s="74">
        <f t="shared" si="81"/>
        <v>0</v>
      </c>
      <c r="BR45" s="74">
        <f t="shared" si="82"/>
        <v>0</v>
      </c>
      <c r="BS45" s="74">
        <f t="shared" si="50"/>
        <v>0</v>
      </c>
      <c r="BT45" s="74">
        <f t="shared" si="104"/>
        <v>1</v>
      </c>
      <c r="BU45" s="60">
        <f t="shared" si="83"/>
        <v>0</v>
      </c>
      <c r="BV45" s="81">
        <f t="shared" si="105"/>
        <v>1</v>
      </c>
      <c r="BW45" s="60">
        <f t="shared" si="52"/>
        <v>0</v>
      </c>
      <c r="BX45" s="60">
        <f t="shared" si="53"/>
        <v>0</v>
      </c>
      <c r="BY45" s="49" t="str">
        <f t="shared" si="84"/>
        <v/>
      </c>
      <c r="BZ45" s="82" t="str">
        <f t="shared" si="54"/>
        <v/>
      </c>
      <c r="CA45" s="49" t="str">
        <f t="shared" si="55"/>
        <v/>
      </c>
      <c r="CB45" s="49" t="str">
        <f t="shared" si="56"/>
        <v/>
      </c>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0" t="str">
        <f>IF(ISNA(VLOOKUP(A46,Master!AR$60:BD$107,3,FALSE)),"",VLOOKUP(A46,Master!AR$60:BD$107,3,FALSE))</f>
        <v/>
      </c>
      <c r="C46" s="411" t="str">
        <f>IF(ISNA(VLOOKUP(A46,Master!AR$60:BD$107,7,FALSE)),"",VLOOKUP(A46,Master!AR$60:BD$107,7,FALSE))</f>
        <v/>
      </c>
      <c r="D46" s="412" t="str">
        <f>IF(ISNA(VLOOKUP(A46,Master!AR$60:BD$107,8,FALSE)),"",VLOOKUP(A46,Master!AR$60:BD$107,8,FALSE))</f>
        <v/>
      </c>
      <c r="E46" s="417" t="str">
        <f>IF(ISNA(VLOOKUP(A46,Master!AR$60:BD$107,4,FALSE)),"",VLOOKUP(A46,Master!AR$60:BD$107,4,FALSE))</f>
        <v/>
      </c>
      <c r="F46" s="124" t="str">
        <f>IF(ISNA(VLOOKUP(A46,Master!AR$60:BD$107,5,FALSE)),"",VLOOKUP(A46,Master!AR$60:BD$107,5,FALSE))</f>
        <v/>
      </c>
      <c r="G46" s="415" t="str">
        <f>IF(ISNA(VLOOKUP(A46,Master!AR$60:BD$107,6,FALSE)),"",VLOOKUP(A46,Master!AR$60:BD$107,6,FALSE))</f>
        <v/>
      </c>
      <c r="H46" s="415" t="str">
        <f t="shared" si="85"/>
        <v/>
      </c>
      <c r="I46" s="416" t="str">
        <f t="shared" ca="1" si="86"/>
        <v/>
      </c>
      <c r="J46" s="415" t="str">
        <f t="shared" si="87"/>
        <v/>
      </c>
      <c r="K46" s="415" t="str">
        <f t="shared" si="88"/>
        <v/>
      </c>
      <c r="L46" s="415" t="str">
        <f t="shared" si="89"/>
        <v/>
      </c>
      <c r="M46" s="415" t="str">
        <f>IF(ISNA(VLOOKUP(A46,Master!AR$60:BD$107,12,FALSE)),"",VLOOKUP(A46,Master!AR$60:BD$107,12,FALSE))</f>
        <v/>
      </c>
      <c r="N46" s="163"/>
      <c r="O46" s="163"/>
      <c r="P46" s="163"/>
      <c r="Q46" s="163">
        <f t="shared" si="90"/>
        <v>0</v>
      </c>
      <c r="R46" s="52">
        <f t="shared" si="106"/>
        <v>1</v>
      </c>
      <c r="S46" s="1" t="str">
        <f>IF(ISNA(VLOOKUP(A46,Master!AR$60:BD$107,10,FALSE)),"",VLOOKUP(A46,Master!AR$60:BD$107,10,FALSE))</f>
        <v/>
      </c>
      <c r="T46" s="77"/>
      <c r="U46" s="77"/>
      <c r="V46" s="78" t="str">
        <f>IF(ISNA(VLOOKUP(A46,Master!AR$60:BD$107,11,FALSE)),"",VLOOKUP(A46,Master!AR$60:BD$107,11,FALSE))</f>
        <v/>
      </c>
      <c r="W46" s="78" t="str">
        <f>IF(ISNA(VLOOKUP(A46,Master!AR$60:BD$107,9,FALSE)),"",VLOOKUP(A46,Master!AR$60:BD$107,9,FALSE))</f>
        <v/>
      </c>
      <c r="X46" s="79">
        <f t="shared" si="58"/>
        <v>0</v>
      </c>
      <c r="Y46" s="79">
        <f t="shared" si="59"/>
        <v>0</v>
      </c>
      <c r="Z46" s="79">
        <f t="shared" si="60"/>
        <v>0</v>
      </c>
      <c r="AA46" s="79">
        <f t="shared" si="61"/>
        <v>0</v>
      </c>
      <c r="AB46" s="79">
        <f t="shared" si="62"/>
        <v>0</v>
      </c>
      <c r="AC46" s="79">
        <f t="shared" si="63"/>
        <v>0</v>
      </c>
      <c r="AD46" s="80" t="str">
        <f t="shared" si="91"/>
        <v/>
      </c>
      <c r="AE46" s="80" t="str">
        <f t="shared" si="92"/>
        <v/>
      </c>
      <c r="AF46" s="80" t="str">
        <f t="shared" si="93"/>
        <v/>
      </c>
      <c r="AG46" s="80" t="str">
        <f t="shared" si="94"/>
        <v/>
      </c>
      <c r="AH46" s="80" t="str">
        <f t="shared" si="95"/>
        <v/>
      </c>
      <c r="AI46" s="78" t="str">
        <f t="shared" si="96"/>
        <v/>
      </c>
      <c r="AJ46" s="78">
        <v>0</v>
      </c>
      <c r="AK46" s="79">
        <v>0</v>
      </c>
      <c r="AL46" s="78" t="str">
        <f t="shared" si="97"/>
        <v/>
      </c>
      <c r="AM46" s="79">
        <f t="shared" si="64"/>
        <v>0</v>
      </c>
      <c r="AN46" s="78">
        <f t="shared" si="48"/>
        <v>0</v>
      </c>
      <c r="AO46" s="78">
        <f t="shared" si="65"/>
        <v>0</v>
      </c>
      <c r="AP46" s="78">
        <f t="shared" si="66"/>
        <v>0</v>
      </c>
      <c r="AQ46" s="78">
        <f t="shared" si="67"/>
        <v>0</v>
      </c>
      <c r="AR46" s="80">
        <f t="shared" si="68"/>
        <v>0</v>
      </c>
      <c r="AS46" s="80">
        <f t="shared" si="69"/>
        <v>0</v>
      </c>
      <c r="AT46" s="78"/>
      <c r="AU46" s="78"/>
      <c r="AV46" s="80">
        <f t="shared" si="98"/>
        <v>0</v>
      </c>
      <c r="AW46" s="80">
        <f t="shared" si="70"/>
        <v>0</v>
      </c>
      <c r="AX46" s="80">
        <f t="shared" si="71"/>
        <v>0</v>
      </c>
      <c r="AY46" s="80">
        <f t="shared" si="72"/>
        <v>0</v>
      </c>
      <c r="AZ46" s="80">
        <f t="shared" si="73"/>
        <v>0</v>
      </c>
      <c r="BA46" s="78">
        <f t="shared" si="99"/>
        <v>0</v>
      </c>
      <c r="BB46" s="78">
        <f t="shared" si="74"/>
        <v>0</v>
      </c>
      <c r="BC46" s="79">
        <v>0</v>
      </c>
      <c r="BD46" s="78">
        <f t="shared" si="100"/>
        <v>0</v>
      </c>
      <c r="BE46" s="79">
        <f t="shared" si="75"/>
        <v>0</v>
      </c>
      <c r="BF46" s="78">
        <f t="shared" si="49"/>
        <v>0</v>
      </c>
      <c r="BG46" s="78">
        <f t="shared" si="76"/>
        <v>0</v>
      </c>
      <c r="BH46" s="78">
        <f t="shared" si="77"/>
        <v>0</v>
      </c>
      <c r="BI46" s="78">
        <f t="shared" si="78"/>
        <v>0</v>
      </c>
      <c r="BJ46" s="80">
        <f t="shared" si="101"/>
        <v>0</v>
      </c>
      <c r="BK46" s="80">
        <f t="shared" si="102"/>
        <v>0</v>
      </c>
      <c r="BL46" s="78"/>
      <c r="BM46" s="78"/>
      <c r="BN46" s="80">
        <f t="shared" si="103"/>
        <v>0</v>
      </c>
      <c r="BO46" s="74">
        <f t="shared" si="79"/>
        <v>0</v>
      </c>
      <c r="BP46" s="74">
        <f t="shared" si="80"/>
        <v>1</v>
      </c>
      <c r="BQ46" s="74">
        <f t="shared" si="81"/>
        <v>0</v>
      </c>
      <c r="BR46" s="74">
        <f t="shared" si="82"/>
        <v>0</v>
      </c>
      <c r="BS46" s="74">
        <f t="shared" si="50"/>
        <v>0</v>
      </c>
      <c r="BT46" s="74">
        <f t="shared" si="104"/>
        <v>1</v>
      </c>
      <c r="BU46" s="60">
        <f t="shared" si="83"/>
        <v>0</v>
      </c>
      <c r="BV46" s="81">
        <f t="shared" si="105"/>
        <v>1</v>
      </c>
      <c r="BW46" s="60">
        <f t="shared" si="52"/>
        <v>0</v>
      </c>
      <c r="BX46" s="60">
        <f t="shared" si="53"/>
        <v>0</v>
      </c>
      <c r="BY46" s="49" t="str">
        <f t="shared" si="84"/>
        <v/>
      </c>
      <c r="BZ46" s="82" t="str">
        <f t="shared" si="54"/>
        <v/>
      </c>
      <c r="CA46" s="49" t="str">
        <f t="shared" si="55"/>
        <v/>
      </c>
      <c r="CB46" s="49" t="str">
        <f t="shared" si="56"/>
        <v/>
      </c>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0" t="str">
        <f>IF(ISNA(VLOOKUP(A47,Master!AR$60:BD$107,3,FALSE)),"",VLOOKUP(A47,Master!AR$60:BD$107,3,FALSE))</f>
        <v/>
      </c>
      <c r="C47" s="411" t="str">
        <f>IF(ISNA(VLOOKUP(A47,Master!AR$60:BD$107,7,FALSE)),"",VLOOKUP(A47,Master!AR$60:BD$107,7,FALSE))</f>
        <v/>
      </c>
      <c r="D47" s="412" t="str">
        <f>IF(ISNA(VLOOKUP(A47,Master!AR$60:BD$107,8,FALSE)),"",VLOOKUP(A47,Master!AR$60:BD$107,8,FALSE))</f>
        <v/>
      </c>
      <c r="E47" s="417" t="str">
        <f>IF(ISNA(VLOOKUP(A47,Master!AR$60:BD$107,4,FALSE)),"",VLOOKUP(A47,Master!AR$60:BD$107,4,FALSE))</f>
        <v/>
      </c>
      <c r="F47" s="124" t="str">
        <f>IF(ISNA(VLOOKUP(A47,Master!AR$60:BD$107,5,FALSE)),"",VLOOKUP(A47,Master!AR$60:BD$107,5,FALSE))</f>
        <v/>
      </c>
      <c r="G47" s="415" t="str">
        <f>IF(ISNA(VLOOKUP(A47,Master!AR$60:BD$107,6,FALSE)),"",VLOOKUP(A47,Master!AR$60:BD$107,6,FALSE))</f>
        <v/>
      </c>
      <c r="H47" s="415" t="str">
        <f t="shared" si="85"/>
        <v/>
      </c>
      <c r="I47" s="416" t="str">
        <f t="shared" ca="1" si="86"/>
        <v/>
      </c>
      <c r="J47" s="415" t="str">
        <f t="shared" si="87"/>
        <v/>
      </c>
      <c r="K47" s="415" t="str">
        <f t="shared" si="88"/>
        <v/>
      </c>
      <c r="L47" s="415" t="str">
        <f t="shared" si="89"/>
        <v/>
      </c>
      <c r="M47" s="415" t="str">
        <f>IF(ISNA(VLOOKUP(A47,Master!AR$60:BD$107,12,FALSE)),"",VLOOKUP(A47,Master!AR$60:BD$107,12,FALSE))</f>
        <v/>
      </c>
      <c r="N47" s="163"/>
      <c r="O47" s="163"/>
      <c r="P47" s="163"/>
      <c r="Q47" s="163">
        <f t="shared" si="90"/>
        <v>0</v>
      </c>
      <c r="R47" s="52">
        <f t="shared" si="106"/>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8"/>
        <v>0</v>
      </c>
      <c r="Y47" s="79">
        <f t="shared" si="59"/>
        <v>0</v>
      </c>
      <c r="Z47" s="79">
        <f t="shared" si="60"/>
        <v>0</v>
      </c>
      <c r="AA47" s="79">
        <f t="shared" si="61"/>
        <v>0</v>
      </c>
      <c r="AB47" s="79">
        <f t="shared" si="62"/>
        <v>0</v>
      </c>
      <c r="AC47" s="79">
        <f t="shared" si="63"/>
        <v>0</v>
      </c>
      <c r="AD47" s="80" t="str">
        <f t="shared" si="91"/>
        <v/>
      </c>
      <c r="AE47" s="80" t="str">
        <f t="shared" si="92"/>
        <v/>
      </c>
      <c r="AF47" s="80" t="str">
        <f t="shared" si="93"/>
        <v/>
      </c>
      <c r="AG47" s="80" t="str">
        <f t="shared" si="94"/>
        <v/>
      </c>
      <c r="AH47" s="80" t="str">
        <f t="shared" si="95"/>
        <v/>
      </c>
      <c r="AI47" s="78" t="str">
        <f t="shared" si="96"/>
        <v/>
      </c>
      <c r="AJ47" s="78">
        <v>0</v>
      </c>
      <c r="AK47" s="79">
        <v>0</v>
      </c>
      <c r="AL47" s="78" t="str">
        <f t="shared" si="97"/>
        <v/>
      </c>
      <c r="AM47" s="79">
        <f t="shared" si="64"/>
        <v>0</v>
      </c>
      <c r="AN47" s="78">
        <f t="shared" si="48"/>
        <v>0</v>
      </c>
      <c r="AO47" s="78">
        <f t="shared" si="65"/>
        <v>0</v>
      </c>
      <c r="AP47" s="78">
        <f t="shared" si="66"/>
        <v>0</v>
      </c>
      <c r="AQ47" s="78">
        <f t="shared" si="67"/>
        <v>0</v>
      </c>
      <c r="AR47" s="80">
        <f t="shared" si="68"/>
        <v>0</v>
      </c>
      <c r="AS47" s="80">
        <f t="shared" si="69"/>
        <v>0</v>
      </c>
      <c r="AT47" s="78"/>
      <c r="AU47" s="78"/>
      <c r="AV47" s="80">
        <f t="shared" si="98"/>
        <v>0</v>
      </c>
      <c r="AW47" s="80">
        <f t="shared" si="70"/>
        <v>0</v>
      </c>
      <c r="AX47" s="80">
        <f t="shared" si="71"/>
        <v>0</v>
      </c>
      <c r="AY47" s="80">
        <f t="shared" si="72"/>
        <v>0</v>
      </c>
      <c r="AZ47" s="80">
        <f t="shared" si="73"/>
        <v>0</v>
      </c>
      <c r="BA47" s="78">
        <f t="shared" si="99"/>
        <v>0</v>
      </c>
      <c r="BB47" s="78">
        <f t="shared" si="74"/>
        <v>0</v>
      </c>
      <c r="BC47" s="79">
        <v>0</v>
      </c>
      <c r="BD47" s="78">
        <f t="shared" si="100"/>
        <v>0</v>
      </c>
      <c r="BE47" s="79">
        <f t="shared" si="75"/>
        <v>0</v>
      </c>
      <c r="BF47" s="78">
        <f t="shared" si="49"/>
        <v>0</v>
      </c>
      <c r="BG47" s="78">
        <f t="shared" si="76"/>
        <v>0</v>
      </c>
      <c r="BH47" s="78">
        <f t="shared" si="77"/>
        <v>0</v>
      </c>
      <c r="BI47" s="78">
        <f t="shared" si="78"/>
        <v>0</v>
      </c>
      <c r="BJ47" s="80">
        <f t="shared" si="101"/>
        <v>0</v>
      </c>
      <c r="BK47" s="80">
        <f t="shared" si="102"/>
        <v>0</v>
      </c>
      <c r="BL47" s="78"/>
      <c r="BM47" s="78"/>
      <c r="BN47" s="80">
        <f t="shared" si="103"/>
        <v>0</v>
      </c>
      <c r="BO47" s="74">
        <f t="shared" si="79"/>
        <v>0</v>
      </c>
      <c r="BP47" s="74">
        <f t="shared" si="80"/>
        <v>1</v>
      </c>
      <c r="BQ47" s="74">
        <f t="shared" si="81"/>
        <v>0</v>
      </c>
      <c r="BR47" s="74">
        <f t="shared" si="82"/>
        <v>0</v>
      </c>
      <c r="BS47" s="74">
        <f t="shared" si="50"/>
        <v>0</v>
      </c>
      <c r="BT47" s="74">
        <f t="shared" si="104"/>
        <v>1</v>
      </c>
      <c r="BU47" s="60">
        <f t="shared" si="83"/>
        <v>0</v>
      </c>
      <c r="BV47" s="81">
        <f t="shared" si="105"/>
        <v>1</v>
      </c>
      <c r="BW47" s="60">
        <f t="shared" si="52"/>
        <v>0</v>
      </c>
      <c r="BX47" s="60">
        <f t="shared" si="53"/>
        <v>0</v>
      </c>
      <c r="BY47" s="49" t="str">
        <f t="shared" si="84"/>
        <v/>
      </c>
      <c r="BZ47" s="82" t="str">
        <f t="shared" si="54"/>
        <v/>
      </c>
      <c r="CA47" s="49" t="str">
        <f t="shared" si="55"/>
        <v/>
      </c>
      <c r="CB47" s="49" t="str">
        <f t="shared" si="56"/>
        <v/>
      </c>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0" t="str">
        <f>IF(ISNA(VLOOKUP(A48,Master!AR$60:BD$107,3,FALSE)),"",VLOOKUP(A48,Master!AR$60:BD$107,3,FALSE))</f>
        <v/>
      </c>
      <c r="C48" s="411" t="str">
        <f>IF(ISNA(VLOOKUP(A48,Master!AR$60:BD$107,7,FALSE)),"",VLOOKUP(A48,Master!AR$60:BD$107,7,FALSE))</f>
        <v/>
      </c>
      <c r="D48" s="412" t="str">
        <f>IF(ISNA(VLOOKUP(A48,Master!AR$60:BD$107,8,FALSE)),"",VLOOKUP(A48,Master!AR$60:BD$107,8,FALSE))</f>
        <v/>
      </c>
      <c r="E48" s="417" t="str">
        <f>IF(ISNA(VLOOKUP(A48,Master!AR$60:BD$107,4,FALSE)),"",VLOOKUP(A48,Master!AR$60:BD$107,4,FALSE))</f>
        <v/>
      </c>
      <c r="F48" s="124" t="str">
        <f>IF(ISNA(VLOOKUP(A48,Master!AR$60:BD$107,5,FALSE)),"",VLOOKUP(A48,Master!AR$60:BD$107,5,FALSE))</f>
        <v/>
      </c>
      <c r="G48" s="415" t="str">
        <f>IF(ISNA(VLOOKUP(A48,Master!AR$60:BD$107,6,FALSE)),"",VLOOKUP(A48,Master!AR$60:BD$107,6,FALSE))</f>
        <v/>
      </c>
      <c r="H48" s="415" t="str">
        <f t="shared" si="85"/>
        <v/>
      </c>
      <c r="I48" s="416" t="str">
        <f t="shared" ca="1" si="86"/>
        <v/>
      </c>
      <c r="J48" s="415" t="str">
        <f t="shared" si="87"/>
        <v/>
      </c>
      <c r="K48" s="415" t="str">
        <f t="shared" si="88"/>
        <v/>
      </c>
      <c r="L48" s="415" t="str">
        <f t="shared" si="89"/>
        <v/>
      </c>
      <c r="M48" s="415" t="str">
        <f>IF(ISNA(VLOOKUP(A48,Master!AR$60:BD$107,12,FALSE)),"",VLOOKUP(A48,Master!AR$60:BD$107,12,FALSE))</f>
        <v/>
      </c>
      <c r="N48" s="163"/>
      <c r="O48" s="163"/>
      <c r="P48" s="163"/>
      <c r="Q48" s="163">
        <f t="shared" si="90"/>
        <v>0</v>
      </c>
      <c r="R48" s="52">
        <f t="shared" si="106"/>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8"/>
        <v>0</v>
      </c>
      <c r="Y48" s="79">
        <f t="shared" si="59"/>
        <v>0</v>
      </c>
      <c r="Z48" s="79">
        <f t="shared" si="60"/>
        <v>0</v>
      </c>
      <c r="AA48" s="79">
        <f t="shared" si="61"/>
        <v>0</v>
      </c>
      <c r="AB48" s="79">
        <f t="shared" si="62"/>
        <v>0</v>
      </c>
      <c r="AC48" s="79">
        <f t="shared" si="63"/>
        <v>0</v>
      </c>
      <c r="AD48" s="80" t="str">
        <f t="shared" si="91"/>
        <v/>
      </c>
      <c r="AE48" s="80" t="str">
        <f t="shared" si="92"/>
        <v/>
      </c>
      <c r="AF48" s="80" t="str">
        <f t="shared" si="93"/>
        <v/>
      </c>
      <c r="AG48" s="80" t="str">
        <f t="shared" si="94"/>
        <v/>
      </c>
      <c r="AH48" s="80" t="str">
        <f t="shared" si="95"/>
        <v/>
      </c>
      <c r="AI48" s="78" t="str">
        <f t="shared" si="96"/>
        <v/>
      </c>
      <c r="AJ48" s="78">
        <v>0</v>
      </c>
      <c r="AK48" s="79">
        <v>0</v>
      </c>
      <c r="AL48" s="78" t="str">
        <f t="shared" si="97"/>
        <v/>
      </c>
      <c r="AM48" s="79">
        <f t="shared" si="64"/>
        <v>0</v>
      </c>
      <c r="AN48" s="78">
        <f t="shared" si="48"/>
        <v>0</v>
      </c>
      <c r="AO48" s="78">
        <f t="shared" si="65"/>
        <v>0</v>
      </c>
      <c r="AP48" s="78">
        <f t="shared" si="66"/>
        <v>0</v>
      </c>
      <c r="AQ48" s="78">
        <f t="shared" si="67"/>
        <v>0</v>
      </c>
      <c r="AR48" s="80">
        <f t="shared" si="68"/>
        <v>0</v>
      </c>
      <c r="AS48" s="80">
        <f t="shared" si="69"/>
        <v>0</v>
      </c>
      <c r="AT48" s="78"/>
      <c r="AU48" s="78"/>
      <c r="AV48" s="80">
        <f t="shared" si="98"/>
        <v>0</v>
      </c>
      <c r="AW48" s="80">
        <f t="shared" si="70"/>
        <v>0</v>
      </c>
      <c r="AX48" s="80">
        <f t="shared" si="71"/>
        <v>0</v>
      </c>
      <c r="AY48" s="80">
        <f t="shared" si="72"/>
        <v>0</v>
      </c>
      <c r="AZ48" s="80">
        <f t="shared" si="73"/>
        <v>0</v>
      </c>
      <c r="BA48" s="78">
        <f t="shared" si="99"/>
        <v>0</v>
      </c>
      <c r="BB48" s="78">
        <f t="shared" si="74"/>
        <v>0</v>
      </c>
      <c r="BC48" s="79">
        <v>0</v>
      </c>
      <c r="BD48" s="78">
        <f t="shared" si="100"/>
        <v>0</v>
      </c>
      <c r="BE48" s="79">
        <f t="shared" si="75"/>
        <v>0</v>
      </c>
      <c r="BF48" s="78">
        <f t="shared" si="49"/>
        <v>0</v>
      </c>
      <c r="BG48" s="78">
        <f t="shared" si="76"/>
        <v>0</v>
      </c>
      <c r="BH48" s="78">
        <f t="shared" si="77"/>
        <v>0</v>
      </c>
      <c r="BI48" s="78">
        <f t="shared" si="78"/>
        <v>0</v>
      </c>
      <c r="BJ48" s="80">
        <f t="shared" si="101"/>
        <v>0</v>
      </c>
      <c r="BK48" s="80">
        <f t="shared" si="102"/>
        <v>0</v>
      </c>
      <c r="BL48" s="78"/>
      <c r="BM48" s="78"/>
      <c r="BN48" s="80">
        <f t="shared" si="103"/>
        <v>0</v>
      </c>
      <c r="BO48" s="74">
        <f t="shared" si="79"/>
        <v>0</v>
      </c>
      <c r="BP48" s="74">
        <f t="shared" si="80"/>
        <v>1</v>
      </c>
      <c r="BQ48" s="74">
        <f t="shared" si="81"/>
        <v>0</v>
      </c>
      <c r="BR48" s="74">
        <f t="shared" si="82"/>
        <v>0</v>
      </c>
      <c r="BS48" s="74">
        <f t="shared" si="50"/>
        <v>0</v>
      </c>
      <c r="BT48" s="74">
        <f t="shared" si="104"/>
        <v>1</v>
      </c>
      <c r="BU48" s="60">
        <f t="shared" si="83"/>
        <v>0</v>
      </c>
      <c r="BV48" s="81">
        <f t="shared" si="105"/>
        <v>1</v>
      </c>
      <c r="BW48" s="60">
        <f t="shared" si="52"/>
        <v>0</v>
      </c>
      <c r="BX48" s="60">
        <f t="shared" si="53"/>
        <v>0</v>
      </c>
      <c r="BY48" s="49" t="str">
        <f t="shared" si="84"/>
        <v/>
      </c>
      <c r="BZ48" s="82" t="str">
        <f t="shared" si="54"/>
        <v/>
      </c>
      <c r="CA48" s="49" t="str">
        <f t="shared" si="55"/>
        <v/>
      </c>
      <c r="CB48" s="49" t="str">
        <f t="shared" si="56"/>
        <v/>
      </c>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0" t="str">
        <f>IF(ISNA(VLOOKUP(A49,Master!AR$60:BD$107,3,FALSE)),"",VLOOKUP(A49,Master!AR$60:BD$107,3,FALSE))</f>
        <v/>
      </c>
      <c r="C49" s="411" t="str">
        <f>IF(ISNA(VLOOKUP(A49,Master!AR$60:BD$107,7,FALSE)),"",VLOOKUP(A49,Master!AR$60:BD$107,7,FALSE))</f>
        <v/>
      </c>
      <c r="D49" s="412" t="str">
        <f>IF(ISNA(VLOOKUP(A49,Master!AR$60:BD$107,8,FALSE)),"",VLOOKUP(A49,Master!AR$60:BD$107,8,FALSE))</f>
        <v/>
      </c>
      <c r="E49" s="417" t="str">
        <f>IF(ISNA(VLOOKUP(A49,Master!AR$60:BD$107,4,FALSE)),"",VLOOKUP(A49,Master!AR$60:BD$107,4,FALSE))</f>
        <v/>
      </c>
      <c r="F49" s="124" t="str">
        <f>IF(ISNA(VLOOKUP(A49,Master!AR$60:BD$107,5,FALSE)),"",VLOOKUP(A49,Master!AR$60:BD$107,5,FALSE))</f>
        <v/>
      </c>
      <c r="G49" s="415" t="str">
        <f>IF(ISNA(VLOOKUP(A49,Master!AR$60:BD$107,6,FALSE)),"",VLOOKUP(A49,Master!AR$60:BD$107,6,FALSE))</f>
        <v/>
      </c>
      <c r="H49" s="415" t="str">
        <f t="shared" si="85"/>
        <v/>
      </c>
      <c r="I49" s="416" t="str">
        <f t="shared" ca="1" si="86"/>
        <v/>
      </c>
      <c r="J49" s="415" t="str">
        <f t="shared" si="87"/>
        <v/>
      </c>
      <c r="K49" s="415" t="str">
        <f t="shared" si="88"/>
        <v/>
      </c>
      <c r="L49" s="415" t="str">
        <f t="shared" si="89"/>
        <v/>
      </c>
      <c r="M49" s="415" t="str">
        <f>IF(ISNA(VLOOKUP(A49,Master!AR$60:BD$107,12,FALSE)),"",VLOOKUP(A49,Master!AR$60:BD$107,12,FALSE))</f>
        <v/>
      </c>
      <c r="N49" s="163"/>
      <c r="O49" s="163"/>
      <c r="P49" s="163"/>
      <c r="Q49" s="163">
        <f t="shared" si="90"/>
        <v>0</v>
      </c>
      <c r="R49" s="52">
        <f t="shared" si="106"/>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8"/>
        <v>0</v>
      </c>
      <c r="Y49" s="79">
        <f t="shared" si="59"/>
        <v>0</v>
      </c>
      <c r="Z49" s="79">
        <f t="shared" si="60"/>
        <v>0</v>
      </c>
      <c r="AA49" s="79">
        <f t="shared" si="61"/>
        <v>0</v>
      </c>
      <c r="AB49" s="79">
        <f t="shared" si="62"/>
        <v>0</v>
      </c>
      <c r="AC49" s="79">
        <f t="shared" si="63"/>
        <v>0</v>
      </c>
      <c r="AD49" s="80" t="str">
        <f t="shared" si="91"/>
        <v/>
      </c>
      <c r="AE49" s="80" t="str">
        <f t="shared" si="92"/>
        <v/>
      </c>
      <c r="AF49" s="80" t="str">
        <f t="shared" si="93"/>
        <v/>
      </c>
      <c r="AG49" s="80" t="str">
        <f t="shared" si="94"/>
        <v/>
      </c>
      <c r="AH49" s="80" t="str">
        <f t="shared" si="95"/>
        <v/>
      </c>
      <c r="AI49" s="78" t="str">
        <f t="shared" si="96"/>
        <v/>
      </c>
      <c r="AJ49" s="78">
        <v>0</v>
      </c>
      <c r="AK49" s="79">
        <v>0</v>
      </c>
      <c r="AL49" s="78" t="str">
        <f t="shared" si="97"/>
        <v/>
      </c>
      <c r="AM49" s="79">
        <f t="shared" si="64"/>
        <v>0</v>
      </c>
      <c r="AN49" s="78">
        <f t="shared" si="48"/>
        <v>0</v>
      </c>
      <c r="AO49" s="78">
        <f t="shared" si="65"/>
        <v>0</v>
      </c>
      <c r="AP49" s="78">
        <f t="shared" si="66"/>
        <v>0</v>
      </c>
      <c r="AQ49" s="78">
        <f t="shared" si="67"/>
        <v>0</v>
      </c>
      <c r="AR49" s="80">
        <f t="shared" si="68"/>
        <v>0</v>
      </c>
      <c r="AS49" s="80">
        <f t="shared" si="69"/>
        <v>0</v>
      </c>
      <c r="AT49" s="78"/>
      <c r="AU49" s="78"/>
      <c r="AV49" s="80">
        <f t="shared" si="98"/>
        <v>0</v>
      </c>
      <c r="AW49" s="80">
        <f t="shared" si="70"/>
        <v>0</v>
      </c>
      <c r="AX49" s="80">
        <f t="shared" si="71"/>
        <v>0</v>
      </c>
      <c r="AY49" s="80">
        <f t="shared" si="72"/>
        <v>0</v>
      </c>
      <c r="AZ49" s="80">
        <f t="shared" si="73"/>
        <v>0</v>
      </c>
      <c r="BA49" s="78">
        <f t="shared" si="99"/>
        <v>0</v>
      </c>
      <c r="BB49" s="78">
        <f t="shared" si="74"/>
        <v>0</v>
      </c>
      <c r="BC49" s="79">
        <v>0</v>
      </c>
      <c r="BD49" s="78">
        <f t="shared" si="100"/>
        <v>0</v>
      </c>
      <c r="BE49" s="79">
        <f t="shared" si="75"/>
        <v>0</v>
      </c>
      <c r="BF49" s="78">
        <f t="shared" si="49"/>
        <v>0</v>
      </c>
      <c r="BG49" s="78">
        <f t="shared" si="76"/>
        <v>0</v>
      </c>
      <c r="BH49" s="78">
        <f t="shared" si="77"/>
        <v>0</v>
      </c>
      <c r="BI49" s="78">
        <f t="shared" si="78"/>
        <v>0</v>
      </c>
      <c r="BJ49" s="80">
        <f t="shared" si="101"/>
        <v>0</v>
      </c>
      <c r="BK49" s="80">
        <f t="shared" si="102"/>
        <v>0</v>
      </c>
      <c r="BL49" s="78"/>
      <c r="BM49" s="78"/>
      <c r="BN49" s="80">
        <f t="shared" si="103"/>
        <v>0</v>
      </c>
      <c r="BO49" s="74">
        <f t="shared" si="79"/>
        <v>0</v>
      </c>
      <c r="BP49" s="74">
        <f t="shared" si="80"/>
        <v>1</v>
      </c>
      <c r="BQ49" s="74">
        <f t="shared" si="81"/>
        <v>0</v>
      </c>
      <c r="BR49" s="74">
        <f t="shared" si="82"/>
        <v>0</v>
      </c>
      <c r="BS49" s="74">
        <f t="shared" si="50"/>
        <v>0</v>
      </c>
      <c r="BT49" s="74">
        <f t="shared" si="104"/>
        <v>1</v>
      </c>
      <c r="BU49" s="60">
        <f t="shared" si="83"/>
        <v>0</v>
      </c>
      <c r="BV49" s="81">
        <f t="shared" si="105"/>
        <v>1</v>
      </c>
      <c r="BW49" s="60">
        <f t="shared" si="52"/>
        <v>0</v>
      </c>
      <c r="BX49" s="60">
        <f t="shared" si="53"/>
        <v>0</v>
      </c>
      <c r="BY49" s="49" t="str">
        <f t="shared" si="84"/>
        <v/>
      </c>
      <c r="BZ49" s="82" t="str">
        <f t="shared" si="54"/>
        <v/>
      </c>
      <c r="CA49" s="49" t="str">
        <f t="shared" si="55"/>
        <v/>
      </c>
      <c r="CB49" s="49" t="str">
        <f t="shared" si="56"/>
        <v/>
      </c>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0" t="str">
        <f>IF(ISNA(VLOOKUP(A50,Master!AR$60:BD$107,3,FALSE)),"",VLOOKUP(A50,Master!AR$60:BD$107,3,FALSE))</f>
        <v/>
      </c>
      <c r="C50" s="411" t="str">
        <f>IF(ISNA(VLOOKUP(A50,Master!AR$60:BD$107,7,FALSE)),"",VLOOKUP(A50,Master!AR$60:BD$107,7,FALSE))</f>
        <v/>
      </c>
      <c r="D50" s="412" t="str">
        <f>IF(ISNA(VLOOKUP(A50,Master!AR$60:BD$107,8,FALSE)),"",VLOOKUP(A50,Master!AR$60:BD$107,8,FALSE))</f>
        <v/>
      </c>
      <c r="E50" s="417" t="str">
        <f>IF(ISNA(VLOOKUP(A50,Master!AR$60:BD$107,4,FALSE)),"",VLOOKUP(A50,Master!AR$60:BD$107,4,FALSE))</f>
        <v/>
      </c>
      <c r="F50" s="124" t="str">
        <f>IF(ISNA(VLOOKUP(A50,Master!AR$60:BD$107,5,FALSE)),"",VLOOKUP(A50,Master!AR$60:BD$107,5,FALSE))</f>
        <v/>
      </c>
      <c r="G50" s="415" t="str">
        <f>IF(ISNA(VLOOKUP(A50,Master!AR$60:BD$107,6,FALSE)),"",VLOOKUP(A50,Master!AR$60:BD$107,6,FALSE))</f>
        <v/>
      </c>
      <c r="H50" s="415" t="str">
        <f t="shared" si="85"/>
        <v/>
      </c>
      <c r="I50" s="416" t="str">
        <f t="shared" ca="1" si="86"/>
        <v/>
      </c>
      <c r="J50" s="415" t="str">
        <f t="shared" si="87"/>
        <v/>
      </c>
      <c r="K50" s="415" t="str">
        <f t="shared" si="88"/>
        <v/>
      </c>
      <c r="L50" s="415" t="str">
        <f t="shared" si="89"/>
        <v/>
      </c>
      <c r="M50" s="415" t="str">
        <f>IF(ISNA(VLOOKUP(A50,Master!AR$60:BD$107,12,FALSE)),"",VLOOKUP(A50,Master!AR$60:BD$107,12,FALSE))</f>
        <v/>
      </c>
      <c r="N50" s="163"/>
      <c r="O50" s="163"/>
      <c r="P50" s="163"/>
      <c r="Q50" s="163">
        <f t="shared" si="90"/>
        <v>0</v>
      </c>
      <c r="R50" s="52">
        <f t="shared" si="106"/>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8"/>
        <v>0</v>
      </c>
      <c r="Y50" s="79">
        <f t="shared" si="59"/>
        <v>0</v>
      </c>
      <c r="Z50" s="79">
        <f t="shared" si="60"/>
        <v>0</v>
      </c>
      <c r="AA50" s="79">
        <f t="shared" si="61"/>
        <v>0</v>
      </c>
      <c r="AB50" s="79">
        <f t="shared" si="62"/>
        <v>0</v>
      </c>
      <c r="AC50" s="79">
        <f t="shared" si="63"/>
        <v>0</v>
      </c>
      <c r="AD50" s="80" t="str">
        <f t="shared" si="91"/>
        <v/>
      </c>
      <c r="AE50" s="80" t="str">
        <f t="shared" si="92"/>
        <v/>
      </c>
      <c r="AF50" s="80" t="str">
        <f t="shared" si="93"/>
        <v/>
      </c>
      <c r="AG50" s="80" t="str">
        <f t="shared" si="94"/>
        <v/>
      </c>
      <c r="AH50" s="80" t="str">
        <f t="shared" si="95"/>
        <v/>
      </c>
      <c r="AI50" s="78" t="str">
        <f t="shared" si="96"/>
        <v/>
      </c>
      <c r="AJ50" s="78">
        <v>0</v>
      </c>
      <c r="AK50" s="79">
        <v>0</v>
      </c>
      <c r="AL50" s="78" t="str">
        <f t="shared" si="97"/>
        <v/>
      </c>
      <c r="AM50" s="79">
        <f t="shared" si="64"/>
        <v>0</v>
      </c>
      <c r="AN50" s="78">
        <f t="shared" si="48"/>
        <v>0</v>
      </c>
      <c r="AO50" s="78">
        <f t="shared" si="65"/>
        <v>0</v>
      </c>
      <c r="AP50" s="78">
        <f t="shared" si="66"/>
        <v>0</v>
      </c>
      <c r="AQ50" s="78">
        <f t="shared" si="67"/>
        <v>0</v>
      </c>
      <c r="AR50" s="80">
        <f t="shared" si="68"/>
        <v>0</v>
      </c>
      <c r="AS50" s="80">
        <f t="shared" si="69"/>
        <v>0</v>
      </c>
      <c r="AT50" s="78"/>
      <c r="AU50" s="78"/>
      <c r="AV50" s="80">
        <f t="shared" si="98"/>
        <v>0</v>
      </c>
      <c r="AW50" s="80">
        <f t="shared" si="70"/>
        <v>0</v>
      </c>
      <c r="AX50" s="80">
        <f t="shared" si="71"/>
        <v>0</v>
      </c>
      <c r="AY50" s="80">
        <f t="shared" si="72"/>
        <v>0</v>
      </c>
      <c r="AZ50" s="80">
        <f t="shared" si="73"/>
        <v>0</v>
      </c>
      <c r="BA50" s="78">
        <f t="shared" si="99"/>
        <v>0</v>
      </c>
      <c r="BB50" s="78">
        <f t="shared" si="74"/>
        <v>0</v>
      </c>
      <c r="BC50" s="79">
        <v>0</v>
      </c>
      <c r="BD50" s="78">
        <f t="shared" si="100"/>
        <v>0</v>
      </c>
      <c r="BE50" s="79">
        <f t="shared" si="75"/>
        <v>0</v>
      </c>
      <c r="BF50" s="78">
        <f t="shared" si="49"/>
        <v>0</v>
      </c>
      <c r="BG50" s="78">
        <f t="shared" si="76"/>
        <v>0</v>
      </c>
      <c r="BH50" s="78">
        <f t="shared" si="77"/>
        <v>0</v>
      </c>
      <c r="BI50" s="78">
        <f t="shared" si="78"/>
        <v>0</v>
      </c>
      <c r="BJ50" s="80">
        <f t="shared" si="101"/>
        <v>0</v>
      </c>
      <c r="BK50" s="80">
        <f t="shared" si="102"/>
        <v>0</v>
      </c>
      <c r="BL50" s="78"/>
      <c r="BM50" s="78"/>
      <c r="BN50" s="80">
        <f t="shared" si="103"/>
        <v>0</v>
      </c>
      <c r="BO50" s="74">
        <f t="shared" si="79"/>
        <v>0</v>
      </c>
      <c r="BP50" s="74">
        <f t="shared" si="80"/>
        <v>1</v>
      </c>
      <c r="BQ50" s="74">
        <f t="shared" si="81"/>
        <v>0</v>
      </c>
      <c r="BR50" s="74">
        <f t="shared" si="82"/>
        <v>0</v>
      </c>
      <c r="BS50" s="74">
        <f t="shared" si="50"/>
        <v>0</v>
      </c>
      <c r="BT50" s="74">
        <f t="shared" si="104"/>
        <v>1</v>
      </c>
      <c r="BU50" s="60">
        <f t="shared" si="83"/>
        <v>0</v>
      </c>
      <c r="BV50" s="81">
        <f t="shared" si="105"/>
        <v>1</v>
      </c>
      <c r="BW50" s="60">
        <f t="shared" si="52"/>
        <v>0</v>
      </c>
      <c r="BX50" s="60">
        <f t="shared" si="53"/>
        <v>0</v>
      </c>
      <c r="BY50" s="49" t="str">
        <f t="shared" si="84"/>
        <v/>
      </c>
      <c r="BZ50" s="82" t="str">
        <f t="shared" si="54"/>
        <v/>
      </c>
      <c r="CA50" s="49" t="str">
        <f t="shared" si="55"/>
        <v/>
      </c>
      <c r="CB50" s="49" t="str">
        <f t="shared" si="56"/>
        <v/>
      </c>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0" t="str">
        <f>IF(ISNA(VLOOKUP(A51,Master!AR$60:BD$107,3,FALSE)),"",VLOOKUP(A51,Master!AR$60:BD$107,3,FALSE))</f>
        <v/>
      </c>
      <c r="C51" s="411" t="str">
        <f>IF(ISNA(VLOOKUP(A51,Master!AR$60:BD$107,7,FALSE)),"",VLOOKUP(A51,Master!AR$60:BD$107,7,FALSE))</f>
        <v/>
      </c>
      <c r="D51" s="412" t="str">
        <f>IF(ISNA(VLOOKUP(A51,Master!AR$60:BD$107,8,FALSE)),"",VLOOKUP(A51,Master!AR$60:BD$107,8,FALSE))</f>
        <v/>
      </c>
      <c r="E51" s="417" t="str">
        <f>IF(ISNA(VLOOKUP(A51,Master!AR$60:BD$107,4,FALSE)),"",VLOOKUP(A51,Master!AR$60:BD$107,4,FALSE))</f>
        <v/>
      </c>
      <c r="F51" s="124" t="str">
        <f>IF(ISNA(VLOOKUP(A51,Master!AR$60:BD$107,5,FALSE)),"",VLOOKUP(A51,Master!AR$60:BD$107,5,FALSE))</f>
        <v/>
      </c>
      <c r="G51" s="415" t="str">
        <f>IF(ISNA(VLOOKUP(A51,Master!AR$60:BD$107,6,FALSE)),"",VLOOKUP(A51,Master!AR$60:BD$107,6,FALSE))</f>
        <v/>
      </c>
      <c r="H51" s="415" t="str">
        <f t="shared" si="85"/>
        <v/>
      </c>
      <c r="I51" s="416" t="str">
        <f t="shared" ca="1" si="86"/>
        <v/>
      </c>
      <c r="J51" s="415" t="str">
        <f t="shared" si="87"/>
        <v/>
      </c>
      <c r="K51" s="415" t="str">
        <f t="shared" si="88"/>
        <v/>
      </c>
      <c r="L51" s="415" t="str">
        <f t="shared" si="89"/>
        <v/>
      </c>
      <c r="M51" s="415" t="str">
        <f>IF(ISNA(VLOOKUP(A51,Master!AR$60:BD$107,12,FALSE)),"",VLOOKUP(A51,Master!AR$60:BD$107,12,FALSE))</f>
        <v/>
      </c>
      <c r="N51" s="163"/>
      <c r="O51" s="163"/>
      <c r="P51" s="163"/>
      <c r="Q51" s="163">
        <f t="shared" si="90"/>
        <v>0</v>
      </c>
      <c r="R51" s="52">
        <f t="shared" si="106"/>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8"/>
        <v>0</v>
      </c>
      <c r="Y51" s="79">
        <f t="shared" si="59"/>
        <v>0</v>
      </c>
      <c r="Z51" s="79">
        <f t="shared" si="60"/>
        <v>0</v>
      </c>
      <c r="AA51" s="79">
        <f t="shared" si="61"/>
        <v>0</v>
      </c>
      <c r="AB51" s="79">
        <f t="shared" si="62"/>
        <v>0</v>
      </c>
      <c r="AC51" s="79">
        <f t="shared" si="63"/>
        <v>0</v>
      </c>
      <c r="AD51" s="80" t="str">
        <f t="shared" si="91"/>
        <v/>
      </c>
      <c r="AE51" s="80" t="str">
        <f t="shared" si="92"/>
        <v/>
      </c>
      <c r="AF51" s="80" t="str">
        <f t="shared" si="93"/>
        <v/>
      </c>
      <c r="AG51" s="80" t="str">
        <f t="shared" si="94"/>
        <v/>
      </c>
      <c r="AH51" s="80" t="str">
        <f t="shared" si="95"/>
        <v/>
      </c>
      <c r="AI51" s="78" t="str">
        <f t="shared" si="96"/>
        <v/>
      </c>
      <c r="AJ51" s="78">
        <v>0</v>
      </c>
      <c r="AK51" s="79">
        <v>0</v>
      </c>
      <c r="AL51" s="78" t="str">
        <f t="shared" si="97"/>
        <v/>
      </c>
      <c r="AM51" s="79">
        <f t="shared" si="64"/>
        <v>0</v>
      </c>
      <c r="AN51" s="78">
        <f t="shared" si="48"/>
        <v>0</v>
      </c>
      <c r="AO51" s="78">
        <f t="shared" si="65"/>
        <v>0</v>
      </c>
      <c r="AP51" s="78">
        <f t="shared" si="66"/>
        <v>0</v>
      </c>
      <c r="AQ51" s="78">
        <f t="shared" si="67"/>
        <v>0</v>
      </c>
      <c r="AR51" s="80">
        <f t="shared" si="68"/>
        <v>0</v>
      </c>
      <c r="AS51" s="80">
        <f t="shared" si="69"/>
        <v>0</v>
      </c>
      <c r="AT51" s="78"/>
      <c r="AU51" s="78"/>
      <c r="AV51" s="80">
        <f t="shared" si="98"/>
        <v>0</v>
      </c>
      <c r="AW51" s="80">
        <f t="shared" si="70"/>
        <v>0</v>
      </c>
      <c r="AX51" s="80">
        <f t="shared" si="71"/>
        <v>0</v>
      </c>
      <c r="AY51" s="80">
        <f t="shared" si="72"/>
        <v>0</v>
      </c>
      <c r="AZ51" s="80">
        <f t="shared" si="73"/>
        <v>0</v>
      </c>
      <c r="BA51" s="78">
        <f t="shared" si="99"/>
        <v>0</v>
      </c>
      <c r="BB51" s="78">
        <f t="shared" si="74"/>
        <v>0</v>
      </c>
      <c r="BC51" s="79">
        <v>0</v>
      </c>
      <c r="BD51" s="78">
        <f t="shared" si="100"/>
        <v>0</v>
      </c>
      <c r="BE51" s="79">
        <f t="shared" si="75"/>
        <v>0</v>
      </c>
      <c r="BF51" s="78">
        <f t="shared" si="49"/>
        <v>0</v>
      </c>
      <c r="BG51" s="78">
        <f t="shared" si="76"/>
        <v>0</v>
      </c>
      <c r="BH51" s="78">
        <f t="shared" si="77"/>
        <v>0</v>
      </c>
      <c r="BI51" s="78">
        <f t="shared" si="78"/>
        <v>0</v>
      </c>
      <c r="BJ51" s="80">
        <f t="shared" si="101"/>
        <v>0</v>
      </c>
      <c r="BK51" s="80">
        <f t="shared" si="102"/>
        <v>0</v>
      </c>
      <c r="BL51" s="78"/>
      <c r="BM51" s="78"/>
      <c r="BN51" s="80">
        <f t="shared" si="103"/>
        <v>0</v>
      </c>
      <c r="BO51" s="74">
        <f t="shared" si="79"/>
        <v>0</v>
      </c>
      <c r="BP51" s="74">
        <f t="shared" si="80"/>
        <v>1</v>
      </c>
      <c r="BQ51" s="74">
        <f t="shared" si="81"/>
        <v>0</v>
      </c>
      <c r="BR51" s="74">
        <f t="shared" si="82"/>
        <v>0</v>
      </c>
      <c r="BS51" s="74">
        <f t="shared" si="50"/>
        <v>0</v>
      </c>
      <c r="BT51" s="74">
        <f t="shared" si="104"/>
        <v>1</v>
      </c>
      <c r="BU51" s="60">
        <f t="shared" si="83"/>
        <v>0</v>
      </c>
      <c r="BV51" s="81">
        <f t="shared" si="105"/>
        <v>1</v>
      </c>
      <c r="BW51" s="60">
        <f t="shared" si="52"/>
        <v>0</v>
      </c>
      <c r="BX51" s="60">
        <f t="shared" si="53"/>
        <v>0</v>
      </c>
      <c r="BY51" s="49" t="str">
        <f t="shared" si="84"/>
        <v/>
      </c>
      <c r="BZ51" s="82" t="str">
        <f t="shared" si="54"/>
        <v/>
      </c>
      <c r="CA51" s="49" t="str">
        <f t="shared" si="55"/>
        <v/>
      </c>
      <c r="CB51" s="49" t="str">
        <f t="shared" si="56"/>
        <v/>
      </c>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0" t="str">
        <f>IF(ISNA(VLOOKUP(A52,Master!AR$60:BD$107,3,FALSE)),"",VLOOKUP(A52,Master!AR$60:BD$107,3,FALSE))</f>
        <v/>
      </c>
      <c r="C52" s="411" t="str">
        <f>IF(ISNA(VLOOKUP(A52,Master!AR$60:BD$107,7,FALSE)),"",VLOOKUP(A52,Master!AR$60:BD$107,7,FALSE))</f>
        <v/>
      </c>
      <c r="D52" s="412" t="str">
        <f>IF(ISNA(VLOOKUP(A52,Master!AR$60:BD$107,8,FALSE)),"",VLOOKUP(A52,Master!AR$60:BD$107,8,FALSE))</f>
        <v/>
      </c>
      <c r="E52" s="417" t="str">
        <f>IF(ISNA(VLOOKUP(A52,Master!AR$60:BD$107,4,FALSE)),"",VLOOKUP(A52,Master!AR$60:BD$107,4,FALSE))</f>
        <v/>
      </c>
      <c r="F52" s="124" t="str">
        <f>IF(ISNA(VLOOKUP(A52,Master!AR$60:BD$107,5,FALSE)),"",VLOOKUP(A52,Master!AR$60:BD$107,5,FALSE))</f>
        <v/>
      </c>
      <c r="G52" s="415" t="str">
        <f>IF(ISNA(VLOOKUP(A52,Master!AR$60:BD$107,6,FALSE)),"",VLOOKUP(A52,Master!AR$60:BD$107,6,FALSE))</f>
        <v/>
      </c>
      <c r="H52" s="415" t="str">
        <f t="shared" si="85"/>
        <v/>
      </c>
      <c r="I52" s="416" t="str">
        <f t="shared" ca="1" si="86"/>
        <v/>
      </c>
      <c r="J52" s="415" t="str">
        <f t="shared" si="87"/>
        <v/>
      </c>
      <c r="K52" s="415" t="str">
        <f t="shared" si="88"/>
        <v/>
      </c>
      <c r="L52" s="415" t="str">
        <f t="shared" si="89"/>
        <v/>
      </c>
      <c r="M52" s="415" t="str">
        <f>IF(ISNA(VLOOKUP(A52,Master!AR$60:BD$107,12,FALSE)),"",VLOOKUP(A52,Master!AR$60:BD$107,12,FALSE))</f>
        <v/>
      </c>
      <c r="N52" s="163"/>
      <c r="O52" s="163"/>
      <c r="P52" s="163"/>
      <c r="Q52" s="163">
        <f t="shared" si="90"/>
        <v>0</v>
      </c>
      <c r="R52" s="52">
        <f t="shared" si="106"/>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8"/>
        <v>0</v>
      </c>
      <c r="Y52" s="79">
        <f t="shared" si="59"/>
        <v>0</v>
      </c>
      <c r="Z52" s="79">
        <f t="shared" si="60"/>
        <v>0</v>
      </c>
      <c r="AA52" s="79">
        <f t="shared" si="61"/>
        <v>0</v>
      </c>
      <c r="AB52" s="79">
        <f t="shared" si="62"/>
        <v>0</v>
      </c>
      <c r="AC52" s="79">
        <f t="shared" si="63"/>
        <v>0</v>
      </c>
      <c r="AD52" s="80" t="str">
        <f t="shared" si="91"/>
        <v/>
      </c>
      <c r="AE52" s="80" t="str">
        <f t="shared" si="92"/>
        <v/>
      </c>
      <c r="AF52" s="80" t="str">
        <f t="shared" si="93"/>
        <v/>
      </c>
      <c r="AG52" s="80" t="str">
        <f t="shared" si="94"/>
        <v/>
      </c>
      <c r="AH52" s="80" t="str">
        <f t="shared" si="95"/>
        <v/>
      </c>
      <c r="AI52" s="78" t="str">
        <f t="shared" si="96"/>
        <v/>
      </c>
      <c r="AJ52" s="78">
        <v>0</v>
      </c>
      <c r="AK52" s="79">
        <v>0</v>
      </c>
      <c r="AL52" s="78" t="str">
        <f t="shared" si="97"/>
        <v/>
      </c>
      <c r="AM52" s="79">
        <f t="shared" si="64"/>
        <v>0</v>
      </c>
      <c r="AN52" s="78">
        <f t="shared" si="48"/>
        <v>0</v>
      </c>
      <c r="AO52" s="78">
        <f t="shared" si="65"/>
        <v>0</v>
      </c>
      <c r="AP52" s="78">
        <f t="shared" si="66"/>
        <v>0</v>
      </c>
      <c r="AQ52" s="78">
        <f t="shared" si="67"/>
        <v>0</v>
      </c>
      <c r="AR52" s="80">
        <f t="shared" si="68"/>
        <v>0</v>
      </c>
      <c r="AS52" s="80">
        <f t="shared" si="69"/>
        <v>0</v>
      </c>
      <c r="AT52" s="78"/>
      <c r="AU52" s="78"/>
      <c r="AV52" s="80">
        <f t="shared" si="98"/>
        <v>0</v>
      </c>
      <c r="AW52" s="80">
        <f t="shared" si="70"/>
        <v>0</v>
      </c>
      <c r="AX52" s="80">
        <f t="shared" si="71"/>
        <v>0</v>
      </c>
      <c r="AY52" s="80">
        <f t="shared" si="72"/>
        <v>0</v>
      </c>
      <c r="AZ52" s="80">
        <f t="shared" si="73"/>
        <v>0</v>
      </c>
      <c r="BA52" s="78">
        <f t="shared" si="99"/>
        <v>0</v>
      </c>
      <c r="BB52" s="78">
        <f t="shared" si="74"/>
        <v>0</v>
      </c>
      <c r="BC52" s="79">
        <v>0</v>
      </c>
      <c r="BD52" s="78">
        <f t="shared" si="100"/>
        <v>0</v>
      </c>
      <c r="BE52" s="79">
        <f t="shared" si="75"/>
        <v>0</v>
      </c>
      <c r="BF52" s="78">
        <f t="shared" si="49"/>
        <v>0</v>
      </c>
      <c r="BG52" s="78">
        <f t="shared" si="76"/>
        <v>0</v>
      </c>
      <c r="BH52" s="78">
        <f t="shared" si="77"/>
        <v>0</v>
      </c>
      <c r="BI52" s="78">
        <f t="shared" si="78"/>
        <v>0</v>
      </c>
      <c r="BJ52" s="80">
        <f t="shared" si="101"/>
        <v>0</v>
      </c>
      <c r="BK52" s="80">
        <f t="shared" si="102"/>
        <v>0</v>
      </c>
      <c r="BL52" s="78"/>
      <c r="BM52" s="78"/>
      <c r="BN52" s="80">
        <f t="shared" si="103"/>
        <v>0</v>
      </c>
      <c r="BO52" s="74">
        <f t="shared" si="79"/>
        <v>0</v>
      </c>
      <c r="BP52" s="74">
        <f t="shared" si="80"/>
        <v>1</v>
      </c>
      <c r="BQ52" s="74">
        <f t="shared" si="81"/>
        <v>0</v>
      </c>
      <c r="BR52" s="74">
        <f t="shared" si="82"/>
        <v>0</v>
      </c>
      <c r="BS52" s="74">
        <f t="shared" si="50"/>
        <v>0</v>
      </c>
      <c r="BT52" s="74">
        <f t="shared" si="104"/>
        <v>1</v>
      </c>
      <c r="BU52" s="60">
        <f t="shared" si="83"/>
        <v>0</v>
      </c>
      <c r="BV52" s="81">
        <f t="shared" si="105"/>
        <v>1</v>
      </c>
      <c r="BW52" s="60">
        <f t="shared" si="52"/>
        <v>0</v>
      </c>
      <c r="BX52" s="60">
        <f t="shared" si="53"/>
        <v>0</v>
      </c>
      <c r="BY52" s="49" t="str">
        <f t="shared" si="84"/>
        <v/>
      </c>
      <c r="BZ52" s="82" t="str">
        <f t="shared" si="54"/>
        <v/>
      </c>
      <c r="CA52" s="49" t="str">
        <f t="shared" si="55"/>
        <v/>
      </c>
      <c r="CB52" s="49" t="str">
        <f t="shared" si="56"/>
        <v/>
      </c>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0" t="str">
        <f>IF(ISNA(VLOOKUP(A53,Master!AR$60:BD$107,3,FALSE)),"",VLOOKUP(A53,Master!AR$60:BD$107,3,FALSE))</f>
        <v/>
      </c>
      <c r="C53" s="411" t="str">
        <f>IF(ISNA(VLOOKUP(A53,Master!AR$60:BD$107,7,FALSE)),"",VLOOKUP(A53,Master!AR$60:BD$107,7,FALSE))</f>
        <v/>
      </c>
      <c r="D53" s="412" t="str">
        <f>IF(ISNA(VLOOKUP(A53,Master!AR$60:BD$107,8,FALSE)),"",VLOOKUP(A53,Master!AR$60:BD$107,8,FALSE))</f>
        <v/>
      </c>
      <c r="E53" s="417" t="str">
        <f>IF(ISNA(VLOOKUP(A53,Master!AR$60:BD$107,4,FALSE)),"",VLOOKUP(A53,Master!AR$60:BD$107,4,FALSE))</f>
        <v/>
      </c>
      <c r="F53" s="124" t="str">
        <f>IF(ISNA(VLOOKUP(A53,Master!AR$60:BD$107,5,FALSE)),"",VLOOKUP(A53,Master!AR$60:BD$107,5,FALSE))</f>
        <v/>
      </c>
      <c r="G53" s="415" t="str">
        <f>IF(ISNA(VLOOKUP(A53,Master!AR$60:BD$107,6,FALSE)),"",VLOOKUP(A53,Master!AR$60:BD$107,6,FALSE))</f>
        <v/>
      </c>
      <c r="H53" s="415" t="str">
        <f t="shared" si="85"/>
        <v/>
      </c>
      <c r="I53" s="416" t="str">
        <f t="shared" ca="1" si="86"/>
        <v/>
      </c>
      <c r="J53" s="415" t="str">
        <f t="shared" si="87"/>
        <v/>
      </c>
      <c r="K53" s="415" t="str">
        <f t="shared" si="88"/>
        <v/>
      </c>
      <c r="L53" s="415" t="str">
        <f t="shared" si="89"/>
        <v/>
      </c>
      <c r="M53" s="415" t="str">
        <f>IF(ISNA(VLOOKUP(A53,Master!AR$60:BD$107,12,FALSE)),"",VLOOKUP(A53,Master!AR$60:BD$107,12,FALSE))</f>
        <v/>
      </c>
      <c r="N53" s="163"/>
      <c r="O53" s="163"/>
      <c r="P53" s="163"/>
      <c r="Q53" s="163">
        <f t="shared" si="90"/>
        <v>0</v>
      </c>
      <c r="R53" s="52">
        <f t="shared" si="106"/>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8"/>
        <v>0</v>
      </c>
      <c r="Y53" s="79">
        <f t="shared" si="59"/>
        <v>0</v>
      </c>
      <c r="Z53" s="79">
        <f t="shared" si="60"/>
        <v>0</v>
      </c>
      <c r="AA53" s="79">
        <f t="shared" si="61"/>
        <v>0</v>
      </c>
      <c r="AB53" s="79">
        <f t="shared" si="62"/>
        <v>0</v>
      </c>
      <c r="AC53" s="79">
        <f t="shared" si="63"/>
        <v>0</v>
      </c>
      <c r="AD53" s="80" t="str">
        <f t="shared" si="91"/>
        <v/>
      </c>
      <c r="AE53" s="80" t="str">
        <f t="shared" si="92"/>
        <v/>
      </c>
      <c r="AF53" s="80" t="str">
        <f t="shared" si="93"/>
        <v/>
      </c>
      <c r="AG53" s="80" t="str">
        <f t="shared" si="94"/>
        <v/>
      </c>
      <c r="AH53" s="80" t="str">
        <f t="shared" si="95"/>
        <v/>
      </c>
      <c r="AI53" s="78" t="str">
        <f t="shared" si="96"/>
        <v/>
      </c>
      <c r="AJ53" s="78">
        <v>0</v>
      </c>
      <c r="AK53" s="79">
        <v>0</v>
      </c>
      <c r="AL53" s="78" t="str">
        <f t="shared" si="97"/>
        <v/>
      </c>
      <c r="AM53" s="79">
        <f t="shared" si="64"/>
        <v>0</v>
      </c>
      <c r="AN53" s="78">
        <f t="shared" si="48"/>
        <v>0</v>
      </c>
      <c r="AO53" s="78">
        <f t="shared" si="65"/>
        <v>0</v>
      </c>
      <c r="AP53" s="78">
        <f t="shared" si="66"/>
        <v>0</v>
      </c>
      <c r="AQ53" s="78">
        <f t="shared" si="67"/>
        <v>0</v>
      </c>
      <c r="AR53" s="80">
        <f t="shared" si="68"/>
        <v>0</v>
      </c>
      <c r="AS53" s="80">
        <f t="shared" si="69"/>
        <v>0</v>
      </c>
      <c r="AT53" s="78"/>
      <c r="AU53" s="78"/>
      <c r="AV53" s="80">
        <f t="shared" si="98"/>
        <v>0</v>
      </c>
      <c r="AW53" s="80">
        <f t="shared" si="70"/>
        <v>0</v>
      </c>
      <c r="AX53" s="80">
        <f t="shared" si="71"/>
        <v>0</v>
      </c>
      <c r="AY53" s="80">
        <f t="shared" si="72"/>
        <v>0</v>
      </c>
      <c r="AZ53" s="80">
        <f t="shared" si="73"/>
        <v>0</v>
      </c>
      <c r="BA53" s="78">
        <f t="shared" si="99"/>
        <v>0</v>
      </c>
      <c r="BB53" s="78">
        <f t="shared" si="74"/>
        <v>0</v>
      </c>
      <c r="BC53" s="79">
        <v>0</v>
      </c>
      <c r="BD53" s="78">
        <f t="shared" si="100"/>
        <v>0</v>
      </c>
      <c r="BE53" s="79">
        <f t="shared" si="75"/>
        <v>0</v>
      </c>
      <c r="BF53" s="78">
        <f t="shared" si="49"/>
        <v>0</v>
      </c>
      <c r="BG53" s="78">
        <f t="shared" si="76"/>
        <v>0</v>
      </c>
      <c r="BH53" s="78">
        <f t="shared" si="77"/>
        <v>0</v>
      </c>
      <c r="BI53" s="78">
        <f t="shared" si="78"/>
        <v>0</v>
      </c>
      <c r="BJ53" s="80">
        <f t="shared" si="101"/>
        <v>0</v>
      </c>
      <c r="BK53" s="80">
        <f t="shared" si="102"/>
        <v>0</v>
      </c>
      <c r="BL53" s="78"/>
      <c r="BM53" s="78"/>
      <c r="BN53" s="80">
        <f t="shared" si="103"/>
        <v>0</v>
      </c>
      <c r="BO53" s="74">
        <f t="shared" si="79"/>
        <v>0</v>
      </c>
      <c r="BP53" s="74">
        <f t="shared" si="80"/>
        <v>1</v>
      </c>
      <c r="BQ53" s="74">
        <f t="shared" si="81"/>
        <v>0</v>
      </c>
      <c r="BR53" s="74">
        <f t="shared" si="82"/>
        <v>0</v>
      </c>
      <c r="BS53" s="74">
        <f t="shared" si="50"/>
        <v>0</v>
      </c>
      <c r="BT53" s="74">
        <f t="shared" si="104"/>
        <v>1</v>
      </c>
      <c r="BU53" s="60">
        <f t="shared" si="83"/>
        <v>0</v>
      </c>
      <c r="BV53" s="81">
        <f t="shared" si="105"/>
        <v>1</v>
      </c>
      <c r="BW53" s="60">
        <f t="shared" si="52"/>
        <v>0</v>
      </c>
      <c r="BX53" s="60">
        <f t="shared" si="53"/>
        <v>0</v>
      </c>
      <c r="BY53" s="49" t="str">
        <f t="shared" si="84"/>
        <v/>
      </c>
      <c r="BZ53" s="82" t="str">
        <f t="shared" si="54"/>
        <v/>
      </c>
      <c r="CA53" s="49" t="str">
        <f t="shared" si="55"/>
        <v/>
      </c>
      <c r="CB53" s="49" t="str">
        <f t="shared" si="56"/>
        <v/>
      </c>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0" t="str">
        <f>IF(ISNA(VLOOKUP(A54,Master!AR$60:BD$107,3,FALSE)),"",VLOOKUP(A54,Master!AR$60:BD$107,3,FALSE))</f>
        <v/>
      </c>
      <c r="C54" s="411" t="str">
        <f>IF(ISNA(VLOOKUP(A54,Master!AR$60:BD$107,7,FALSE)),"",VLOOKUP(A54,Master!AR$60:BD$107,7,FALSE))</f>
        <v/>
      </c>
      <c r="D54" s="412" t="str">
        <f>IF(ISNA(VLOOKUP(A54,Master!AR$60:BD$107,8,FALSE)),"",VLOOKUP(A54,Master!AR$60:BD$107,8,FALSE))</f>
        <v/>
      </c>
      <c r="E54" s="417" t="str">
        <f>IF(ISNA(VLOOKUP(A54,Master!AR$60:BD$107,4,FALSE)),"",VLOOKUP(A54,Master!AR$60:BD$107,4,FALSE))</f>
        <v/>
      </c>
      <c r="F54" s="124" t="str">
        <f>IF(ISNA(VLOOKUP(A54,Master!AR$60:BD$107,5,FALSE)),"",VLOOKUP(A54,Master!AR$60:BD$107,5,FALSE))</f>
        <v/>
      </c>
      <c r="G54" s="415" t="str">
        <f>IF(ISNA(VLOOKUP(A54,Master!AR$60:BD$107,6,FALSE)),"",VLOOKUP(A54,Master!AR$60:BD$107,6,FALSE))</f>
        <v/>
      </c>
      <c r="H54" s="415" t="str">
        <f t="shared" si="85"/>
        <v/>
      </c>
      <c r="I54" s="416" t="str">
        <f t="shared" ca="1" si="86"/>
        <v/>
      </c>
      <c r="J54" s="415" t="str">
        <f t="shared" si="87"/>
        <v/>
      </c>
      <c r="K54" s="415" t="str">
        <f t="shared" si="88"/>
        <v/>
      </c>
      <c r="L54" s="415" t="str">
        <f t="shared" si="89"/>
        <v/>
      </c>
      <c r="M54" s="415" t="str">
        <f>IF(ISNA(VLOOKUP(A54,Master!AR$60:BD$107,12,FALSE)),"",VLOOKUP(A54,Master!AR$60:BD$107,12,FALSE))</f>
        <v/>
      </c>
      <c r="N54" s="163"/>
      <c r="O54" s="163"/>
      <c r="P54" s="163"/>
      <c r="Q54" s="163">
        <f t="shared" si="90"/>
        <v>0</v>
      </c>
      <c r="R54" s="52">
        <f t="shared" si="106"/>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8"/>
        <v>0</v>
      </c>
      <c r="Y54" s="79">
        <f t="shared" si="59"/>
        <v>0</v>
      </c>
      <c r="Z54" s="79">
        <f t="shared" si="60"/>
        <v>0</v>
      </c>
      <c r="AA54" s="79">
        <f t="shared" si="61"/>
        <v>0</v>
      </c>
      <c r="AB54" s="79">
        <f t="shared" si="62"/>
        <v>0</v>
      </c>
      <c r="AC54" s="79">
        <f t="shared" si="63"/>
        <v>0</v>
      </c>
      <c r="AD54" s="80" t="str">
        <f t="shared" si="91"/>
        <v/>
      </c>
      <c r="AE54" s="80" t="str">
        <f t="shared" si="92"/>
        <v/>
      </c>
      <c r="AF54" s="80" t="str">
        <f t="shared" si="93"/>
        <v/>
      </c>
      <c r="AG54" s="80" t="str">
        <f t="shared" si="94"/>
        <v/>
      </c>
      <c r="AH54" s="80" t="str">
        <f t="shared" si="95"/>
        <v/>
      </c>
      <c r="AI54" s="78" t="str">
        <f t="shared" si="96"/>
        <v/>
      </c>
      <c r="AJ54" s="78">
        <v>0</v>
      </c>
      <c r="AK54" s="79">
        <v>0</v>
      </c>
      <c r="AL54" s="78" t="str">
        <f t="shared" si="97"/>
        <v/>
      </c>
      <c r="AM54" s="79">
        <f t="shared" si="64"/>
        <v>0</v>
      </c>
      <c r="AN54" s="78">
        <f t="shared" si="48"/>
        <v>0</v>
      </c>
      <c r="AO54" s="78">
        <f t="shared" si="65"/>
        <v>0</v>
      </c>
      <c r="AP54" s="78">
        <f t="shared" si="66"/>
        <v>0</v>
      </c>
      <c r="AQ54" s="78">
        <f t="shared" si="67"/>
        <v>0</v>
      </c>
      <c r="AR54" s="80">
        <f t="shared" si="68"/>
        <v>0</v>
      </c>
      <c r="AS54" s="80">
        <f t="shared" si="69"/>
        <v>0</v>
      </c>
      <c r="AT54" s="78"/>
      <c r="AU54" s="78"/>
      <c r="AV54" s="80">
        <f t="shared" si="98"/>
        <v>0</v>
      </c>
      <c r="AW54" s="80">
        <f t="shared" si="70"/>
        <v>0</v>
      </c>
      <c r="AX54" s="80">
        <f t="shared" si="71"/>
        <v>0</v>
      </c>
      <c r="AY54" s="80">
        <f t="shared" si="72"/>
        <v>0</v>
      </c>
      <c r="AZ54" s="80">
        <f t="shared" si="73"/>
        <v>0</v>
      </c>
      <c r="BA54" s="78">
        <f t="shared" si="99"/>
        <v>0</v>
      </c>
      <c r="BB54" s="78">
        <f t="shared" si="74"/>
        <v>0</v>
      </c>
      <c r="BC54" s="79">
        <v>0</v>
      </c>
      <c r="BD54" s="78">
        <f t="shared" si="100"/>
        <v>0</v>
      </c>
      <c r="BE54" s="79">
        <f t="shared" si="75"/>
        <v>0</v>
      </c>
      <c r="BF54" s="78">
        <f t="shared" si="49"/>
        <v>0</v>
      </c>
      <c r="BG54" s="78">
        <f t="shared" si="76"/>
        <v>0</v>
      </c>
      <c r="BH54" s="78">
        <f t="shared" si="77"/>
        <v>0</v>
      </c>
      <c r="BI54" s="78">
        <f t="shared" si="78"/>
        <v>0</v>
      </c>
      <c r="BJ54" s="80">
        <f t="shared" si="101"/>
        <v>0</v>
      </c>
      <c r="BK54" s="80">
        <f t="shared" si="102"/>
        <v>0</v>
      </c>
      <c r="BL54" s="78"/>
      <c r="BM54" s="78"/>
      <c r="BN54" s="80">
        <f t="shared" si="103"/>
        <v>0</v>
      </c>
      <c r="BO54" s="74">
        <f t="shared" si="79"/>
        <v>0</v>
      </c>
      <c r="BP54" s="74">
        <f t="shared" si="80"/>
        <v>1</v>
      </c>
      <c r="BQ54" s="74">
        <f t="shared" si="81"/>
        <v>0</v>
      </c>
      <c r="BR54" s="74">
        <f t="shared" si="82"/>
        <v>0</v>
      </c>
      <c r="BS54" s="74">
        <f t="shared" si="50"/>
        <v>0</v>
      </c>
      <c r="BT54" s="74">
        <f t="shared" si="104"/>
        <v>1</v>
      </c>
      <c r="BU54" s="60">
        <f t="shared" si="83"/>
        <v>0</v>
      </c>
      <c r="BV54" s="81">
        <f t="shared" si="105"/>
        <v>1</v>
      </c>
      <c r="BW54" s="60">
        <f t="shared" si="52"/>
        <v>0</v>
      </c>
      <c r="BX54" s="60">
        <f t="shared" si="53"/>
        <v>0</v>
      </c>
      <c r="BY54" s="49" t="str">
        <f t="shared" si="84"/>
        <v/>
      </c>
      <c r="BZ54" s="82" t="str">
        <f t="shared" si="54"/>
        <v/>
      </c>
      <c r="CA54" s="49" t="str">
        <f t="shared" si="55"/>
        <v/>
      </c>
      <c r="CB54" s="49" t="str">
        <f t="shared" si="56"/>
        <v/>
      </c>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0" t="str">
        <f>IF(ISNA(VLOOKUP(A55,Master!AR$60:BD$107,3,FALSE)),"",VLOOKUP(A55,Master!AR$60:BD$107,3,FALSE))</f>
        <v/>
      </c>
      <c r="C55" s="411" t="str">
        <f>IF(ISNA(VLOOKUP(A55,Master!AR$60:BD$107,7,FALSE)),"",VLOOKUP(A55,Master!AR$60:BD$107,7,FALSE))</f>
        <v/>
      </c>
      <c r="D55" s="412" t="str">
        <f>IF(ISNA(VLOOKUP(A55,Master!AR$60:BD$107,8,FALSE)),"",VLOOKUP(A55,Master!AR$60:BD$107,8,FALSE))</f>
        <v/>
      </c>
      <c r="E55" s="417" t="str">
        <f>IF(ISNA(VLOOKUP(A55,Master!AR$60:BD$107,4,FALSE)),"",VLOOKUP(A55,Master!AR$60:BD$107,4,FALSE))</f>
        <v/>
      </c>
      <c r="F55" s="124" t="str">
        <f>IF(ISNA(VLOOKUP(A55,Master!AR$60:BD$107,5,FALSE)),"",VLOOKUP(A55,Master!AR$60:BD$107,5,FALSE))</f>
        <v/>
      </c>
      <c r="G55" s="415" t="str">
        <f>IF(ISNA(VLOOKUP(A55,Master!AR$60:BD$107,6,FALSE)),"",VLOOKUP(A55,Master!AR$60:BD$107,6,FALSE))</f>
        <v/>
      </c>
      <c r="H55" s="415" t="str">
        <f t="shared" si="85"/>
        <v/>
      </c>
      <c r="I55" s="416" t="str">
        <f t="shared" ca="1" si="86"/>
        <v/>
      </c>
      <c r="J55" s="415" t="str">
        <f t="shared" si="87"/>
        <v/>
      </c>
      <c r="K55" s="415" t="str">
        <f t="shared" si="88"/>
        <v/>
      </c>
      <c r="L55" s="415" t="str">
        <f t="shared" si="89"/>
        <v/>
      </c>
      <c r="M55" s="415" t="str">
        <f>IF(ISNA(VLOOKUP(A55,Master!AR$60:BD$107,12,FALSE)),"",VLOOKUP(A55,Master!AR$60:BD$107,12,FALSE))</f>
        <v/>
      </c>
      <c r="N55" s="163"/>
      <c r="O55" s="163"/>
      <c r="P55" s="163"/>
      <c r="Q55" s="163">
        <f t="shared" si="90"/>
        <v>0</v>
      </c>
      <c r="R55" s="52">
        <f t="shared" si="106"/>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8"/>
        <v>0</v>
      </c>
      <c r="Y55" s="79">
        <f t="shared" si="59"/>
        <v>0</v>
      </c>
      <c r="Z55" s="79">
        <f t="shared" si="60"/>
        <v>0</v>
      </c>
      <c r="AA55" s="79">
        <f t="shared" si="61"/>
        <v>0</v>
      </c>
      <c r="AB55" s="79">
        <f t="shared" si="62"/>
        <v>0</v>
      </c>
      <c r="AC55" s="79">
        <f t="shared" si="63"/>
        <v>0</v>
      </c>
      <c r="AD55" s="80" t="str">
        <f t="shared" si="91"/>
        <v/>
      </c>
      <c r="AE55" s="80" t="str">
        <f t="shared" si="92"/>
        <v/>
      </c>
      <c r="AF55" s="80" t="str">
        <f t="shared" si="93"/>
        <v/>
      </c>
      <c r="AG55" s="80" t="str">
        <f t="shared" si="94"/>
        <v/>
      </c>
      <c r="AH55" s="80" t="str">
        <f t="shared" si="95"/>
        <v/>
      </c>
      <c r="AI55" s="78" t="str">
        <f t="shared" si="96"/>
        <v/>
      </c>
      <c r="AJ55" s="78">
        <v>0</v>
      </c>
      <c r="AK55" s="79">
        <v>0</v>
      </c>
      <c r="AL55" s="78" t="str">
        <f t="shared" si="97"/>
        <v/>
      </c>
      <c r="AM55" s="79">
        <f t="shared" si="64"/>
        <v>0</v>
      </c>
      <c r="AN55" s="78">
        <f t="shared" si="48"/>
        <v>0</v>
      </c>
      <c r="AO55" s="78">
        <f t="shared" si="65"/>
        <v>0</v>
      </c>
      <c r="AP55" s="78">
        <f t="shared" si="66"/>
        <v>0</v>
      </c>
      <c r="AQ55" s="78">
        <f t="shared" si="67"/>
        <v>0</v>
      </c>
      <c r="AR55" s="80">
        <f t="shared" si="68"/>
        <v>0</v>
      </c>
      <c r="AS55" s="80">
        <f t="shared" si="69"/>
        <v>0</v>
      </c>
      <c r="AT55" s="78"/>
      <c r="AU55" s="78"/>
      <c r="AV55" s="80">
        <f t="shared" si="98"/>
        <v>0</v>
      </c>
      <c r="AW55" s="80">
        <f t="shared" si="70"/>
        <v>0</v>
      </c>
      <c r="AX55" s="80">
        <f t="shared" si="71"/>
        <v>0</v>
      </c>
      <c r="AY55" s="80">
        <f t="shared" si="72"/>
        <v>0</v>
      </c>
      <c r="AZ55" s="80">
        <f t="shared" si="73"/>
        <v>0</v>
      </c>
      <c r="BA55" s="78">
        <f t="shared" si="99"/>
        <v>0</v>
      </c>
      <c r="BB55" s="78">
        <f t="shared" si="74"/>
        <v>0</v>
      </c>
      <c r="BC55" s="79">
        <v>0</v>
      </c>
      <c r="BD55" s="78">
        <f t="shared" si="100"/>
        <v>0</v>
      </c>
      <c r="BE55" s="79">
        <f t="shared" si="75"/>
        <v>0</v>
      </c>
      <c r="BF55" s="78">
        <f t="shared" si="49"/>
        <v>0</v>
      </c>
      <c r="BG55" s="78">
        <f t="shared" si="76"/>
        <v>0</v>
      </c>
      <c r="BH55" s="78">
        <f t="shared" si="77"/>
        <v>0</v>
      </c>
      <c r="BI55" s="78">
        <f t="shared" si="78"/>
        <v>0</v>
      </c>
      <c r="BJ55" s="80">
        <f t="shared" si="101"/>
        <v>0</v>
      </c>
      <c r="BK55" s="80">
        <f t="shared" si="102"/>
        <v>0</v>
      </c>
      <c r="BL55" s="78"/>
      <c r="BM55" s="78"/>
      <c r="BN55" s="80">
        <f t="shared" si="103"/>
        <v>0</v>
      </c>
      <c r="BO55" s="74">
        <f t="shared" si="79"/>
        <v>0</v>
      </c>
      <c r="BP55" s="74">
        <f t="shared" si="80"/>
        <v>1</v>
      </c>
      <c r="BQ55" s="74">
        <f t="shared" si="81"/>
        <v>0</v>
      </c>
      <c r="BR55" s="74">
        <f t="shared" si="82"/>
        <v>0</v>
      </c>
      <c r="BS55" s="74">
        <f t="shared" si="50"/>
        <v>0</v>
      </c>
      <c r="BT55" s="74">
        <f t="shared" si="104"/>
        <v>1</v>
      </c>
      <c r="BU55" s="60">
        <f t="shared" si="83"/>
        <v>0</v>
      </c>
      <c r="BV55" s="81">
        <f t="shared" si="105"/>
        <v>1</v>
      </c>
      <c r="BW55" s="60">
        <f t="shared" si="52"/>
        <v>0</v>
      </c>
      <c r="BX55" s="60">
        <f t="shared" si="53"/>
        <v>0</v>
      </c>
      <c r="BY55" s="49" t="str">
        <f t="shared" si="84"/>
        <v/>
      </c>
      <c r="BZ55" s="82" t="str">
        <f t="shared" si="54"/>
        <v/>
      </c>
      <c r="CA55" s="49" t="str">
        <f t="shared" si="55"/>
        <v/>
      </c>
      <c r="CB55" s="49" t="str">
        <f t="shared" si="56"/>
        <v/>
      </c>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0" t="str">
        <f>IF(ISNA(VLOOKUP(A56,Master!AR$60:BD$107,3,FALSE)),"",VLOOKUP(A56,Master!AR$60:BD$107,3,FALSE))</f>
        <v/>
      </c>
      <c r="C56" s="411" t="str">
        <f>IF(ISNA(VLOOKUP(A56,Master!AR$60:BD$107,7,FALSE)),"",VLOOKUP(A56,Master!AR$60:BD$107,7,FALSE))</f>
        <v/>
      </c>
      <c r="D56" s="412" t="str">
        <f>IF(ISNA(VLOOKUP(A56,Master!AR$60:BD$107,8,FALSE)),"",VLOOKUP(A56,Master!AR$60:BD$107,8,FALSE))</f>
        <v/>
      </c>
      <c r="E56" s="417" t="str">
        <f>IF(ISNA(VLOOKUP(A56,Master!AR$60:BD$107,4,FALSE)),"",VLOOKUP(A56,Master!AR$60:BD$107,4,FALSE))</f>
        <v/>
      </c>
      <c r="F56" s="124" t="str">
        <f>IF(ISNA(VLOOKUP(A56,Master!AR$60:BD$107,5,FALSE)),"",VLOOKUP(A56,Master!AR$60:BD$107,5,FALSE))</f>
        <v/>
      </c>
      <c r="G56" s="415" t="str">
        <f>IF(ISNA(VLOOKUP(A56,Master!AR$60:BD$107,6,FALSE)),"",VLOOKUP(A56,Master!AR$60:BD$107,6,FALSE))</f>
        <v/>
      </c>
      <c r="H56" s="415" t="str">
        <f t="shared" si="85"/>
        <v/>
      </c>
      <c r="I56" s="416" t="str">
        <f t="shared" ca="1" si="86"/>
        <v/>
      </c>
      <c r="J56" s="415" t="str">
        <f t="shared" si="87"/>
        <v/>
      </c>
      <c r="K56" s="415" t="str">
        <f t="shared" si="88"/>
        <v/>
      </c>
      <c r="L56" s="415" t="str">
        <f t="shared" si="89"/>
        <v/>
      </c>
      <c r="M56" s="415" t="str">
        <f>IF(ISNA(VLOOKUP(A56,Master!AR$60:BD$107,12,FALSE)),"",VLOOKUP(A56,Master!AR$60:BD$107,12,FALSE))</f>
        <v/>
      </c>
      <c r="N56" s="163"/>
      <c r="O56" s="163"/>
      <c r="P56" s="163"/>
      <c r="Q56" s="163">
        <f t="shared" si="90"/>
        <v>0</v>
      </c>
      <c r="R56" s="52">
        <f t="shared" si="106"/>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8"/>
        <v>0</v>
      </c>
      <c r="Y56" s="79">
        <f t="shared" si="59"/>
        <v>0</v>
      </c>
      <c r="Z56" s="79">
        <f t="shared" si="60"/>
        <v>0</v>
      </c>
      <c r="AA56" s="79">
        <f t="shared" si="61"/>
        <v>0</v>
      </c>
      <c r="AB56" s="79">
        <f t="shared" si="62"/>
        <v>0</v>
      </c>
      <c r="AC56" s="79">
        <f t="shared" si="63"/>
        <v>0</v>
      </c>
      <c r="AD56" s="80" t="str">
        <f t="shared" si="91"/>
        <v/>
      </c>
      <c r="AE56" s="80" t="str">
        <f t="shared" si="92"/>
        <v/>
      </c>
      <c r="AF56" s="80" t="str">
        <f t="shared" si="93"/>
        <v/>
      </c>
      <c r="AG56" s="80" t="str">
        <f t="shared" si="94"/>
        <v/>
      </c>
      <c r="AH56" s="80" t="str">
        <f t="shared" si="95"/>
        <v/>
      </c>
      <c r="AI56" s="78" t="str">
        <f t="shared" si="96"/>
        <v/>
      </c>
      <c r="AJ56" s="78">
        <v>0</v>
      </c>
      <c r="AK56" s="79">
        <v>0</v>
      </c>
      <c r="AL56" s="78" t="str">
        <f t="shared" si="97"/>
        <v/>
      </c>
      <c r="AM56" s="79">
        <f t="shared" si="64"/>
        <v>0</v>
      </c>
      <c r="AN56" s="78">
        <f t="shared" si="48"/>
        <v>0</v>
      </c>
      <c r="AO56" s="78">
        <f t="shared" si="65"/>
        <v>0</v>
      </c>
      <c r="AP56" s="78">
        <f t="shared" si="66"/>
        <v>0</v>
      </c>
      <c r="AQ56" s="78">
        <f t="shared" si="67"/>
        <v>0</v>
      </c>
      <c r="AR56" s="80">
        <f t="shared" si="68"/>
        <v>0</v>
      </c>
      <c r="AS56" s="80">
        <f t="shared" si="69"/>
        <v>0</v>
      </c>
      <c r="AT56" s="78"/>
      <c r="AU56" s="78"/>
      <c r="AV56" s="80">
        <f t="shared" si="98"/>
        <v>0</v>
      </c>
      <c r="AW56" s="80">
        <f t="shared" si="70"/>
        <v>0</v>
      </c>
      <c r="AX56" s="80">
        <f t="shared" si="71"/>
        <v>0</v>
      </c>
      <c r="AY56" s="80">
        <f t="shared" si="72"/>
        <v>0</v>
      </c>
      <c r="AZ56" s="80">
        <f t="shared" si="73"/>
        <v>0</v>
      </c>
      <c r="BA56" s="78">
        <f t="shared" si="99"/>
        <v>0</v>
      </c>
      <c r="BB56" s="78">
        <f t="shared" si="74"/>
        <v>0</v>
      </c>
      <c r="BC56" s="79">
        <v>0</v>
      </c>
      <c r="BD56" s="78">
        <f t="shared" si="100"/>
        <v>0</v>
      </c>
      <c r="BE56" s="79">
        <f t="shared" si="75"/>
        <v>0</v>
      </c>
      <c r="BF56" s="78">
        <f t="shared" si="49"/>
        <v>0</v>
      </c>
      <c r="BG56" s="78">
        <f t="shared" si="76"/>
        <v>0</v>
      </c>
      <c r="BH56" s="78">
        <f t="shared" si="77"/>
        <v>0</v>
      </c>
      <c r="BI56" s="78">
        <f t="shared" si="78"/>
        <v>0</v>
      </c>
      <c r="BJ56" s="80">
        <f t="shared" si="101"/>
        <v>0</v>
      </c>
      <c r="BK56" s="80">
        <f t="shared" si="102"/>
        <v>0</v>
      </c>
      <c r="BL56" s="78"/>
      <c r="BM56" s="78"/>
      <c r="BN56" s="80">
        <f t="shared" si="103"/>
        <v>0</v>
      </c>
      <c r="BO56" s="74">
        <f t="shared" si="79"/>
        <v>0</v>
      </c>
      <c r="BP56" s="74">
        <f t="shared" si="80"/>
        <v>1</v>
      </c>
      <c r="BQ56" s="74">
        <f t="shared" si="81"/>
        <v>0</v>
      </c>
      <c r="BR56" s="74">
        <f t="shared" si="82"/>
        <v>0</v>
      </c>
      <c r="BS56" s="74">
        <f t="shared" si="50"/>
        <v>0</v>
      </c>
      <c r="BT56" s="74">
        <f t="shared" si="104"/>
        <v>1</v>
      </c>
      <c r="BU56" s="60">
        <f t="shared" si="83"/>
        <v>0</v>
      </c>
      <c r="BV56" s="81">
        <f t="shared" si="105"/>
        <v>1</v>
      </c>
      <c r="BW56" s="60">
        <f t="shared" si="52"/>
        <v>0</v>
      </c>
      <c r="BX56" s="60">
        <f t="shared" si="53"/>
        <v>0</v>
      </c>
      <c r="BY56" s="49" t="str">
        <f t="shared" si="84"/>
        <v/>
      </c>
      <c r="BZ56" s="82" t="str">
        <f t="shared" si="54"/>
        <v/>
      </c>
      <c r="CA56" s="49" t="str">
        <f t="shared" si="55"/>
        <v/>
      </c>
      <c r="CB56" s="49" t="str">
        <f t="shared" si="56"/>
        <v/>
      </c>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0" t="str">
        <f>IF(ISNA(VLOOKUP(A57,Master!AR$60:BD$107,3,FALSE)),"",VLOOKUP(A57,Master!AR$60:BD$107,3,FALSE))</f>
        <v/>
      </c>
      <c r="C57" s="411" t="str">
        <f>IF(ISNA(VLOOKUP(A57,Master!AR$60:BD$107,7,FALSE)),"",VLOOKUP(A57,Master!AR$60:BD$107,7,FALSE))</f>
        <v/>
      </c>
      <c r="D57" s="412" t="str">
        <f>IF(ISNA(VLOOKUP(A57,Master!AR$60:BD$107,8,FALSE)),"",VLOOKUP(A57,Master!AR$60:BD$107,8,FALSE))</f>
        <v/>
      </c>
      <c r="E57" s="417" t="str">
        <f>IF(ISNA(VLOOKUP(A57,Master!AR$60:BD$107,4,FALSE)),"",VLOOKUP(A57,Master!AR$60:BD$107,4,FALSE))</f>
        <v/>
      </c>
      <c r="F57" s="124" t="str">
        <f>IF(ISNA(VLOOKUP(A57,Master!AR$60:BD$107,5,FALSE)),"",VLOOKUP(A57,Master!AR$60:BD$107,5,FALSE))</f>
        <v/>
      </c>
      <c r="G57" s="415" t="str">
        <f>IF(ISNA(VLOOKUP(A57,Master!AR$60:BD$107,6,FALSE)),"",VLOOKUP(A57,Master!AR$60:BD$107,6,FALSE))</f>
        <v/>
      </c>
      <c r="H57" s="415" t="str">
        <f t="shared" si="85"/>
        <v/>
      </c>
      <c r="I57" s="416" t="str">
        <f t="shared" ca="1" si="86"/>
        <v/>
      </c>
      <c r="J57" s="415" t="str">
        <f t="shared" si="87"/>
        <v/>
      </c>
      <c r="K57" s="415" t="str">
        <f t="shared" si="88"/>
        <v/>
      </c>
      <c r="L57" s="415" t="str">
        <f t="shared" si="89"/>
        <v/>
      </c>
      <c r="M57" s="415" t="str">
        <f>IF(ISNA(VLOOKUP(A57,Master!AR$60:BD$107,12,FALSE)),"",VLOOKUP(A57,Master!AR$60:BD$107,12,FALSE))</f>
        <v/>
      </c>
      <c r="N57" s="163"/>
      <c r="O57" s="163"/>
      <c r="P57" s="163"/>
      <c r="Q57" s="163">
        <f t="shared" si="90"/>
        <v>0</v>
      </c>
      <c r="R57" s="52">
        <f t="shared" si="106"/>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8"/>
        <v>0</v>
      </c>
      <c r="Y57" s="79">
        <f t="shared" si="59"/>
        <v>0</v>
      </c>
      <c r="Z57" s="79">
        <f t="shared" si="60"/>
        <v>0</v>
      </c>
      <c r="AA57" s="79">
        <f t="shared" si="61"/>
        <v>0</v>
      </c>
      <c r="AB57" s="79">
        <f t="shared" si="62"/>
        <v>0</v>
      </c>
      <c r="AC57" s="79">
        <f t="shared" si="63"/>
        <v>0</v>
      </c>
      <c r="AD57" s="80" t="str">
        <f t="shared" si="91"/>
        <v/>
      </c>
      <c r="AE57" s="80" t="str">
        <f t="shared" si="92"/>
        <v/>
      </c>
      <c r="AF57" s="80" t="str">
        <f t="shared" si="93"/>
        <v/>
      </c>
      <c r="AG57" s="80" t="str">
        <f t="shared" si="94"/>
        <v/>
      </c>
      <c r="AH57" s="80" t="str">
        <f t="shared" si="95"/>
        <v/>
      </c>
      <c r="AI57" s="78" t="str">
        <f t="shared" si="96"/>
        <v/>
      </c>
      <c r="AJ57" s="78">
        <v>0</v>
      </c>
      <c r="AK57" s="79">
        <v>0</v>
      </c>
      <c r="AL57" s="78" t="str">
        <f t="shared" si="97"/>
        <v/>
      </c>
      <c r="AM57" s="79">
        <f t="shared" si="64"/>
        <v>0</v>
      </c>
      <c r="AN57" s="78">
        <f t="shared" si="48"/>
        <v>0</v>
      </c>
      <c r="AO57" s="78">
        <f t="shared" si="65"/>
        <v>0</v>
      </c>
      <c r="AP57" s="78">
        <f t="shared" si="66"/>
        <v>0</v>
      </c>
      <c r="AQ57" s="78">
        <f t="shared" si="67"/>
        <v>0</v>
      </c>
      <c r="AR57" s="80">
        <f t="shared" si="68"/>
        <v>0</v>
      </c>
      <c r="AS57" s="80">
        <f t="shared" si="69"/>
        <v>0</v>
      </c>
      <c r="AT57" s="78"/>
      <c r="AU57" s="78"/>
      <c r="AV57" s="80">
        <f t="shared" si="98"/>
        <v>0</v>
      </c>
      <c r="AW57" s="80">
        <f t="shared" si="70"/>
        <v>0</v>
      </c>
      <c r="AX57" s="80">
        <f t="shared" si="71"/>
        <v>0</v>
      </c>
      <c r="AY57" s="80">
        <f t="shared" si="72"/>
        <v>0</v>
      </c>
      <c r="AZ57" s="80">
        <f t="shared" si="73"/>
        <v>0</v>
      </c>
      <c r="BA57" s="78">
        <f t="shared" si="99"/>
        <v>0</v>
      </c>
      <c r="BB57" s="78">
        <f t="shared" si="74"/>
        <v>0</v>
      </c>
      <c r="BC57" s="79">
        <v>0</v>
      </c>
      <c r="BD57" s="78">
        <f t="shared" si="100"/>
        <v>0</v>
      </c>
      <c r="BE57" s="79">
        <f t="shared" si="75"/>
        <v>0</v>
      </c>
      <c r="BF57" s="78">
        <f t="shared" si="49"/>
        <v>0</v>
      </c>
      <c r="BG57" s="78">
        <f t="shared" si="76"/>
        <v>0</v>
      </c>
      <c r="BH57" s="78">
        <f t="shared" si="77"/>
        <v>0</v>
      </c>
      <c r="BI57" s="78">
        <f t="shared" si="78"/>
        <v>0</v>
      </c>
      <c r="BJ57" s="80">
        <f t="shared" si="101"/>
        <v>0</v>
      </c>
      <c r="BK57" s="80">
        <f t="shared" si="102"/>
        <v>0</v>
      </c>
      <c r="BL57" s="78"/>
      <c r="BM57" s="78"/>
      <c r="BN57" s="80">
        <f t="shared" si="103"/>
        <v>0</v>
      </c>
      <c r="BO57" s="74">
        <f t="shared" si="79"/>
        <v>0</v>
      </c>
      <c r="BP57" s="74">
        <f t="shared" si="80"/>
        <v>1</v>
      </c>
      <c r="BQ57" s="74">
        <f t="shared" si="81"/>
        <v>0</v>
      </c>
      <c r="BR57" s="74">
        <f t="shared" si="82"/>
        <v>0</v>
      </c>
      <c r="BS57" s="74">
        <f t="shared" si="50"/>
        <v>0</v>
      </c>
      <c r="BT57" s="74">
        <f t="shared" si="104"/>
        <v>1</v>
      </c>
      <c r="BU57" s="60">
        <f t="shared" si="83"/>
        <v>0</v>
      </c>
      <c r="BV57" s="81">
        <f t="shared" si="105"/>
        <v>1</v>
      </c>
      <c r="BW57" s="60">
        <f t="shared" si="52"/>
        <v>0</v>
      </c>
      <c r="BX57" s="60">
        <f t="shared" si="53"/>
        <v>0</v>
      </c>
      <c r="BY57" s="49" t="str">
        <f t="shared" si="84"/>
        <v/>
      </c>
      <c r="BZ57" s="82" t="str">
        <f t="shared" si="54"/>
        <v/>
      </c>
      <c r="CA57" s="49" t="str">
        <f t="shared" si="55"/>
        <v/>
      </c>
      <c r="CB57" s="49" t="str">
        <f t="shared" si="56"/>
        <v/>
      </c>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0" t="str">
        <f>IF(ISNA(VLOOKUP(A58,Master!AR$60:BD$107,3,FALSE)),"",VLOOKUP(A58,Master!AR$60:BD$107,3,FALSE))</f>
        <v/>
      </c>
      <c r="C58" s="411" t="str">
        <f>IF(ISNA(VLOOKUP(A58,Master!AR$60:BD$107,7,FALSE)),"",VLOOKUP(A58,Master!AR$60:BD$107,7,FALSE))</f>
        <v/>
      </c>
      <c r="D58" s="412" t="str">
        <f>IF(ISNA(VLOOKUP(A58,Master!AR$60:BD$107,8,FALSE)),"",VLOOKUP(A58,Master!AR$60:BD$107,8,FALSE))</f>
        <v/>
      </c>
      <c r="E58" s="417" t="str">
        <f>IF(ISNA(VLOOKUP(A58,Master!AR$60:BD$107,4,FALSE)),"",VLOOKUP(A58,Master!AR$60:BD$107,4,FALSE))</f>
        <v/>
      </c>
      <c r="F58" s="124" t="str">
        <f>IF(ISNA(VLOOKUP(A58,Master!AR$60:BD$107,5,FALSE)),"",VLOOKUP(A58,Master!AR$60:BD$107,5,FALSE))</f>
        <v/>
      </c>
      <c r="G58" s="415" t="str">
        <f>IF(ISNA(VLOOKUP(A58,Master!AR$60:BD$107,6,FALSE)),"",VLOOKUP(A58,Master!AR$60:BD$107,6,FALSE))</f>
        <v/>
      </c>
      <c r="H58" s="415" t="str">
        <f t="shared" si="85"/>
        <v/>
      </c>
      <c r="I58" s="416" t="str">
        <f t="shared" ca="1" si="86"/>
        <v/>
      </c>
      <c r="J58" s="415" t="str">
        <f t="shared" si="87"/>
        <v/>
      </c>
      <c r="K58" s="415" t="str">
        <f t="shared" si="88"/>
        <v/>
      </c>
      <c r="L58" s="415" t="str">
        <f t="shared" si="89"/>
        <v/>
      </c>
      <c r="M58" s="415" t="str">
        <f>IF(ISNA(VLOOKUP(A58,Master!AR$60:BD$107,12,FALSE)),"",VLOOKUP(A58,Master!AR$60:BD$107,12,FALSE))</f>
        <v/>
      </c>
      <c r="N58" s="163"/>
      <c r="O58" s="163"/>
      <c r="P58" s="163"/>
      <c r="Q58" s="163">
        <f t="shared" si="90"/>
        <v>0</v>
      </c>
      <c r="R58" s="52">
        <f t="shared" si="106"/>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8"/>
        <v>0</v>
      </c>
      <c r="Y58" s="79">
        <f t="shared" si="59"/>
        <v>0</v>
      </c>
      <c r="Z58" s="79">
        <f t="shared" si="60"/>
        <v>0</v>
      </c>
      <c r="AA58" s="79">
        <f t="shared" si="61"/>
        <v>0</v>
      </c>
      <c r="AB58" s="79">
        <f t="shared" si="62"/>
        <v>0</v>
      </c>
      <c r="AC58" s="79">
        <f t="shared" si="63"/>
        <v>0</v>
      </c>
      <c r="AD58" s="80" t="str">
        <f t="shared" si="91"/>
        <v/>
      </c>
      <c r="AE58" s="80" t="str">
        <f t="shared" si="92"/>
        <v/>
      </c>
      <c r="AF58" s="80" t="str">
        <f t="shared" si="93"/>
        <v/>
      </c>
      <c r="AG58" s="80" t="str">
        <f t="shared" si="94"/>
        <v/>
      </c>
      <c r="AH58" s="80" t="str">
        <f t="shared" si="95"/>
        <v/>
      </c>
      <c r="AI58" s="78" t="str">
        <f t="shared" si="96"/>
        <v/>
      </c>
      <c r="AJ58" s="78">
        <v>0</v>
      </c>
      <c r="AK58" s="79">
        <v>0</v>
      </c>
      <c r="AL58" s="78" t="str">
        <f t="shared" si="97"/>
        <v/>
      </c>
      <c r="AM58" s="79">
        <f t="shared" si="64"/>
        <v>0</v>
      </c>
      <c r="AN58" s="78">
        <f t="shared" si="48"/>
        <v>0</v>
      </c>
      <c r="AO58" s="78">
        <f t="shared" si="65"/>
        <v>0</v>
      </c>
      <c r="AP58" s="78">
        <f t="shared" si="66"/>
        <v>0</v>
      </c>
      <c r="AQ58" s="78">
        <f t="shared" si="67"/>
        <v>0</v>
      </c>
      <c r="AR58" s="80">
        <f t="shared" si="68"/>
        <v>0</v>
      </c>
      <c r="AS58" s="80">
        <f t="shared" si="69"/>
        <v>0</v>
      </c>
      <c r="AT58" s="78"/>
      <c r="AU58" s="78"/>
      <c r="AV58" s="80">
        <f t="shared" si="98"/>
        <v>0</v>
      </c>
      <c r="AW58" s="80">
        <f t="shared" si="70"/>
        <v>0</v>
      </c>
      <c r="AX58" s="80">
        <f t="shared" si="71"/>
        <v>0</v>
      </c>
      <c r="AY58" s="80">
        <f t="shared" si="72"/>
        <v>0</v>
      </c>
      <c r="AZ58" s="80">
        <f t="shared" si="73"/>
        <v>0</v>
      </c>
      <c r="BA58" s="78">
        <f t="shared" si="99"/>
        <v>0</v>
      </c>
      <c r="BB58" s="78">
        <f t="shared" si="74"/>
        <v>0</v>
      </c>
      <c r="BC58" s="79">
        <v>0</v>
      </c>
      <c r="BD58" s="78">
        <f t="shared" si="100"/>
        <v>0</v>
      </c>
      <c r="BE58" s="79">
        <f t="shared" si="75"/>
        <v>0</v>
      </c>
      <c r="BF58" s="78">
        <f t="shared" si="49"/>
        <v>0</v>
      </c>
      <c r="BG58" s="78">
        <f t="shared" si="76"/>
        <v>0</v>
      </c>
      <c r="BH58" s="78">
        <f t="shared" si="77"/>
        <v>0</v>
      </c>
      <c r="BI58" s="78">
        <f t="shared" si="78"/>
        <v>0</v>
      </c>
      <c r="BJ58" s="80">
        <f t="shared" si="101"/>
        <v>0</v>
      </c>
      <c r="BK58" s="80">
        <f t="shared" si="102"/>
        <v>0</v>
      </c>
      <c r="BL58" s="78"/>
      <c r="BM58" s="78"/>
      <c r="BN58" s="80">
        <f t="shared" si="103"/>
        <v>0</v>
      </c>
      <c r="BO58" s="74">
        <f t="shared" si="79"/>
        <v>0</v>
      </c>
      <c r="BP58" s="74">
        <f t="shared" si="80"/>
        <v>1</v>
      </c>
      <c r="BQ58" s="74">
        <f t="shared" si="81"/>
        <v>0</v>
      </c>
      <c r="BR58" s="74">
        <f t="shared" si="82"/>
        <v>0</v>
      </c>
      <c r="BS58" s="74">
        <f t="shared" si="50"/>
        <v>0</v>
      </c>
      <c r="BT58" s="74">
        <f t="shared" si="104"/>
        <v>1</v>
      </c>
      <c r="BU58" s="60">
        <f t="shared" si="83"/>
        <v>0</v>
      </c>
      <c r="BV58" s="81">
        <f t="shared" si="105"/>
        <v>1</v>
      </c>
      <c r="BW58" s="60">
        <f t="shared" si="52"/>
        <v>0</v>
      </c>
      <c r="BX58" s="60">
        <f t="shared" si="53"/>
        <v>0</v>
      </c>
      <c r="BY58" s="49" t="str">
        <f t="shared" si="84"/>
        <v/>
      </c>
      <c r="BZ58" s="82" t="str">
        <f t="shared" si="54"/>
        <v/>
      </c>
      <c r="CA58" s="49" t="str">
        <f t="shared" si="55"/>
        <v/>
      </c>
      <c r="CB58" s="49" t="str">
        <f t="shared" si="56"/>
        <v/>
      </c>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0" t="str">
        <f>IF(ISNA(VLOOKUP(A59,Master!AR$60:BD$107,3,FALSE)),"",VLOOKUP(A59,Master!AR$60:BD$107,3,FALSE))</f>
        <v/>
      </c>
      <c r="C59" s="411" t="str">
        <f>IF(ISNA(VLOOKUP(A59,Master!AR$60:BD$107,7,FALSE)),"",VLOOKUP(A59,Master!AR$60:BD$107,7,FALSE))</f>
        <v/>
      </c>
      <c r="D59" s="412" t="str">
        <f>IF(ISNA(VLOOKUP(A59,Master!AR$60:BD$107,8,FALSE)),"",VLOOKUP(A59,Master!AR$60:BD$107,8,FALSE))</f>
        <v/>
      </c>
      <c r="E59" s="417" t="str">
        <f>IF(ISNA(VLOOKUP(A59,Master!AR$60:BD$107,4,FALSE)),"",VLOOKUP(A59,Master!AR$60:BD$107,4,FALSE))</f>
        <v/>
      </c>
      <c r="F59" s="124" t="str">
        <f>IF(ISNA(VLOOKUP(A59,Master!AR$60:BD$107,5,FALSE)),"",VLOOKUP(A59,Master!AR$60:BD$107,5,FALSE))</f>
        <v/>
      </c>
      <c r="G59" s="415" t="str">
        <f>IF(ISNA(VLOOKUP(A59,Master!AR$60:BD$107,6,FALSE)),"",VLOOKUP(A59,Master!AR$60:BD$107,6,FALSE))</f>
        <v/>
      </c>
      <c r="H59" s="415" t="str">
        <f t="shared" si="85"/>
        <v/>
      </c>
      <c r="I59" s="416" t="str">
        <f t="shared" ca="1" si="86"/>
        <v/>
      </c>
      <c r="J59" s="415" t="str">
        <f t="shared" si="87"/>
        <v/>
      </c>
      <c r="K59" s="415" t="str">
        <f t="shared" si="88"/>
        <v/>
      </c>
      <c r="L59" s="415" t="str">
        <f t="shared" si="89"/>
        <v/>
      </c>
      <c r="M59" s="415" t="str">
        <f>IF(ISNA(VLOOKUP(A59,Master!AR$60:BD$107,12,FALSE)),"",VLOOKUP(A59,Master!AR$60:BD$107,12,FALSE))</f>
        <v/>
      </c>
      <c r="N59" s="163"/>
      <c r="O59" s="163"/>
      <c r="P59" s="163"/>
      <c r="Q59" s="163">
        <f t="shared" si="90"/>
        <v>0</v>
      </c>
      <c r="R59" s="52">
        <f t="shared" si="106"/>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8"/>
        <v>0</v>
      </c>
      <c r="Y59" s="79">
        <f t="shared" si="59"/>
        <v>0</v>
      </c>
      <c r="Z59" s="79">
        <f t="shared" si="60"/>
        <v>0</v>
      </c>
      <c r="AA59" s="79">
        <f t="shared" si="61"/>
        <v>0</v>
      </c>
      <c r="AB59" s="79">
        <f t="shared" si="62"/>
        <v>0</v>
      </c>
      <c r="AC59" s="79">
        <f t="shared" si="63"/>
        <v>0</v>
      </c>
      <c r="AD59" s="80" t="str">
        <f t="shared" si="91"/>
        <v/>
      </c>
      <c r="AE59" s="80" t="str">
        <f t="shared" si="92"/>
        <v/>
      </c>
      <c r="AF59" s="80" t="str">
        <f t="shared" si="93"/>
        <v/>
      </c>
      <c r="AG59" s="80" t="str">
        <f t="shared" si="94"/>
        <v/>
      </c>
      <c r="AH59" s="80" t="str">
        <f t="shared" si="95"/>
        <v/>
      </c>
      <c r="AI59" s="78" t="str">
        <f t="shared" si="96"/>
        <v/>
      </c>
      <c r="AJ59" s="78">
        <v>0</v>
      </c>
      <c r="AK59" s="79">
        <v>0</v>
      </c>
      <c r="AL59" s="78" t="str">
        <f t="shared" si="97"/>
        <v/>
      </c>
      <c r="AM59" s="79">
        <f t="shared" si="64"/>
        <v>0</v>
      </c>
      <c r="AN59" s="78">
        <f t="shared" si="48"/>
        <v>0</v>
      </c>
      <c r="AO59" s="78">
        <f t="shared" si="65"/>
        <v>0</v>
      </c>
      <c r="AP59" s="78">
        <f t="shared" si="66"/>
        <v>0</v>
      </c>
      <c r="AQ59" s="78">
        <f t="shared" si="67"/>
        <v>0</v>
      </c>
      <c r="AR59" s="80">
        <f t="shared" si="68"/>
        <v>0</v>
      </c>
      <c r="AS59" s="80">
        <f t="shared" si="69"/>
        <v>0</v>
      </c>
      <c r="AT59" s="78"/>
      <c r="AU59" s="78"/>
      <c r="AV59" s="80">
        <f t="shared" si="98"/>
        <v>0</v>
      </c>
      <c r="AW59" s="80">
        <f t="shared" si="70"/>
        <v>0</v>
      </c>
      <c r="AX59" s="80">
        <f t="shared" si="71"/>
        <v>0</v>
      </c>
      <c r="AY59" s="80">
        <f t="shared" si="72"/>
        <v>0</v>
      </c>
      <c r="AZ59" s="80">
        <f t="shared" si="73"/>
        <v>0</v>
      </c>
      <c r="BA59" s="78">
        <f t="shared" si="99"/>
        <v>0</v>
      </c>
      <c r="BB59" s="78">
        <f t="shared" si="74"/>
        <v>0</v>
      </c>
      <c r="BC59" s="79">
        <v>0</v>
      </c>
      <c r="BD59" s="78">
        <f t="shared" si="100"/>
        <v>0</v>
      </c>
      <c r="BE59" s="79">
        <f t="shared" si="75"/>
        <v>0</v>
      </c>
      <c r="BF59" s="78">
        <f t="shared" si="49"/>
        <v>0</v>
      </c>
      <c r="BG59" s="78">
        <f t="shared" si="76"/>
        <v>0</v>
      </c>
      <c r="BH59" s="78">
        <f t="shared" si="77"/>
        <v>0</v>
      </c>
      <c r="BI59" s="78">
        <f t="shared" si="78"/>
        <v>0</v>
      </c>
      <c r="BJ59" s="80">
        <f t="shared" si="101"/>
        <v>0</v>
      </c>
      <c r="BK59" s="80">
        <f t="shared" si="102"/>
        <v>0</v>
      </c>
      <c r="BL59" s="78"/>
      <c r="BM59" s="78"/>
      <c r="BN59" s="80">
        <f t="shared" si="103"/>
        <v>0</v>
      </c>
      <c r="BO59" s="74">
        <f t="shared" si="79"/>
        <v>0</v>
      </c>
      <c r="BP59" s="74">
        <f t="shared" si="80"/>
        <v>1</v>
      </c>
      <c r="BQ59" s="74">
        <f t="shared" si="81"/>
        <v>0</v>
      </c>
      <c r="BR59" s="74">
        <f t="shared" si="82"/>
        <v>0</v>
      </c>
      <c r="BS59" s="74">
        <f t="shared" si="50"/>
        <v>0</v>
      </c>
      <c r="BT59" s="74">
        <f t="shared" si="104"/>
        <v>1</v>
      </c>
      <c r="BU59" s="60">
        <f t="shared" si="83"/>
        <v>0</v>
      </c>
      <c r="BV59" s="81">
        <f t="shared" si="105"/>
        <v>1</v>
      </c>
      <c r="BW59" s="60">
        <f t="shared" si="52"/>
        <v>0</v>
      </c>
      <c r="BX59" s="60">
        <f t="shared" si="53"/>
        <v>0</v>
      </c>
      <c r="BY59" s="49" t="str">
        <f t="shared" si="84"/>
        <v/>
      </c>
      <c r="BZ59" s="82" t="str">
        <f t="shared" si="54"/>
        <v/>
      </c>
      <c r="CA59" s="49" t="str">
        <f t="shared" si="55"/>
        <v/>
      </c>
      <c r="CB59" s="49" t="str">
        <f t="shared" si="56"/>
        <v/>
      </c>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0" t="str">
        <f>IF(ISNA(VLOOKUP(A60,Master!AR$60:BD$107,3,FALSE)),"",VLOOKUP(A60,Master!AR$60:BD$107,3,FALSE))</f>
        <v/>
      </c>
      <c r="C60" s="411" t="str">
        <f>IF(ISNA(VLOOKUP(A60,Master!AR$60:BD$107,7,FALSE)),"",VLOOKUP(A60,Master!AR$60:BD$107,7,FALSE))</f>
        <v/>
      </c>
      <c r="D60" s="412" t="str">
        <f>IF(ISNA(VLOOKUP(A60,Master!AR$60:BD$107,8,FALSE)),"",VLOOKUP(A60,Master!AR$60:BD$107,8,FALSE))</f>
        <v/>
      </c>
      <c r="E60" s="417" t="str">
        <f>IF(ISNA(VLOOKUP(A60,Master!AR$60:BD$107,4,FALSE)),"",VLOOKUP(A60,Master!AR$60:BD$107,4,FALSE))</f>
        <v/>
      </c>
      <c r="F60" s="124" t="str">
        <f>IF(ISNA(VLOOKUP(A60,Master!AR$60:BD$107,5,FALSE)),"",VLOOKUP(A60,Master!AR$60:BD$107,5,FALSE))</f>
        <v/>
      </c>
      <c r="G60" s="415" t="str">
        <f>IF(ISNA(VLOOKUP(A60,Master!AR$60:BD$107,6,FALSE)),"",VLOOKUP(A60,Master!AR$60:BD$107,6,FALSE))</f>
        <v/>
      </c>
      <c r="H60" s="415" t="str">
        <f t="shared" si="85"/>
        <v/>
      </c>
      <c r="I60" s="416" t="str">
        <f t="shared" ca="1" si="86"/>
        <v/>
      </c>
      <c r="J60" s="415" t="str">
        <f t="shared" si="87"/>
        <v/>
      </c>
      <c r="K60" s="415" t="str">
        <f t="shared" si="88"/>
        <v/>
      </c>
      <c r="L60" s="415" t="str">
        <f t="shared" si="89"/>
        <v/>
      </c>
      <c r="M60" s="415" t="str">
        <f>IF(ISNA(VLOOKUP(A60,Master!AR$60:BD$107,12,FALSE)),"",VLOOKUP(A60,Master!AR$60:BD$107,12,FALSE))</f>
        <v/>
      </c>
      <c r="N60" s="163"/>
      <c r="O60" s="163"/>
      <c r="P60" s="163"/>
      <c r="Q60" s="163">
        <f t="shared" si="90"/>
        <v>0</v>
      </c>
      <c r="R60" s="52">
        <f t="shared" si="106"/>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8"/>
        <v>0</v>
      </c>
      <c r="Y60" s="79">
        <f t="shared" si="59"/>
        <v>0</v>
      </c>
      <c r="Z60" s="79">
        <f t="shared" si="60"/>
        <v>0</v>
      </c>
      <c r="AA60" s="79">
        <f t="shared" si="61"/>
        <v>0</v>
      </c>
      <c r="AB60" s="79">
        <f t="shared" si="62"/>
        <v>0</v>
      </c>
      <c r="AC60" s="79">
        <f t="shared" si="63"/>
        <v>0</v>
      </c>
      <c r="AD60" s="80" t="str">
        <f t="shared" si="91"/>
        <v/>
      </c>
      <c r="AE60" s="80" t="str">
        <f t="shared" si="92"/>
        <v/>
      </c>
      <c r="AF60" s="80" t="str">
        <f t="shared" si="93"/>
        <v/>
      </c>
      <c r="AG60" s="80" t="str">
        <f t="shared" si="94"/>
        <v/>
      </c>
      <c r="AH60" s="80" t="str">
        <f t="shared" si="95"/>
        <v/>
      </c>
      <c r="AI60" s="78" t="str">
        <f t="shared" si="96"/>
        <v/>
      </c>
      <c r="AJ60" s="78">
        <v>0</v>
      </c>
      <c r="AK60" s="79">
        <v>0</v>
      </c>
      <c r="AL60" s="78" t="str">
        <f t="shared" si="97"/>
        <v/>
      </c>
      <c r="AM60" s="79">
        <f t="shared" si="64"/>
        <v>0</v>
      </c>
      <c r="AN60" s="78">
        <f t="shared" si="48"/>
        <v>0</v>
      </c>
      <c r="AO60" s="78">
        <f t="shared" si="65"/>
        <v>0</v>
      </c>
      <c r="AP60" s="78">
        <f t="shared" si="66"/>
        <v>0</v>
      </c>
      <c r="AQ60" s="78">
        <f t="shared" si="67"/>
        <v>0</v>
      </c>
      <c r="AR60" s="80">
        <f t="shared" si="68"/>
        <v>0</v>
      </c>
      <c r="AS60" s="80">
        <f t="shared" si="69"/>
        <v>0</v>
      </c>
      <c r="AT60" s="78"/>
      <c r="AU60" s="78"/>
      <c r="AV60" s="80">
        <f t="shared" si="98"/>
        <v>0</v>
      </c>
      <c r="AW60" s="80">
        <f t="shared" si="70"/>
        <v>0</v>
      </c>
      <c r="AX60" s="80">
        <f t="shared" si="71"/>
        <v>0</v>
      </c>
      <c r="AY60" s="80">
        <f t="shared" si="72"/>
        <v>0</v>
      </c>
      <c r="AZ60" s="80">
        <f t="shared" si="73"/>
        <v>0</v>
      </c>
      <c r="BA60" s="78">
        <f t="shared" si="99"/>
        <v>0</v>
      </c>
      <c r="BB60" s="78">
        <f t="shared" si="74"/>
        <v>0</v>
      </c>
      <c r="BC60" s="79">
        <v>0</v>
      </c>
      <c r="BD60" s="78">
        <f t="shared" si="100"/>
        <v>0</v>
      </c>
      <c r="BE60" s="79">
        <f t="shared" si="75"/>
        <v>0</v>
      </c>
      <c r="BF60" s="78">
        <f t="shared" si="49"/>
        <v>0</v>
      </c>
      <c r="BG60" s="78">
        <f t="shared" si="76"/>
        <v>0</v>
      </c>
      <c r="BH60" s="78">
        <f t="shared" si="77"/>
        <v>0</v>
      </c>
      <c r="BI60" s="78">
        <f t="shared" si="78"/>
        <v>0</v>
      </c>
      <c r="BJ60" s="80">
        <f t="shared" si="101"/>
        <v>0</v>
      </c>
      <c r="BK60" s="80">
        <f t="shared" si="102"/>
        <v>0</v>
      </c>
      <c r="BL60" s="78"/>
      <c r="BM60" s="78"/>
      <c r="BN60" s="80">
        <f t="shared" si="103"/>
        <v>0</v>
      </c>
      <c r="BO60" s="74">
        <f t="shared" si="79"/>
        <v>0</v>
      </c>
      <c r="BP60" s="74">
        <f t="shared" si="80"/>
        <v>1</v>
      </c>
      <c r="BQ60" s="74">
        <f t="shared" si="81"/>
        <v>0</v>
      </c>
      <c r="BR60" s="74">
        <f t="shared" si="82"/>
        <v>0</v>
      </c>
      <c r="BS60" s="74">
        <f t="shared" si="50"/>
        <v>0</v>
      </c>
      <c r="BT60" s="74">
        <f t="shared" si="104"/>
        <v>1</v>
      </c>
      <c r="BU60" s="60">
        <f t="shared" si="83"/>
        <v>0</v>
      </c>
      <c r="BV60" s="81">
        <f t="shared" si="105"/>
        <v>1</v>
      </c>
      <c r="BW60" s="60">
        <f t="shared" si="52"/>
        <v>0</v>
      </c>
      <c r="BX60" s="60">
        <f t="shared" si="53"/>
        <v>0</v>
      </c>
      <c r="BY60" s="49" t="str">
        <f t="shared" si="84"/>
        <v/>
      </c>
      <c r="BZ60" s="82" t="str">
        <f t="shared" si="54"/>
        <v/>
      </c>
      <c r="CA60" s="49" t="str">
        <f t="shared" si="55"/>
        <v/>
      </c>
      <c r="CB60" s="49" t="str">
        <f t="shared" si="56"/>
        <v/>
      </c>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0" t="str">
        <f>IF(ISNA(VLOOKUP(A61,Master!AR$60:BD$107,3,FALSE)),"",VLOOKUP(A61,Master!AR$60:BD$107,3,FALSE))</f>
        <v/>
      </c>
      <c r="C61" s="411" t="str">
        <f>IF(ISNA(VLOOKUP(A61,Master!AR$60:BD$107,7,FALSE)),"",VLOOKUP(A61,Master!AR$60:BD$107,7,FALSE))</f>
        <v/>
      </c>
      <c r="D61" s="412" t="str">
        <f>IF(ISNA(VLOOKUP(A61,Master!AR$60:BD$107,8,FALSE)),"",VLOOKUP(A61,Master!AR$60:BD$107,8,FALSE))</f>
        <v/>
      </c>
      <c r="E61" s="417" t="str">
        <f>IF(ISNA(VLOOKUP(A61,Master!AR$60:BD$107,4,FALSE)),"",VLOOKUP(A61,Master!AR$60:BD$107,4,FALSE))</f>
        <v/>
      </c>
      <c r="F61" s="124" t="str">
        <f>IF(ISNA(VLOOKUP(A61,Master!AR$60:BD$107,5,FALSE)),"",VLOOKUP(A61,Master!AR$60:BD$107,5,FALSE))</f>
        <v/>
      </c>
      <c r="G61" s="415" t="str">
        <f>IF(ISNA(VLOOKUP(A61,Master!AR$60:BD$107,6,FALSE)),"",VLOOKUP(A61,Master!AR$60:BD$107,6,FALSE))</f>
        <v/>
      </c>
      <c r="H61" s="415" t="str">
        <f t="shared" si="85"/>
        <v/>
      </c>
      <c r="I61" s="416" t="str">
        <f t="shared" ca="1" si="86"/>
        <v/>
      </c>
      <c r="J61" s="415" t="str">
        <f t="shared" si="87"/>
        <v/>
      </c>
      <c r="K61" s="415" t="str">
        <f t="shared" si="88"/>
        <v/>
      </c>
      <c r="L61" s="415" t="str">
        <f t="shared" si="89"/>
        <v/>
      </c>
      <c r="M61" s="415" t="str">
        <f>IF(ISNA(VLOOKUP(A61,Master!AR$60:BD$107,12,FALSE)),"",VLOOKUP(A61,Master!AR$60:BD$107,12,FALSE))</f>
        <v/>
      </c>
      <c r="N61" s="163"/>
      <c r="O61" s="163"/>
      <c r="P61" s="163"/>
      <c r="Q61" s="163">
        <f t="shared" si="90"/>
        <v>0</v>
      </c>
      <c r="R61" s="52">
        <f t="shared" si="106"/>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8"/>
        <v>0</v>
      </c>
      <c r="Y61" s="79">
        <f t="shared" si="59"/>
        <v>0</v>
      </c>
      <c r="Z61" s="79">
        <f t="shared" si="60"/>
        <v>0</v>
      </c>
      <c r="AA61" s="79">
        <f t="shared" si="61"/>
        <v>0</v>
      </c>
      <c r="AB61" s="79">
        <f t="shared" si="62"/>
        <v>0</v>
      </c>
      <c r="AC61" s="79">
        <f t="shared" si="63"/>
        <v>0</v>
      </c>
      <c r="AD61" s="80" t="str">
        <f t="shared" si="91"/>
        <v/>
      </c>
      <c r="AE61" s="80" t="str">
        <f t="shared" si="92"/>
        <v/>
      </c>
      <c r="AF61" s="80" t="str">
        <f t="shared" si="93"/>
        <v/>
      </c>
      <c r="AG61" s="80" t="str">
        <f t="shared" si="94"/>
        <v/>
      </c>
      <c r="AH61" s="80" t="str">
        <f t="shared" si="95"/>
        <v/>
      </c>
      <c r="AI61" s="78" t="str">
        <f t="shared" si="96"/>
        <v/>
      </c>
      <c r="AJ61" s="78">
        <v>0</v>
      </c>
      <c r="AK61" s="79">
        <v>0</v>
      </c>
      <c r="AL61" s="78" t="str">
        <f t="shared" si="97"/>
        <v/>
      </c>
      <c r="AM61" s="79">
        <f t="shared" si="64"/>
        <v>0</v>
      </c>
      <c r="AN61" s="78">
        <f t="shared" si="48"/>
        <v>0</v>
      </c>
      <c r="AO61" s="78">
        <f t="shared" si="65"/>
        <v>0</v>
      </c>
      <c r="AP61" s="78">
        <f t="shared" si="66"/>
        <v>0</v>
      </c>
      <c r="AQ61" s="78">
        <f t="shared" si="67"/>
        <v>0</v>
      </c>
      <c r="AR61" s="80">
        <f t="shared" si="68"/>
        <v>0</v>
      </c>
      <c r="AS61" s="80">
        <f t="shared" si="69"/>
        <v>0</v>
      </c>
      <c r="AT61" s="78"/>
      <c r="AU61" s="78"/>
      <c r="AV61" s="80">
        <f t="shared" si="98"/>
        <v>0</v>
      </c>
      <c r="AW61" s="80">
        <f t="shared" si="70"/>
        <v>0</v>
      </c>
      <c r="AX61" s="80">
        <f t="shared" si="71"/>
        <v>0</v>
      </c>
      <c r="AY61" s="80">
        <f t="shared" si="72"/>
        <v>0</v>
      </c>
      <c r="AZ61" s="80">
        <f t="shared" si="73"/>
        <v>0</v>
      </c>
      <c r="BA61" s="78">
        <f t="shared" si="99"/>
        <v>0</v>
      </c>
      <c r="BB61" s="78">
        <f t="shared" si="74"/>
        <v>0</v>
      </c>
      <c r="BC61" s="79">
        <v>0</v>
      </c>
      <c r="BD61" s="78">
        <f t="shared" si="100"/>
        <v>0</v>
      </c>
      <c r="BE61" s="79">
        <f t="shared" si="75"/>
        <v>0</v>
      </c>
      <c r="BF61" s="78">
        <f t="shared" si="49"/>
        <v>0</v>
      </c>
      <c r="BG61" s="78">
        <f t="shared" si="76"/>
        <v>0</v>
      </c>
      <c r="BH61" s="78">
        <f t="shared" si="77"/>
        <v>0</v>
      </c>
      <c r="BI61" s="78">
        <f t="shared" si="78"/>
        <v>0</v>
      </c>
      <c r="BJ61" s="80">
        <f t="shared" si="101"/>
        <v>0</v>
      </c>
      <c r="BK61" s="80">
        <f t="shared" si="102"/>
        <v>0</v>
      </c>
      <c r="BL61" s="78"/>
      <c r="BM61" s="78"/>
      <c r="BN61" s="80">
        <f t="shared" si="103"/>
        <v>0</v>
      </c>
      <c r="BO61" s="74">
        <f t="shared" si="79"/>
        <v>0</v>
      </c>
      <c r="BP61" s="74">
        <f t="shared" si="80"/>
        <v>1</v>
      </c>
      <c r="BQ61" s="74">
        <f t="shared" si="81"/>
        <v>0</v>
      </c>
      <c r="BR61" s="74">
        <f t="shared" si="82"/>
        <v>0</v>
      </c>
      <c r="BS61" s="74">
        <f t="shared" si="50"/>
        <v>0</v>
      </c>
      <c r="BT61" s="74">
        <f t="shared" si="104"/>
        <v>1</v>
      </c>
      <c r="BU61" s="60">
        <f t="shared" si="83"/>
        <v>0</v>
      </c>
      <c r="BV61" s="81">
        <f t="shared" si="105"/>
        <v>1</v>
      </c>
      <c r="BW61" s="60">
        <f t="shared" si="52"/>
        <v>0</v>
      </c>
      <c r="BX61" s="60">
        <f t="shared" si="53"/>
        <v>0</v>
      </c>
      <c r="BY61" s="49" t="str">
        <f t="shared" si="84"/>
        <v/>
      </c>
      <c r="BZ61" s="82" t="str">
        <f t="shared" si="54"/>
        <v/>
      </c>
      <c r="CA61" s="49" t="str">
        <f t="shared" si="55"/>
        <v/>
      </c>
      <c r="CB61" s="49" t="str">
        <f t="shared" si="56"/>
        <v/>
      </c>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0" t="str">
        <f>IF(ISNA(VLOOKUP(A62,Master!AR$60:BD$107,3,FALSE)),"",VLOOKUP(A62,Master!AR$60:BD$107,3,FALSE))</f>
        <v/>
      </c>
      <c r="C62" s="411" t="str">
        <f>IF(ISNA(VLOOKUP(A62,Master!AR$60:BD$107,7,FALSE)),"",VLOOKUP(A62,Master!AR$60:BD$107,7,FALSE))</f>
        <v/>
      </c>
      <c r="D62" s="412" t="str">
        <f>IF(ISNA(VLOOKUP(A62,Master!AR$60:BD$107,8,FALSE)),"",VLOOKUP(A62,Master!AR$60:BD$107,8,FALSE))</f>
        <v/>
      </c>
      <c r="E62" s="417" t="str">
        <f>IF(ISNA(VLOOKUP(A62,Master!AR$60:BD$107,4,FALSE)),"",VLOOKUP(A62,Master!AR$60:BD$107,4,FALSE))</f>
        <v/>
      </c>
      <c r="F62" s="124" t="str">
        <f>IF(ISNA(VLOOKUP(A62,Master!AR$60:BD$107,5,FALSE)),"",VLOOKUP(A62,Master!AR$60:BD$107,5,FALSE))</f>
        <v/>
      </c>
      <c r="G62" s="415" t="str">
        <f>IF(ISNA(VLOOKUP(A62,Master!AR$60:BD$107,6,FALSE)),"",VLOOKUP(A62,Master!AR$60:BD$107,6,FALSE))</f>
        <v/>
      </c>
      <c r="H62" s="415" t="str">
        <f t="shared" si="85"/>
        <v/>
      </c>
      <c r="I62" s="416" t="str">
        <f t="shared" ca="1" si="86"/>
        <v/>
      </c>
      <c r="J62" s="415" t="str">
        <f t="shared" si="87"/>
        <v/>
      </c>
      <c r="K62" s="415" t="str">
        <f t="shared" si="88"/>
        <v/>
      </c>
      <c r="L62" s="415" t="str">
        <f t="shared" si="89"/>
        <v/>
      </c>
      <c r="M62" s="415" t="str">
        <f>IF(ISNA(VLOOKUP(A62,Master!AR$60:BD$107,12,FALSE)),"",VLOOKUP(A62,Master!AR$60:BD$107,12,FALSE))</f>
        <v/>
      </c>
      <c r="N62" s="163"/>
      <c r="O62" s="163"/>
      <c r="P62" s="163"/>
      <c r="Q62" s="163">
        <f t="shared" si="90"/>
        <v>0</v>
      </c>
      <c r="R62" s="52">
        <f t="shared" si="106"/>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8"/>
        <v>0</v>
      </c>
      <c r="Y62" s="79">
        <f t="shared" si="59"/>
        <v>0</v>
      </c>
      <c r="Z62" s="79">
        <f t="shared" si="60"/>
        <v>0</v>
      </c>
      <c r="AA62" s="79">
        <f t="shared" si="61"/>
        <v>0</v>
      </c>
      <c r="AB62" s="79">
        <f t="shared" si="62"/>
        <v>0</v>
      </c>
      <c r="AC62" s="79">
        <f t="shared" si="63"/>
        <v>0</v>
      </c>
      <c r="AD62" s="80" t="str">
        <f t="shared" si="91"/>
        <v/>
      </c>
      <c r="AE62" s="80" t="str">
        <f t="shared" si="92"/>
        <v/>
      </c>
      <c r="AF62" s="80" t="str">
        <f t="shared" si="93"/>
        <v/>
      </c>
      <c r="AG62" s="80" t="str">
        <f t="shared" si="94"/>
        <v/>
      </c>
      <c r="AH62" s="80" t="str">
        <f t="shared" si="95"/>
        <v/>
      </c>
      <c r="AI62" s="78" t="str">
        <f t="shared" si="96"/>
        <v/>
      </c>
      <c r="AJ62" s="78">
        <v>0</v>
      </c>
      <c r="AK62" s="79">
        <v>0</v>
      </c>
      <c r="AL62" s="78" t="str">
        <f t="shared" si="97"/>
        <v/>
      </c>
      <c r="AM62" s="79">
        <f t="shared" si="64"/>
        <v>0</v>
      </c>
      <c r="AN62" s="78">
        <f t="shared" si="48"/>
        <v>0</v>
      </c>
      <c r="AO62" s="78">
        <f t="shared" si="65"/>
        <v>0</v>
      </c>
      <c r="AP62" s="78">
        <f t="shared" si="66"/>
        <v>0</v>
      </c>
      <c r="AQ62" s="78">
        <f t="shared" si="67"/>
        <v>0</v>
      </c>
      <c r="AR62" s="80">
        <f t="shared" si="68"/>
        <v>0</v>
      </c>
      <c r="AS62" s="80">
        <f t="shared" si="69"/>
        <v>0</v>
      </c>
      <c r="AT62" s="78"/>
      <c r="AU62" s="78"/>
      <c r="AV62" s="80">
        <f t="shared" si="98"/>
        <v>0</v>
      </c>
      <c r="AW62" s="80">
        <f t="shared" si="70"/>
        <v>0</v>
      </c>
      <c r="AX62" s="80">
        <f t="shared" si="71"/>
        <v>0</v>
      </c>
      <c r="AY62" s="80">
        <f t="shared" si="72"/>
        <v>0</v>
      </c>
      <c r="AZ62" s="80">
        <f t="shared" si="73"/>
        <v>0</v>
      </c>
      <c r="BA62" s="78">
        <f t="shared" si="99"/>
        <v>0</v>
      </c>
      <c r="BB62" s="78">
        <f t="shared" si="74"/>
        <v>0</v>
      </c>
      <c r="BC62" s="79">
        <v>0</v>
      </c>
      <c r="BD62" s="78">
        <f t="shared" si="100"/>
        <v>0</v>
      </c>
      <c r="BE62" s="79">
        <f t="shared" si="75"/>
        <v>0</v>
      </c>
      <c r="BF62" s="78">
        <f t="shared" si="49"/>
        <v>0</v>
      </c>
      <c r="BG62" s="78">
        <f t="shared" si="76"/>
        <v>0</v>
      </c>
      <c r="BH62" s="78">
        <f t="shared" si="77"/>
        <v>0</v>
      </c>
      <c r="BI62" s="78">
        <f t="shared" si="78"/>
        <v>0</v>
      </c>
      <c r="BJ62" s="80">
        <f t="shared" si="101"/>
        <v>0</v>
      </c>
      <c r="BK62" s="80">
        <f t="shared" si="102"/>
        <v>0</v>
      </c>
      <c r="BL62" s="78"/>
      <c r="BM62" s="78"/>
      <c r="BN62" s="80">
        <f t="shared" si="103"/>
        <v>0</v>
      </c>
      <c r="BO62" s="74">
        <f t="shared" si="79"/>
        <v>0</v>
      </c>
      <c r="BP62" s="74">
        <f t="shared" si="80"/>
        <v>1</v>
      </c>
      <c r="BQ62" s="74">
        <f t="shared" si="81"/>
        <v>0</v>
      </c>
      <c r="BR62" s="74">
        <f t="shared" si="82"/>
        <v>0</v>
      </c>
      <c r="BS62" s="74">
        <f t="shared" si="50"/>
        <v>0</v>
      </c>
      <c r="BT62" s="74">
        <f t="shared" si="104"/>
        <v>1</v>
      </c>
      <c r="BU62" s="60">
        <f t="shared" si="83"/>
        <v>0</v>
      </c>
      <c r="BV62" s="81">
        <f t="shared" si="105"/>
        <v>1</v>
      </c>
      <c r="BW62" s="60">
        <f t="shared" si="52"/>
        <v>0</v>
      </c>
      <c r="BX62" s="60">
        <f t="shared" si="53"/>
        <v>0</v>
      </c>
      <c r="BY62" s="49" t="str">
        <f t="shared" si="84"/>
        <v/>
      </c>
      <c r="BZ62" s="82" t="str">
        <f t="shared" si="54"/>
        <v/>
      </c>
      <c r="CA62" s="49" t="str">
        <f t="shared" si="55"/>
        <v/>
      </c>
      <c r="CB62" s="49" t="str">
        <f t="shared" si="56"/>
        <v/>
      </c>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0" t="str">
        <f>IF(ISNA(VLOOKUP(A63,Master!AR$60:BD$107,3,FALSE)),"",VLOOKUP(A63,Master!AR$60:BD$107,3,FALSE))</f>
        <v/>
      </c>
      <c r="C63" s="411" t="str">
        <f>IF(ISNA(VLOOKUP(A63,Master!AR$60:BD$107,7,FALSE)),"",VLOOKUP(A63,Master!AR$60:BD$107,7,FALSE))</f>
        <v/>
      </c>
      <c r="D63" s="412" t="str">
        <f>IF(ISNA(VLOOKUP(A63,Master!AR$60:BD$107,8,FALSE)),"",VLOOKUP(A63,Master!AR$60:BD$107,8,FALSE))</f>
        <v/>
      </c>
      <c r="E63" s="417" t="str">
        <f>IF(ISNA(VLOOKUP(A63,Master!AR$60:BD$107,4,FALSE)),"",VLOOKUP(A63,Master!AR$60:BD$107,4,FALSE))</f>
        <v/>
      </c>
      <c r="F63" s="124" t="str">
        <f>IF(ISNA(VLOOKUP(A63,Master!AR$60:BD$107,5,FALSE)),"",VLOOKUP(A63,Master!AR$60:BD$107,5,FALSE))</f>
        <v/>
      </c>
      <c r="G63" s="415" t="str">
        <f>IF(ISNA(VLOOKUP(A63,Master!AR$60:BD$107,6,FALSE)),"",VLOOKUP(A63,Master!AR$60:BD$107,6,FALSE))</f>
        <v/>
      </c>
      <c r="H63" s="415" t="str">
        <f t="shared" si="85"/>
        <v/>
      </c>
      <c r="I63" s="416" t="str">
        <f t="shared" ca="1" si="86"/>
        <v/>
      </c>
      <c r="J63" s="415" t="str">
        <f t="shared" si="87"/>
        <v/>
      </c>
      <c r="K63" s="415" t="str">
        <f t="shared" si="88"/>
        <v/>
      </c>
      <c r="L63" s="415" t="str">
        <f t="shared" si="89"/>
        <v/>
      </c>
      <c r="M63" s="415" t="str">
        <f>IF(ISNA(VLOOKUP(A63,Master!AR$60:BD$107,12,FALSE)),"",VLOOKUP(A63,Master!AR$60:BD$107,12,FALSE))</f>
        <v/>
      </c>
      <c r="N63" s="163"/>
      <c r="O63" s="163"/>
      <c r="P63" s="163"/>
      <c r="Q63" s="163">
        <f t="shared" si="90"/>
        <v>0</v>
      </c>
      <c r="R63" s="52">
        <f t="shared" si="106"/>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8"/>
        <v>0</v>
      </c>
      <c r="Y63" s="79">
        <f t="shared" si="59"/>
        <v>0</v>
      </c>
      <c r="Z63" s="79">
        <f t="shared" si="60"/>
        <v>0</v>
      </c>
      <c r="AA63" s="79">
        <f t="shared" si="61"/>
        <v>0</v>
      </c>
      <c r="AB63" s="79">
        <f t="shared" si="62"/>
        <v>0</v>
      </c>
      <c r="AC63" s="79">
        <f t="shared" si="63"/>
        <v>0</v>
      </c>
      <c r="AD63" s="80" t="str">
        <f t="shared" si="91"/>
        <v/>
      </c>
      <c r="AE63" s="80" t="str">
        <f t="shared" si="92"/>
        <v/>
      </c>
      <c r="AF63" s="80" t="str">
        <f t="shared" si="93"/>
        <v/>
      </c>
      <c r="AG63" s="80" t="str">
        <f t="shared" si="94"/>
        <v/>
      </c>
      <c r="AH63" s="80" t="str">
        <f t="shared" si="95"/>
        <v/>
      </c>
      <c r="AI63" s="78" t="str">
        <f t="shared" si="96"/>
        <v/>
      </c>
      <c r="AJ63" s="78">
        <v>0</v>
      </c>
      <c r="AK63" s="79">
        <v>0</v>
      </c>
      <c r="AL63" s="78" t="str">
        <f t="shared" si="97"/>
        <v/>
      </c>
      <c r="AM63" s="79">
        <f t="shared" si="64"/>
        <v>0</v>
      </c>
      <c r="AN63" s="78">
        <f t="shared" si="48"/>
        <v>0</v>
      </c>
      <c r="AO63" s="78">
        <f t="shared" si="65"/>
        <v>0</v>
      </c>
      <c r="AP63" s="78">
        <f t="shared" si="66"/>
        <v>0</v>
      </c>
      <c r="AQ63" s="78">
        <f t="shared" si="67"/>
        <v>0</v>
      </c>
      <c r="AR63" s="80">
        <f t="shared" si="68"/>
        <v>0</v>
      </c>
      <c r="AS63" s="80">
        <f t="shared" si="69"/>
        <v>0</v>
      </c>
      <c r="AT63" s="78"/>
      <c r="AU63" s="78"/>
      <c r="AV63" s="80">
        <f t="shared" si="98"/>
        <v>0</v>
      </c>
      <c r="AW63" s="80">
        <f t="shared" si="70"/>
        <v>0</v>
      </c>
      <c r="AX63" s="80">
        <f t="shared" si="71"/>
        <v>0</v>
      </c>
      <c r="AY63" s="80">
        <f t="shared" si="72"/>
        <v>0</v>
      </c>
      <c r="AZ63" s="80">
        <f t="shared" si="73"/>
        <v>0</v>
      </c>
      <c r="BA63" s="78">
        <f t="shared" si="99"/>
        <v>0</v>
      </c>
      <c r="BB63" s="78">
        <f t="shared" si="74"/>
        <v>0</v>
      </c>
      <c r="BC63" s="79">
        <v>0</v>
      </c>
      <c r="BD63" s="78">
        <f t="shared" si="100"/>
        <v>0</v>
      </c>
      <c r="BE63" s="79">
        <f t="shared" si="75"/>
        <v>0</v>
      </c>
      <c r="BF63" s="78">
        <f t="shared" si="49"/>
        <v>0</v>
      </c>
      <c r="BG63" s="78">
        <f t="shared" si="76"/>
        <v>0</v>
      </c>
      <c r="BH63" s="78">
        <f t="shared" si="77"/>
        <v>0</v>
      </c>
      <c r="BI63" s="78">
        <f t="shared" si="78"/>
        <v>0</v>
      </c>
      <c r="BJ63" s="80">
        <f t="shared" si="101"/>
        <v>0</v>
      </c>
      <c r="BK63" s="80">
        <f t="shared" si="102"/>
        <v>0</v>
      </c>
      <c r="BL63" s="78"/>
      <c r="BM63" s="78"/>
      <c r="BN63" s="80">
        <f t="shared" si="103"/>
        <v>0</v>
      </c>
      <c r="BO63" s="74">
        <f t="shared" si="79"/>
        <v>0</v>
      </c>
      <c r="BP63" s="74">
        <f t="shared" si="80"/>
        <v>1</v>
      </c>
      <c r="BQ63" s="74">
        <f t="shared" si="81"/>
        <v>0</v>
      </c>
      <c r="BR63" s="74">
        <f t="shared" si="82"/>
        <v>0</v>
      </c>
      <c r="BS63" s="74">
        <f t="shared" si="50"/>
        <v>0</v>
      </c>
      <c r="BT63" s="74">
        <f t="shared" si="104"/>
        <v>1</v>
      </c>
      <c r="BU63" s="60">
        <f t="shared" si="83"/>
        <v>0</v>
      </c>
      <c r="BV63" s="81">
        <f t="shared" si="105"/>
        <v>1</v>
      </c>
      <c r="BW63" s="60">
        <f t="shared" si="52"/>
        <v>0</v>
      </c>
      <c r="BX63" s="60">
        <f t="shared" si="53"/>
        <v>0</v>
      </c>
      <c r="BY63" s="49" t="str">
        <f t="shared" si="84"/>
        <v/>
      </c>
      <c r="BZ63" s="82" t="str">
        <f t="shared" si="54"/>
        <v/>
      </c>
      <c r="CA63" s="49" t="str">
        <f t="shared" si="55"/>
        <v/>
      </c>
      <c r="CB63" s="49" t="str">
        <f t="shared" si="56"/>
        <v/>
      </c>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0" t="str">
        <f>IF(ISNA(VLOOKUP(A64,Master!AR$60:BD$107,3,FALSE)),"",VLOOKUP(A64,Master!AR$60:BD$107,3,FALSE))</f>
        <v/>
      </c>
      <c r="C64" s="411" t="str">
        <f>IF(ISNA(VLOOKUP(A64,Master!AR$60:BD$107,7,FALSE)),"",VLOOKUP(A64,Master!AR$60:BD$107,7,FALSE))</f>
        <v/>
      </c>
      <c r="D64" s="412" t="str">
        <f>IF(ISNA(VLOOKUP(A64,Master!AR$60:BD$107,8,FALSE)),"",VLOOKUP(A64,Master!AR$60:BD$107,8,FALSE))</f>
        <v/>
      </c>
      <c r="E64" s="417" t="str">
        <f>IF(ISNA(VLOOKUP(A64,Master!AR$60:BD$107,4,FALSE)),"",VLOOKUP(A64,Master!AR$60:BD$107,4,FALSE))</f>
        <v/>
      </c>
      <c r="F64" s="124" t="str">
        <f>IF(ISNA(VLOOKUP(A64,Master!AR$60:BD$107,5,FALSE)),"",VLOOKUP(A64,Master!AR$60:BD$107,5,FALSE))</f>
        <v/>
      </c>
      <c r="G64" s="415" t="str">
        <f>IF(ISNA(VLOOKUP(A64,Master!AR$60:BD$107,6,FALSE)),"",VLOOKUP(A64,Master!AR$60:BD$107,6,FALSE))</f>
        <v/>
      </c>
      <c r="H64" s="415" t="str">
        <f t="shared" si="85"/>
        <v/>
      </c>
      <c r="I64" s="416" t="str">
        <f t="shared" ca="1" si="86"/>
        <v/>
      </c>
      <c r="J64" s="415" t="str">
        <f t="shared" si="87"/>
        <v/>
      </c>
      <c r="K64" s="415" t="str">
        <f t="shared" si="88"/>
        <v/>
      </c>
      <c r="L64" s="415" t="str">
        <f t="shared" si="89"/>
        <v/>
      </c>
      <c r="M64" s="415" t="str">
        <f>IF(ISNA(VLOOKUP(A64,Master!AR$60:BD$107,12,FALSE)),"",VLOOKUP(A64,Master!AR$60:BD$107,12,FALSE))</f>
        <v/>
      </c>
      <c r="N64" s="163"/>
      <c r="O64" s="163"/>
      <c r="P64" s="163"/>
      <c r="Q64" s="163">
        <f t="shared" si="90"/>
        <v>0</v>
      </c>
      <c r="R64" s="52">
        <f t="shared" si="106"/>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8"/>
        <v>0</v>
      </c>
      <c r="Y64" s="79">
        <f t="shared" si="59"/>
        <v>0</v>
      </c>
      <c r="Z64" s="79">
        <f t="shared" si="60"/>
        <v>0</v>
      </c>
      <c r="AA64" s="79">
        <f t="shared" si="61"/>
        <v>0</v>
      </c>
      <c r="AB64" s="79">
        <f t="shared" si="62"/>
        <v>0</v>
      </c>
      <c r="AC64" s="79">
        <f t="shared" si="63"/>
        <v>0</v>
      </c>
      <c r="AD64" s="80" t="str">
        <f t="shared" si="91"/>
        <v/>
      </c>
      <c r="AE64" s="80" t="str">
        <f t="shared" si="92"/>
        <v/>
      </c>
      <c r="AF64" s="80" t="str">
        <f t="shared" si="93"/>
        <v/>
      </c>
      <c r="AG64" s="80" t="str">
        <f t="shared" si="94"/>
        <v/>
      </c>
      <c r="AH64" s="80" t="str">
        <f t="shared" si="95"/>
        <v/>
      </c>
      <c r="AI64" s="78" t="str">
        <f t="shared" si="96"/>
        <v/>
      </c>
      <c r="AJ64" s="78">
        <v>0</v>
      </c>
      <c r="AK64" s="79">
        <v>0</v>
      </c>
      <c r="AL64" s="78" t="str">
        <f t="shared" si="97"/>
        <v/>
      </c>
      <c r="AM64" s="79">
        <f t="shared" si="64"/>
        <v>0</v>
      </c>
      <c r="AN64" s="78">
        <f t="shared" si="48"/>
        <v>0</v>
      </c>
      <c r="AO64" s="78">
        <f t="shared" si="65"/>
        <v>0</v>
      </c>
      <c r="AP64" s="78">
        <f t="shared" si="66"/>
        <v>0</v>
      </c>
      <c r="AQ64" s="78">
        <f t="shared" si="67"/>
        <v>0</v>
      </c>
      <c r="AR64" s="80">
        <f t="shared" si="68"/>
        <v>0</v>
      </c>
      <c r="AS64" s="80">
        <f t="shared" si="69"/>
        <v>0</v>
      </c>
      <c r="AT64" s="78"/>
      <c r="AU64" s="78"/>
      <c r="AV64" s="80">
        <f t="shared" si="98"/>
        <v>0</v>
      </c>
      <c r="AW64" s="80">
        <f t="shared" si="70"/>
        <v>0</v>
      </c>
      <c r="AX64" s="80">
        <f t="shared" si="71"/>
        <v>0</v>
      </c>
      <c r="AY64" s="80">
        <f t="shared" si="72"/>
        <v>0</v>
      </c>
      <c r="AZ64" s="80">
        <f t="shared" si="73"/>
        <v>0</v>
      </c>
      <c r="BA64" s="78">
        <f t="shared" si="99"/>
        <v>0</v>
      </c>
      <c r="BB64" s="78">
        <f t="shared" si="74"/>
        <v>0</v>
      </c>
      <c r="BC64" s="79">
        <v>0</v>
      </c>
      <c r="BD64" s="78">
        <f t="shared" si="100"/>
        <v>0</v>
      </c>
      <c r="BE64" s="79">
        <f t="shared" si="75"/>
        <v>0</v>
      </c>
      <c r="BF64" s="78">
        <f t="shared" si="49"/>
        <v>0</v>
      </c>
      <c r="BG64" s="78">
        <f t="shared" si="76"/>
        <v>0</v>
      </c>
      <c r="BH64" s="78">
        <f t="shared" si="77"/>
        <v>0</v>
      </c>
      <c r="BI64" s="78">
        <f t="shared" si="78"/>
        <v>0</v>
      </c>
      <c r="BJ64" s="80">
        <f t="shared" si="101"/>
        <v>0</v>
      </c>
      <c r="BK64" s="80">
        <f t="shared" si="102"/>
        <v>0</v>
      </c>
      <c r="BL64" s="78"/>
      <c r="BM64" s="78"/>
      <c r="BN64" s="80">
        <f t="shared" si="103"/>
        <v>0</v>
      </c>
      <c r="BO64" s="74">
        <f t="shared" si="79"/>
        <v>0</v>
      </c>
      <c r="BP64" s="74">
        <f t="shared" si="80"/>
        <v>1</v>
      </c>
      <c r="BQ64" s="74">
        <f t="shared" si="81"/>
        <v>0</v>
      </c>
      <c r="BR64" s="74">
        <f t="shared" si="82"/>
        <v>0</v>
      </c>
      <c r="BS64" s="74">
        <f t="shared" si="50"/>
        <v>0</v>
      </c>
      <c r="BT64" s="74">
        <f t="shared" si="104"/>
        <v>1</v>
      </c>
      <c r="BU64" s="60">
        <f t="shared" si="83"/>
        <v>0</v>
      </c>
      <c r="BV64" s="81">
        <f t="shared" si="105"/>
        <v>1</v>
      </c>
      <c r="BW64" s="60">
        <f t="shared" si="52"/>
        <v>0</v>
      </c>
      <c r="BX64" s="60">
        <f t="shared" si="53"/>
        <v>0</v>
      </c>
      <c r="BY64" s="49" t="str">
        <f t="shared" si="84"/>
        <v/>
      </c>
      <c r="BZ64" s="82" t="str">
        <f t="shared" si="54"/>
        <v/>
      </c>
      <c r="CA64" s="49" t="str">
        <f t="shared" si="55"/>
        <v/>
      </c>
      <c r="CB64" s="49" t="str">
        <f t="shared" si="56"/>
        <v/>
      </c>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0" t="str">
        <f>IF(ISNA(VLOOKUP(A65,Master!AR$60:BD$107,3,FALSE)),"",VLOOKUP(A65,Master!AR$60:BD$107,3,FALSE))</f>
        <v/>
      </c>
      <c r="C65" s="411" t="str">
        <f>IF(ISNA(VLOOKUP(A65,Master!AR$60:BD$107,7,FALSE)),"",VLOOKUP(A65,Master!AR$60:BD$107,7,FALSE))</f>
        <v/>
      </c>
      <c r="D65" s="412" t="str">
        <f>IF(ISNA(VLOOKUP(A65,Master!AR$60:BD$107,8,FALSE)),"",VLOOKUP(A65,Master!AR$60:BD$107,8,FALSE))</f>
        <v/>
      </c>
      <c r="E65" s="417" t="str">
        <f>IF(ISNA(VLOOKUP(A65,Master!AR$60:BD$107,4,FALSE)),"",VLOOKUP(A65,Master!AR$60:BD$107,4,FALSE))</f>
        <v/>
      </c>
      <c r="F65" s="124" t="str">
        <f>IF(ISNA(VLOOKUP(A65,Master!AR$60:BD$107,5,FALSE)),"",VLOOKUP(A65,Master!AR$60:BD$107,5,FALSE))</f>
        <v/>
      </c>
      <c r="G65" s="415" t="str">
        <f>IF(ISNA(VLOOKUP(A65,Master!AR$60:BD$107,6,FALSE)),"",VLOOKUP(A65,Master!AR$60:BD$107,6,FALSE))</f>
        <v/>
      </c>
      <c r="H65" s="415" t="str">
        <f t="shared" si="85"/>
        <v/>
      </c>
      <c r="I65" s="416" t="str">
        <f t="shared" ca="1" si="86"/>
        <v/>
      </c>
      <c r="J65" s="415" t="str">
        <f t="shared" si="87"/>
        <v/>
      </c>
      <c r="K65" s="415" t="str">
        <f t="shared" si="88"/>
        <v/>
      </c>
      <c r="L65" s="415" t="str">
        <f t="shared" si="89"/>
        <v/>
      </c>
      <c r="M65" s="415" t="str">
        <f>IF(ISNA(VLOOKUP(A65,Master!AR$60:BD$107,12,FALSE)),"",VLOOKUP(A65,Master!AR$60:BD$107,12,FALSE))</f>
        <v/>
      </c>
      <c r="N65" s="163"/>
      <c r="O65" s="163"/>
      <c r="P65" s="163"/>
      <c r="Q65" s="163">
        <f t="shared" si="90"/>
        <v>0</v>
      </c>
      <c r="R65" s="52">
        <f t="shared" si="106"/>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8"/>
        <v>0</v>
      </c>
      <c r="Y65" s="79">
        <f t="shared" si="59"/>
        <v>0</v>
      </c>
      <c r="Z65" s="79">
        <f t="shared" si="60"/>
        <v>0</v>
      </c>
      <c r="AA65" s="79">
        <f t="shared" si="61"/>
        <v>0</v>
      </c>
      <c r="AB65" s="79">
        <f t="shared" si="62"/>
        <v>0</v>
      </c>
      <c r="AC65" s="79">
        <f t="shared" si="63"/>
        <v>0</v>
      </c>
      <c r="AD65" s="80" t="str">
        <f t="shared" si="91"/>
        <v/>
      </c>
      <c r="AE65" s="80" t="str">
        <f t="shared" si="92"/>
        <v/>
      </c>
      <c r="AF65" s="80" t="str">
        <f t="shared" si="93"/>
        <v/>
      </c>
      <c r="AG65" s="80" t="str">
        <f t="shared" si="94"/>
        <v/>
      </c>
      <c r="AH65" s="80" t="str">
        <f t="shared" si="95"/>
        <v/>
      </c>
      <c r="AI65" s="78" t="str">
        <f t="shared" si="96"/>
        <v/>
      </c>
      <c r="AJ65" s="78">
        <v>0</v>
      </c>
      <c r="AK65" s="79">
        <v>0</v>
      </c>
      <c r="AL65" s="78" t="str">
        <f t="shared" si="97"/>
        <v/>
      </c>
      <c r="AM65" s="79">
        <f t="shared" si="64"/>
        <v>0</v>
      </c>
      <c r="AN65" s="78">
        <f t="shared" si="48"/>
        <v>0</v>
      </c>
      <c r="AO65" s="78">
        <f t="shared" si="65"/>
        <v>0</v>
      </c>
      <c r="AP65" s="78">
        <f t="shared" si="66"/>
        <v>0</v>
      </c>
      <c r="AQ65" s="78">
        <f t="shared" si="67"/>
        <v>0</v>
      </c>
      <c r="AR65" s="80">
        <f t="shared" si="68"/>
        <v>0</v>
      </c>
      <c r="AS65" s="80">
        <f t="shared" si="69"/>
        <v>0</v>
      </c>
      <c r="AT65" s="78"/>
      <c r="AU65" s="78"/>
      <c r="AV65" s="80">
        <f t="shared" si="98"/>
        <v>0</v>
      </c>
      <c r="AW65" s="80">
        <f t="shared" si="70"/>
        <v>0</v>
      </c>
      <c r="AX65" s="80">
        <f t="shared" si="71"/>
        <v>0</v>
      </c>
      <c r="AY65" s="80">
        <f t="shared" si="72"/>
        <v>0</v>
      </c>
      <c r="AZ65" s="80">
        <f t="shared" si="73"/>
        <v>0</v>
      </c>
      <c r="BA65" s="78">
        <f t="shared" si="99"/>
        <v>0</v>
      </c>
      <c r="BB65" s="78">
        <f t="shared" si="74"/>
        <v>0</v>
      </c>
      <c r="BC65" s="79">
        <v>0</v>
      </c>
      <c r="BD65" s="78">
        <f t="shared" si="100"/>
        <v>0</v>
      </c>
      <c r="BE65" s="79">
        <f t="shared" si="75"/>
        <v>0</v>
      </c>
      <c r="BF65" s="78">
        <f t="shared" si="49"/>
        <v>0</v>
      </c>
      <c r="BG65" s="78">
        <f t="shared" si="76"/>
        <v>0</v>
      </c>
      <c r="BH65" s="78">
        <f t="shared" si="77"/>
        <v>0</v>
      </c>
      <c r="BI65" s="78">
        <f t="shared" si="78"/>
        <v>0</v>
      </c>
      <c r="BJ65" s="80">
        <f t="shared" si="101"/>
        <v>0</v>
      </c>
      <c r="BK65" s="80">
        <f t="shared" si="102"/>
        <v>0</v>
      </c>
      <c r="BL65" s="78"/>
      <c r="BM65" s="78"/>
      <c r="BN65" s="80">
        <f t="shared" si="103"/>
        <v>0</v>
      </c>
      <c r="BO65" s="74">
        <f t="shared" si="79"/>
        <v>0</v>
      </c>
      <c r="BP65" s="74">
        <f t="shared" si="80"/>
        <v>1</v>
      </c>
      <c r="BQ65" s="74">
        <f t="shared" si="81"/>
        <v>0</v>
      </c>
      <c r="BR65" s="74">
        <f t="shared" si="82"/>
        <v>0</v>
      </c>
      <c r="BS65" s="74">
        <f t="shared" si="50"/>
        <v>0</v>
      </c>
      <c r="BT65" s="74">
        <f t="shared" si="104"/>
        <v>1</v>
      </c>
      <c r="BU65" s="60">
        <f t="shared" si="83"/>
        <v>0</v>
      </c>
      <c r="BV65" s="81">
        <f t="shared" si="105"/>
        <v>1</v>
      </c>
      <c r="BW65" s="60">
        <f t="shared" si="52"/>
        <v>0</v>
      </c>
      <c r="BX65" s="60">
        <f t="shared" si="53"/>
        <v>0</v>
      </c>
      <c r="BY65" s="49" t="str">
        <f t="shared" si="84"/>
        <v/>
      </c>
      <c r="BZ65" s="82" t="str">
        <f t="shared" si="54"/>
        <v/>
      </c>
      <c r="CA65" s="49" t="str">
        <f t="shared" si="55"/>
        <v/>
      </c>
      <c r="CB65" s="49" t="str">
        <f t="shared" si="56"/>
        <v/>
      </c>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0" t="str">
        <f>IF(ISNA(VLOOKUP(A66,Master!AR$60:BD$107,3,FALSE)),"",VLOOKUP(A66,Master!AR$60:BD$107,3,FALSE))</f>
        <v/>
      </c>
      <c r="C66" s="411" t="str">
        <f>IF(ISNA(VLOOKUP(A66,Master!AR$60:BD$107,7,FALSE)),"",VLOOKUP(A66,Master!AR$60:BD$107,7,FALSE))</f>
        <v/>
      </c>
      <c r="D66" s="412" t="str">
        <f>IF(ISNA(VLOOKUP(A66,Master!AR$60:BD$107,8,FALSE)),"",VLOOKUP(A66,Master!AR$60:BD$107,8,FALSE))</f>
        <v/>
      </c>
      <c r="E66" s="417" t="str">
        <f>IF(ISNA(VLOOKUP(A66,Master!AR$60:BD$107,4,FALSE)),"",VLOOKUP(A66,Master!AR$60:BD$107,4,FALSE))</f>
        <v/>
      </c>
      <c r="F66" s="124" t="str">
        <f>IF(ISNA(VLOOKUP(A66,Master!AR$60:BD$107,5,FALSE)),"",VLOOKUP(A66,Master!AR$60:BD$107,5,FALSE))</f>
        <v/>
      </c>
      <c r="G66" s="415" t="str">
        <f>IF(ISNA(VLOOKUP(A66,Master!AR$60:BD$107,6,FALSE)),"",VLOOKUP(A66,Master!AR$60:BD$107,6,FALSE))</f>
        <v/>
      </c>
      <c r="H66" s="415" t="str">
        <f t="shared" si="85"/>
        <v/>
      </c>
      <c r="I66" s="416" t="str">
        <f t="shared" ca="1" si="86"/>
        <v/>
      </c>
      <c r="J66" s="415" t="str">
        <f t="shared" si="87"/>
        <v/>
      </c>
      <c r="K66" s="415" t="str">
        <f t="shared" si="88"/>
        <v/>
      </c>
      <c r="L66" s="415" t="str">
        <f t="shared" si="89"/>
        <v/>
      </c>
      <c r="M66" s="415" t="str">
        <f>IF(ISNA(VLOOKUP(A66,Master!AR$60:BD$107,12,FALSE)),"",VLOOKUP(A66,Master!AR$60:BD$107,12,FALSE))</f>
        <v/>
      </c>
      <c r="N66" s="163"/>
      <c r="O66" s="163"/>
      <c r="P66" s="163"/>
      <c r="Q66" s="163">
        <f t="shared" si="90"/>
        <v>0</v>
      </c>
      <c r="R66" s="52">
        <f t="shared" si="106"/>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8"/>
        <v>0</v>
      </c>
      <c r="Y66" s="79">
        <f t="shared" si="59"/>
        <v>0</v>
      </c>
      <c r="Z66" s="79">
        <f t="shared" si="60"/>
        <v>0</v>
      </c>
      <c r="AA66" s="79">
        <f t="shared" si="61"/>
        <v>0</v>
      </c>
      <c r="AB66" s="79">
        <f t="shared" si="62"/>
        <v>0</v>
      </c>
      <c r="AC66" s="79">
        <f t="shared" si="63"/>
        <v>0</v>
      </c>
      <c r="AD66" s="80" t="str">
        <f t="shared" si="91"/>
        <v/>
      </c>
      <c r="AE66" s="80" t="str">
        <f t="shared" si="92"/>
        <v/>
      </c>
      <c r="AF66" s="80" t="str">
        <f t="shared" si="93"/>
        <v/>
      </c>
      <c r="AG66" s="80" t="str">
        <f t="shared" si="94"/>
        <v/>
      </c>
      <c r="AH66" s="80" t="str">
        <f t="shared" si="95"/>
        <v/>
      </c>
      <c r="AI66" s="78" t="str">
        <f t="shared" si="96"/>
        <v/>
      </c>
      <c r="AJ66" s="78">
        <v>0</v>
      </c>
      <c r="AK66" s="79">
        <v>0</v>
      </c>
      <c r="AL66" s="78" t="str">
        <f t="shared" si="97"/>
        <v/>
      </c>
      <c r="AM66" s="79">
        <f t="shared" si="64"/>
        <v>0</v>
      </c>
      <c r="AN66" s="78">
        <f t="shared" si="48"/>
        <v>0</v>
      </c>
      <c r="AO66" s="78">
        <f t="shared" si="65"/>
        <v>0</v>
      </c>
      <c r="AP66" s="78">
        <f t="shared" si="66"/>
        <v>0</v>
      </c>
      <c r="AQ66" s="78">
        <f t="shared" si="67"/>
        <v>0</v>
      </c>
      <c r="AR66" s="80">
        <f t="shared" si="68"/>
        <v>0</v>
      </c>
      <c r="AS66" s="80">
        <f t="shared" si="69"/>
        <v>0</v>
      </c>
      <c r="AT66" s="78"/>
      <c r="AU66" s="78"/>
      <c r="AV66" s="80">
        <f t="shared" si="98"/>
        <v>0</v>
      </c>
      <c r="AW66" s="80">
        <f t="shared" si="70"/>
        <v>0</v>
      </c>
      <c r="AX66" s="80">
        <f t="shared" si="71"/>
        <v>0</v>
      </c>
      <c r="AY66" s="80">
        <f t="shared" si="72"/>
        <v>0</v>
      </c>
      <c r="AZ66" s="80">
        <f t="shared" si="73"/>
        <v>0</v>
      </c>
      <c r="BA66" s="78">
        <f t="shared" si="99"/>
        <v>0</v>
      </c>
      <c r="BB66" s="78">
        <f t="shared" si="74"/>
        <v>0</v>
      </c>
      <c r="BC66" s="79">
        <v>0</v>
      </c>
      <c r="BD66" s="78">
        <f t="shared" si="100"/>
        <v>0</v>
      </c>
      <c r="BE66" s="79">
        <f t="shared" si="75"/>
        <v>0</v>
      </c>
      <c r="BF66" s="78">
        <f t="shared" si="49"/>
        <v>0</v>
      </c>
      <c r="BG66" s="78">
        <f t="shared" si="76"/>
        <v>0</v>
      </c>
      <c r="BH66" s="78">
        <f t="shared" si="77"/>
        <v>0</v>
      </c>
      <c r="BI66" s="78">
        <f t="shared" si="78"/>
        <v>0</v>
      </c>
      <c r="BJ66" s="80">
        <f t="shared" si="101"/>
        <v>0</v>
      </c>
      <c r="BK66" s="80">
        <f t="shared" si="102"/>
        <v>0</v>
      </c>
      <c r="BL66" s="78"/>
      <c r="BM66" s="78"/>
      <c r="BN66" s="80">
        <f t="shared" si="103"/>
        <v>0</v>
      </c>
      <c r="BO66" s="74">
        <f t="shared" si="79"/>
        <v>0</v>
      </c>
      <c r="BP66" s="74">
        <f t="shared" si="80"/>
        <v>1</v>
      </c>
      <c r="BQ66" s="74">
        <f t="shared" si="81"/>
        <v>0</v>
      </c>
      <c r="BR66" s="74">
        <f t="shared" si="82"/>
        <v>0</v>
      </c>
      <c r="BS66" s="74">
        <f t="shared" si="50"/>
        <v>0</v>
      </c>
      <c r="BT66" s="74">
        <f t="shared" si="104"/>
        <v>1</v>
      </c>
      <c r="BU66" s="60">
        <f t="shared" si="83"/>
        <v>0</v>
      </c>
      <c r="BV66" s="81">
        <f t="shared" si="105"/>
        <v>1</v>
      </c>
      <c r="BW66" s="60">
        <f t="shared" si="52"/>
        <v>0</v>
      </c>
      <c r="BX66" s="60">
        <f t="shared" si="53"/>
        <v>0</v>
      </c>
      <c r="BY66" s="49" t="str">
        <f t="shared" si="84"/>
        <v/>
      </c>
      <c r="BZ66" s="82" t="str">
        <f t="shared" si="54"/>
        <v/>
      </c>
      <c r="CA66" s="49" t="str">
        <f t="shared" si="55"/>
        <v/>
      </c>
      <c r="CB66" s="49" t="str">
        <f t="shared" si="56"/>
        <v/>
      </c>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0" t="str">
        <f>IF(ISNA(VLOOKUP(A67,Master!AR$60:BD$107,3,FALSE)),"",VLOOKUP(A67,Master!AR$60:BD$107,3,FALSE))</f>
        <v/>
      </c>
      <c r="C67" s="411" t="str">
        <f>IF(ISNA(VLOOKUP(A67,Master!AR$60:BD$107,7,FALSE)),"",VLOOKUP(A67,Master!AR$60:BD$107,7,FALSE))</f>
        <v/>
      </c>
      <c r="D67" s="412" t="str">
        <f>IF(ISNA(VLOOKUP(A67,Master!AR$60:BD$107,8,FALSE)),"",VLOOKUP(A67,Master!AR$60:BD$107,8,FALSE))</f>
        <v/>
      </c>
      <c r="E67" s="417" t="str">
        <f>IF(ISNA(VLOOKUP(A67,Master!AR$60:BD$107,4,FALSE)),"",VLOOKUP(A67,Master!AR$60:BD$107,4,FALSE))</f>
        <v/>
      </c>
      <c r="F67" s="124" t="str">
        <f>IF(ISNA(VLOOKUP(A67,Master!AR$60:BD$107,5,FALSE)),"",VLOOKUP(A67,Master!AR$60:BD$107,5,FALSE))</f>
        <v/>
      </c>
      <c r="G67" s="415" t="str">
        <f>IF(ISNA(VLOOKUP(A67,Master!AR$60:BD$107,6,FALSE)),"",VLOOKUP(A67,Master!AR$60:BD$107,6,FALSE))</f>
        <v/>
      </c>
      <c r="H67" s="415" t="str">
        <f t="shared" si="85"/>
        <v/>
      </c>
      <c r="I67" s="416" t="str">
        <f t="shared" ca="1" si="86"/>
        <v/>
      </c>
      <c r="J67" s="415" t="str">
        <f t="shared" si="87"/>
        <v/>
      </c>
      <c r="K67" s="415" t="str">
        <f t="shared" si="88"/>
        <v/>
      </c>
      <c r="L67" s="415" t="str">
        <f t="shared" si="89"/>
        <v/>
      </c>
      <c r="M67" s="415" t="str">
        <f>IF(ISNA(VLOOKUP(A67,Master!AR$60:BD$107,12,FALSE)),"",VLOOKUP(A67,Master!AR$60:BD$107,12,FALSE))</f>
        <v/>
      </c>
      <c r="N67" s="163"/>
      <c r="O67" s="163"/>
      <c r="P67" s="163"/>
      <c r="Q67" s="163">
        <f t="shared" si="90"/>
        <v>0</v>
      </c>
      <c r="R67" s="52">
        <f t="shared" si="106"/>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8"/>
        <v>0</v>
      </c>
      <c r="Y67" s="79">
        <f t="shared" si="59"/>
        <v>0</v>
      </c>
      <c r="Z67" s="79">
        <f t="shared" si="60"/>
        <v>0</v>
      </c>
      <c r="AA67" s="79">
        <f t="shared" si="61"/>
        <v>0</v>
      </c>
      <c r="AB67" s="79">
        <f t="shared" si="62"/>
        <v>0</v>
      </c>
      <c r="AC67" s="79">
        <f t="shared" si="63"/>
        <v>0</v>
      </c>
      <c r="AD67" s="80" t="str">
        <f t="shared" si="91"/>
        <v/>
      </c>
      <c r="AE67" s="80" t="str">
        <f t="shared" si="92"/>
        <v/>
      </c>
      <c r="AF67" s="80" t="str">
        <f t="shared" si="93"/>
        <v/>
      </c>
      <c r="AG67" s="80" t="str">
        <f t="shared" si="94"/>
        <v/>
      </c>
      <c r="AH67" s="80" t="str">
        <f t="shared" si="95"/>
        <v/>
      </c>
      <c r="AI67" s="78" t="str">
        <f t="shared" si="96"/>
        <v/>
      </c>
      <c r="AJ67" s="78">
        <v>0</v>
      </c>
      <c r="AK67" s="79">
        <v>0</v>
      </c>
      <c r="AL67" s="78" t="str">
        <f t="shared" si="97"/>
        <v/>
      </c>
      <c r="AM67" s="79">
        <f t="shared" si="64"/>
        <v>0</v>
      </c>
      <c r="AN67" s="78">
        <f t="shared" si="48"/>
        <v>0</v>
      </c>
      <c r="AO67" s="78">
        <f t="shared" si="65"/>
        <v>0</v>
      </c>
      <c r="AP67" s="78">
        <f t="shared" si="66"/>
        <v>0</v>
      </c>
      <c r="AQ67" s="78">
        <f t="shared" si="67"/>
        <v>0</v>
      </c>
      <c r="AR67" s="80">
        <f t="shared" si="68"/>
        <v>0</v>
      </c>
      <c r="AS67" s="80">
        <f t="shared" si="69"/>
        <v>0</v>
      </c>
      <c r="AT67" s="78"/>
      <c r="AU67" s="78"/>
      <c r="AV67" s="80">
        <f t="shared" si="98"/>
        <v>0</v>
      </c>
      <c r="AW67" s="80">
        <f t="shared" si="70"/>
        <v>0</v>
      </c>
      <c r="AX67" s="80">
        <f t="shared" si="71"/>
        <v>0</v>
      </c>
      <c r="AY67" s="80">
        <f t="shared" si="72"/>
        <v>0</v>
      </c>
      <c r="AZ67" s="80">
        <f t="shared" si="73"/>
        <v>0</v>
      </c>
      <c r="BA67" s="78">
        <f t="shared" si="99"/>
        <v>0</v>
      </c>
      <c r="BB67" s="78">
        <f t="shared" si="74"/>
        <v>0</v>
      </c>
      <c r="BC67" s="79">
        <v>0</v>
      </c>
      <c r="BD67" s="78">
        <f t="shared" si="100"/>
        <v>0</v>
      </c>
      <c r="BE67" s="79">
        <f t="shared" si="75"/>
        <v>0</v>
      </c>
      <c r="BF67" s="78">
        <f t="shared" si="49"/>
        <v>0</v>
      </c>
      <c r="BG67" s="78">
        <f t="shared" si="76"/>
        <v>0</v>
      </c>
      <c r="BH67" s="78">
        <f t="shared" si="77"/>
        <v>0</v>
      </c>
      <c r="BI67" s="78">
        <f t="shared" si="78"/>
        <v>0</v>
      </c>
      <c r="BJ67" s="80">
        <f t="shared" si="101"/>
        <v>0</v>
      </c>
      <c r="BK67" s="80">
        <f t="shared" si="102"/>
        <v>0</v>
      </c>
      <c r="BL67" s="78"/>
      <c r="BM67" s="78"/>
      <c r="BN67" s="80">
        <f t="shared" si="103"/>
        <v>0</v>
      </c>
      <c r="BO67" s="74">
        <f t="shared" si="79"/>
        <v>0</v>
      </c>
      <c r="BP67" s="74">
        <f t="shared" si="80"/>
        <v>1</v>
      </c>
      <c r="BQ67" s="74">
        <f t="shared" si="81"/>
        <v>0</v>
      </c>
      <c r="BR67" s="74">
        <f t="shared" si="82"/>
        <v>0</v>
      </c>
      <c r="BS67" s="74">
        <f t="shared" si="50"/>
        <v>0</v>
      </c>
      <c r="BT67" s="74">
        <f t="shared" si="104"/>
        <v>1</v>
      </c>
      <c r="BU67" s="60">
        <f t="shared" si="83"/>
        <v>0</v>
      </c>
      <c r="BV67" s="81">
        <f t="shared" si="105"/>
        <v>1</v>
      </c>
      <c r="BW67" s="60">
        <f t="shared" si="52"/>
        <v>0</v>
      </c>
      <c r="BX67" s="60">
        <f t="shared" si="53"/>
        <v>0</v>
      </c>
      <c r="BY67" s="49" t="str">
        <f t="shared" si="84"/>
        <v/>
      </c>
      <c r="BZ67" s="82" t="str">
        <f t="shared" si="54"/>
        <v/>
      </c>
      <c r="CA67" s="49" t="str">
        <f t="shared" si="55"/>
        <v/>
      </c>
      <c r="CB67" s="49" t="str">
        <f t="shared" si="56"/>
        <v/>
      </c>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0" t="str">
        <f>IF(ISNA(VLOOKUP(A68,Master!AR$60:BD$107,3,FALSE)),"",VLOOKUP(A68,Master!AR$60:BD$107,3,FALSE))</f>
        <v/>
      </c>
      <c r="C68" s="411" t="str">
        <f>IF(ISNA(VLOOKUP(A68,Master!AR$60:BD$107,7,FALSE)),"",VLOOKUP(A68,Master!AR$60:BD$107,7,FALSE))</f>
        <v/>
      </c>
      <c r="D68" s="412" t="str">
        <f>IF(ISNA(VLOOKUP(A68,Master!AR$60:BD$107,8,FALSE)),"",VLOOKUP(A68,Master!AR$60:BD$107,8,FALSE))</f>
        <v/>
      </c>
      <c r="E68" s="417" t="str">
        <f>IF(ISNA(VLOOKUP(A68,Master!AR$60:BD$107,4,FALSE)),"",VLOOKUP(A68,Master!AR$60:BD$107,4,FALSE))</f>
        <v/>
      </c>
      <c r="F68" s="124" t="str">
        <f>IF(ISNA(VLOOKUP(A68,Master!AR$60:BD$107,5,FALSE)),"",VLOOKUP(A68,Master!AR$60:BD$107,5,FALSE))</f>
        <v/>
      </c>
      <c r="G68" s="415" t="str">
        <f>IF(ISNA(VLOOKUP(A68,Master!AR$60:BD$107,6,FALSE)),"",VLOOKUP(A68,Master!AR$60:BD$107,6,FALSE))</f>
        <v/>
      </c>
      <c r="H68" s="415" t="str">
        <f t="shared" si="85"/>
        <v/>
      </c>
      <c r="I68" s="416" t="str">
        <f t="shared" ca="1" si="86"/>
        <v/>
      </c>
      <c r="J68" s="415" t="str">
        <f t="shared" si="87"/>
        <v/>
      </c>
      <c r="K68" s="415" t="str">
        <f t="shared" si="88"/>
        <v/>
      </c>
      <c r="L68" s="415" t="str">
        <f t="shared" si="89"/>
        <v/>
      </c>
      <c r="M68" s="415" t="str">
        <f>IF(ISNA(VLOOKUP(A68,Master!AR$60:BD$107,12,FALSE)),"",VLOOKUP(A68,Master!AR$60:BD$107,12,FALSE))</f>
        <v/>
      </c>
      <c r="N68" s="163"/>
      <c r="O68" s="163"/>
      <c r="P68" s="163"/>
      <c r="Q68" s="163">
        <f t="shared" si="90"/>
        <v>0</v>
      </c>
      <c r="R68" s="52">
        <f t="shared" si="106"/>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8"/>
        <v>0</v>
      </c>
      <c r="Y68" s="79">
        <f t="shared" si="59"/>
        <v>0</v>
      </c>
      <c r="Z68" s="79">
        <f t="shared" si="60"/>
        <v>0</v>
      </c>
      <c r="AA68" s="79">
        <f t="shared" si="61"/>
        <v>0</v>
      </c>
      <c r="AB68" s="79">
        <f t="shared" si="62"/>
        <v>0</v>
      </c>
      <c r="AC68" s="79">
        <f t="shared" si="63"/>
        <v>0</v>
      </c>
      <c r="AD68" s="80" t="str">
        <f t="shared" si="91"/>
        <v/>
      </c>
      <c r="AE68" s="80" t="str">
        <f t="shared" si="92"/>
        <v/>
      </c>
      <c r="AF68" s="80" t="str">
        <f t="shared" si="93"/>
        <v/>
      </c>
      <c r="AG68" s="80" t="str">
        <f t="shared" si="94"/>
        <v/>
      </c>
      <c r="AH68" s="80" t="str">
        <f t="shared" si="95"/>
        <v/>
      </c>
      <c r="AI68" s="78" t="str">
        <f t="shared" si="96"/>
        <v/>
      </c>
      <c r="AJ68" s="78">
        <v>0</v>
      </c>
      <c r="AK68" s="79">
        <v>0</v>
      </c>
      <c r="AL68" s="78" t="str">
        <f t="shared" si="97"/>
        <v/>
      </c>
      <c r="AM68" s="79">
        <f t="shared" si="64"/>
        <v>0</v>
      </c>
      <c r="AN68" s="78">
        <f t="shared" si="48"/>
        <v>0</v>
      </c>
      <c r="AO68" s="78">
        <f t="shared" si="65"/>
        <v>0</v>
      </c>
      <c r="AP68" s="78">
        <f t="shared" si="66"/>
        <v>0</v>
      </c>
      <c r="AQ68" s="78">
        <f t="shared" si="67"/>
        <v>0</v>
      </c>
      <c r="AR68" s="80">
        <f t="shared" si="68"/>
        <v>0</v>
      </c>
      <c r="AS68" s="80">
        <f t="shared" si="69"/>
        <v>0</v>
      </c>
      <c r="AT68" s="78"/>
      <c r="AU68" s="78"/>
      <c r="AV68" s="80">
        <f t="shared" si="98"/>
        <v>0</v>
      </c>
      <c r="AW68" s="80">
        <f t="shared" si="70"/>
        <v>0</v>
      </c>
      <c r="AX68" s="80">
        <f t="shared" si="71"/>
        <v>0</v>
      </c>
      <c r="AY68" s="80">
        <f t="shared" si="72"/>
        <v>0</v>
      </c>
      <c r="AZ68" s="80">
        <f t="shared" si="73"/>
        <v>0</v>
      </c>
      <c r="BA68" s="78">
        <f t="shared" si="99"/>
        <v>0</v>
      </c>
      <c r="BB68" s="78">
        <f t="shared" si="74"/>
        <v>0</v>
      </c>
      <c r="BC68" s="79">
        <v>0</v>
      </c>
      <c r="BD68" s="78">
        <f t="shared" si="100"/>
        <v>0</v>
      </c>
      <c r="BE68" s="79">
        <f t="shared" si="75"/>
        <v>0</v>
      </c>
      <c r="BF68" s="78">
        <f t="shared" si="49"/>
        <v>0</v>
      </c>
      <c r="BG68" s="78">
        <f t="shared" si="76"/>
        <v>0</v>
      </c>
      <c r="BH68" s="78">
        <f t="shared" si="77"/>
        <v>0</v>
      </c>
      <c r="BI68" s="78">
        <f t="shared" si="78"/>
        <v>0</v>
      </c>
      <c r="BJ68" s="80">
        <f t="shared" si="101"/>
        <v>0</v>
      </c>
      <c r="BK68" s="80">
        <f t="shared" si="102"/>
        <v>0</v>
      </c>
      <c r="BL68" s="78"/>
      <c r="BM68" s="78"/>
      <c r="BN68" s="80">
        <f t="shared" si="103"/>
        <v>0</v>
      </c>
      <c r="BO68" s="74">
        <f t="shared" si="79"/>
        <v>0</v>
      </c>
      <c r="BP68" s="74">
        <f t="shared" si="80"/>
        <v>1</v>
      </c>
      <c r="BQ68" s="74">
        <f t="shared" si="81"/>
        <v>0</v>
      </c>
      <c r="BR68" s="74">
        <f t="shared" si="82"/>
        <v>0</v>
      </c>
      <c r="BS68" s="74">
        <f t="shared" si="50"/>
        <v>0</v>
      </c>
      <c r="BT68" s="74">
        <f t="shared" si="104"/>
        <v>1</v>
      </c>
      <c r="BU68" s="60">
        <f t="shared" si="83"/>
        <v>0</v>
      </c>
      <c r="BV68" s="81">
        <f t="shared" si="105"/>
        <v>1</v>
      </c>
      <c r="BW68" s="60">
        <f t="shared" si="52"/>
        <v>0</v>
      </c>
      <c r="BX68" s="60">
        <f t="shared" si="53"/>
        <v>0</v>
      </c>
      <c r="BY68" s="49" t="str">
        <f t="shared" si="84"/>
        <v/>
      </c>
      <c r="BZ68" s="82" t="str">
        <f t="shared" si="54"/>
        <v/>
      </c>
      <c r="CA68" s="49" t="str">
        <f t="shared" si="55"/>
        <v/>
      </c>
      <c r="CB68" s="49" t="str">
        <f t="shared" si="56"/>
        <v/>
      </c>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0" t="str">
        <f>IF(ISNA(VLOOKUP(A69,Master!AR$60:BD$107,3,FALSE)),"",VLOOKUP(A69,Master!AR$60:BD$107,3,FALSE))</f>
        <v/>
      </c>
      <c r="C69" s="411" t="str">
        <f>IF(ISNA(VLOOKUP(A69,Master!AR$60:BD$107,7,FALSE)),"",VLOOKUP(A69,Master!AR$60:BD$107,7,FALSE))</f>
        <v/>
      </c>
      <c r="D69" s="412" t="str">
        <f>IF(ISNA(VLOOKUP(A69,Master!AR$60:BD$107,8,FALSE)),"",VLOOKUP(A69,Master!AR$60:BD$107,8,FALSE))</f>
        <v/>
      </c>
      <c r="E69" s="417" t="str">
        <f>IF(ISNA(VLOOKUP(A69,Master!AR$60:BD$107,4,FALSE)),"",VLOOKUP(A69,Master!AR$60:BD$107,4,FALSE))</f>
        <v/>
      </c>
      <c r="F69" s="124" t="str">
        <f>IF(ISNA(VLOOKUP(A69,Master!AR$60:BD$107,5,FALSE)),"",VLOOKUP(A69,Master!AR$60:BD$107,5,FALSE))</f>
        <v/>
      </c>
      <c r="G69" s="415" t="str">
        <f>IF(ISNA(VLOOKUP(A69,Master!AR$60:BD$107,6,FALSE)),"",VLOOKUP(A69,Master!AR$60:BD$107,6,FALSE))</f>
        <v/>
      </c>
      <c r="H69" s="415" t="str">
        <f t="shared" si="85"/>
        <v/>
      </c>
      <c r="I69" s="416" t="str">
        <f t="shared" ca="1" si="86"/>
        <v/>
      </c>
      <c r="J69" s="415" t="str">
        <f t="shared" si="87"/>
        <v/>
      </c>
      <c r="K69" s="415" t="str">
        <f t="shared" si="88"/>
        <v/>
      </c>
      <c r="L69" s="415" t="str">
        <f t="shared" si="89"/>
        <v/>
      </c>
      <c r="M69" s="415" t="str">
        <f>IF(ISNA(VLOOKUP(A69,Master!AR$60:BD$107,12,FALSE)),"",VLOOKUP(A69,Master!AR$60:BD$107,12,FALSE))</f>
        <v/>
      </c>
      <c r="N69" s="163"/>
      <c r="O69" s="163"/>
      <c r="P69" s="163"/>
      <c r="Q69" s="163">
        <f t="shared" si="90"/>
        <v>0</v>
      </c>
      <c r="R69" s="52">
        <f t="shared" si="106"/>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8"/>
        <v>0</v>
      </c>
      <c r="Y69" s="79">
        <f t="shared" si="59"/>
        <v>0</v>
      </c>
      <c r="Z69" s="79">
        <f t="shared" si="60"/>
        <v>0</v>
      </c>
      <c r="AA69" s="79">
        <f t="shared" si="61"/>
        <v>0</v>
      </c>
      <c r="AB69" s="79">
        <f t="shared" si="62"/>
        <v>0</v>
      </c>
      <c r="AC69" s="79">
        <f t="shared" si="63"/>
        <v>0</v>
      </c>
      <c r="AD69" s="80" t="str">
        <f t="shared" si="91"/>
        <v/>
      </c>
      <c r="AE69" s="80" t="str">
        <f t="shared" si="92"/>
        <v/>
      </c>
      <c r="AF69" s="80" t="str">
        <f t="shared" si="93"/>
        <v/>
      </c>
      <c r="AG69" s="80" t="str">
        <f t="shared" si="94"/>
        <v/>
      </c>
      <c r="AH69" s="80" t="str">
        <f t="shared" si="95"/>
        <v/>
      </c>
      <c r="AI69" s="78" t="str">
        <f t="shared" si="96"/>
        <v/>
      </c>
      <c r="AJ69" s="78">
        <v>0</v>
      </c>
      <c r="AK69" s="79">
        <v>0</v>
      </c>
      <c r="AL69" s="78" t="str">
        <f t="shared" si="97"/>
        <v/>
      </c>
      <c r="AM69" s="79">
        <f t="shared" si="64"/>
        <v>0</v>
      </c>
      <c r="AN69" s="78">
        <f t="shared" si="48"/>
        <v>0</v>
      </c>
      <c r="AO69" s="78">
        <f t="shared" si="65"/>
        <v>0</v>
      </c>
      <c r="AP69" s="78">
        <f t="shared" si="66"/>
        <v>0</v>
      </c>
      <c r="AQ69" s="78">
        <f t="shared" si="67"/>
        <v>0</v>
      </c>
      <c r="AR69" s="80">
        <f t="shared" si="68"/>
        <v>0</v>
      </c>
      <c r="AS69" s="80">
        <f t="shared" si="69"/>
        <v>0</v>
      </c>
      <c r="AT69" s="78"/>
      <c r="AU69" s="78"/>
      <c r="AV69" s="80">
        <f t="shared" si="98"/>
        <v>0</v>
      </c>
      <c r="AW69" s="80">
        <f t="shared" si="70"/>
        <v>0</v>
      </c>
      <c r="AX69" s="80">
        <f t="shared" si="71"/>
        <v>0</v>
      </c>
      <c r="AY69" s="80">
        <f t="shared" si="72"/>
        <v>0</v>
      </c>
      <c r="AZ69" s="80">
        <f t="shared" si="73"/>
        <v>0</v>
      </c>
      <c r="BA69" s="78">
        <f t="shared" si="99"/>
        <v>0</v>
      </c>
      <c r="BB69" s="78">
        <f t="shared" si="74"/>
        <v>0</v>
      </c>
      <c r="BC69" s="79">
        <v>0</v>
      </c>
      <c r="BD69" s="78">
        <f t="shared" si="100"/>
        <v>0</v>
      </c>
      <c r="BE69" s="79">
        <f t="shared" si="75"/>
        <v>0</v>
      </c>
      <c r="BF69" s="78">
        <f t="shared" si="49"/>
        <v>0</v>
      </c>
      <c r="BG69" s="78">
        <f t="shared" si="76"/>
        <v>0</v>
      </c>
      <c r="BH69" s="78">
        <f t="shared" si="77"/>
        <v>0</v>
      </c>
      <c r="BI69" s="78">
        <f t="shared" si="78"/>
        <v>0</v>
      </c>
      <c r="BJ69" s="80">
        <f t="shared" si="101"/>
        <v>0</v>
      </c>
      <c r="BK69" s="80">
        <f t="shared" si="102"/>
        <v>0</v>
      </c>
      <c r="BL69" s="78"/>
      <c r="BM69" s="78"/>
      <c r="BN69" s="80">
        <f t="shared" si="103"/>
        <v>0</v>
      </c>
      <c r="BO69" s="74">
        <f t="shared" si="79"/>
        <v>0</v>
      </c>
      <c r="BP69" s="74">
        <f t="shared" si="80"/>
        <v>1</v>
      </c>
      <c r="BQ69" s="74">
        <f t="shared" si="81"/>
        <v>0</v>
      </c>
      <c r="BR69" s="74">
        <f t="shared" si="82"/>
        <v>0</v>
      </c>
      <c r="BS69" s="74">
        <f t="shared" si="50"/>
        <v>0</v>
      </c>
      <c r="BT69" s="74">
        <f t="shared" si="104"/>
        <v>1</v>
      </c>
      <c r="BU69" s="60">
        <f t="shared" si="83"/>
        <v>0</v>
      </c>
      <c r="BV69" s="81">
        <f t="shared" si="105"/>
        <v>1</v>
      </c>
      <c r="BW69" s="60">
        <f t="shared" si="52"/>
        <v>0</v>
      </c>
      <c r="BX69" s="60">
        <f t="shared" si="53"/>
        <v>0</v>
      </c>
      <c r="BY69" s="49" t="str">
        <f t="shared" si="84"/>
        <v/>
      </c>
      <c r="BZ69" s="82" t="str">
        <f t="shared" si="54"/>
        <v/>
      </c>
      <c r="CA69" s="49" t="str">
        <f t="shared" si="55"/>
        <v/>
      </c>
      <c r="CB69" s="49" t="str">
        <f t="shared" si="56"/>
        <v/>
      </c>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0" t="str">
        <f>IF(ISNA(VLOOKUP(A70,Master!AR$60:BD$107,3,FALSE)),"",VLOOKUP(A70,Master!AR$60:BD$107,3,FALSE))</f>
        <v/>
      </c>
      <c r="C70" s="411" t="str">
        <f>IF(ISNA(VLOOKUP(A70,Master!AR$60:BD$107,7,FALSE)),"",VLOOKUP(A70,Master!AR$60:BD$107,7,FALSE))</f>
        <v/>
      </c>
      <c r="D70" s="412" t="str">
        <f>IF(ISNA(VLOOKUP(A70,Master!AR$60:BD$107,8,FALSE)),"",VLOOKUP(A70,Master!AR$60:BD$107,8,FALSE))</f>
        <v/>
      </c>
      <c r="E70" s="417" t="str">
        <f>IF(ISNA(VLOOKUP(A70,Master!AR$60:BD$107,4,FALSE)),"",VLOOKUP(A70,Master!AR$60:BD$107,4,FALSE))</f>
        <v/>
      </c>
      <c r="F70" s="124" t="str">
        <f>IF(ISNA(VLOOKUP(A70,Master!AR$60:BD$107,5,FALSE)),"",VLOOKUP(A70,Master!AR$60:BD$107,5,FALSE))</f>
        <v/>
      </c>
      <c r="G70" s="415" t="str">
        <f>IF(ISNA(VLOOKUP(A70,Master!AR$60:BD$107,6,FALSE)),"",VLOOKUP(A70,Master!AR$60:BD$107,6,FALSE))</f>
        <v/>
      </c>
      <c r="H70" s="415" t="str">
        <f t="shared" si="85"/>
        <v/>
      </c>
      <c r="I70" s="416" t="str">
        <f t="shared" ca="1" si="86"/>
        <v/>
      </c>
      <c r="J70" s="415" t="str">
        <f t="shared" si="87"/>
        <v/>
      </c>
      <c r="K70" s="415" t="str">
        <f t="shared" si="88"/>
        <v/>
      </c>
      <c r="L70" s="415" t="str">
        <f t="shared" si="89"/>
        <v/>
      </c>
      <c r="M70" s="415" t="str">
        <f>IF(ISNA(VLOOKUP(A70,Master!AR$60:BD$107,12,FALSE)),"",VLOOKUP(A70,Master!AR$60:BD$107,12,FALSE))</f>
        <v/>
      </c>
      <c r="N70" s="163"/>
      <c r="O70" s="163"/>
      <c r="P70" s="163"/>
      <c r="Q70" s="163">
        <f t="shared" si="90"/>
        <v>0</v>
      </c>
      <c r="R70" s="52">
        <f t="shared" si="106"/>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8"/>
        <v>0</v>
      </c>
      <c r="Y70" s="79">
        <f t="shared" si="59"/>
        <v>0</v>
      </c>
      <c r="Z70" s="79">
        <f t="shared" si="60"/>
        <v>0</v>
      </c>
      <c r="AA70" s="79">
        <f t="shared" si="61"/>
        <v>0</v>
      </c>
      <c r="AB70" s="79">
        <f t="shared" si="62"/>
        <v>0</v>
      </c>
      <c r="AC70" s="79">
        <f t="shared" si="63"/>
        <v>0</v>
      </c>
      <c r="AD70" s="80" t="str">
        <f t="shared" si="91"/>
        <v/>
      </c>
      <c r="AE70" s="80" t="str">
        <f t="shared" si="92"/>
        <v/>
      </c>
      <c r="AF70" s="80" t="str">
        <f t="shared" si="93"/>
        <v/>
      </c>
      <c r="AG70" s="80" t="str">
        <f t="shared" si="94"/>
        <v/>
      </c>
      <c r="AH70" s="80" t="str">
        <f t="shared" si="95"/>
        <v/>
      </c>
      <c r="AI70" s="78" t="str">
        <f t="shared" si="96"/>
        <v/>
      </c>
      <c r="AJ70" s="78">
        <v>0</v>
      </c>
      <c r="AK70" s="79">
        <v>0</v>
      </c>
      <c r="AL70" s="78" t="str">
        <f t="shared" si="97"/>
        <v/>
      </c>
      <c r="AM70" s="79">
        <f t="shared" si="64"/>
        <v>0</v>
      </c>
      <c r="AN70" s="78">
        <f t="shared" si="48"/>
        <v>0</v>
      </c>
      <c r="AO70" s="78">
        <f t="shared" si="65"/>
        <v>0</v>
      </c>
      <c r="AP70" s="78">
        <f t="shared" si="66"/>
        <v>0</v>
      </c>
      <c r="AQ70" s="78">
        <f t="shared" si="67"/>
        <v>0</v>
      </c>
      <c r="AR70" s="80">
        <f t="shared" si="68"/>
        <v>0</v>
      </c>
      <c r="AS70" s="80">
        <f t="shared" si="69"/>
        <v>0</v>
      </c>
      <c r="AT70" s="78"/>
      <c r="AU70" s="78"/>
      <c r="AV70" s="80">
        <f t="shared" si="98"/>
        <v>0</v>
      </c>
      <c r="AW70" s="80">
        <f t="shared" si="70"/>
        <v>0</v>
      </c>
      <c r="AX70" s="80">
        <f t="shared" si="71"/>
        <v>0</v>
      </c>
      <c r="AY70" s="80">
        <f t="shared" si="72"/>
        <v>0</v>
      </c>
      <c r="AZ70" s="80">
        <f t="shared" si="73"/>
        <v>0</v>
      </c>
      <c r="BA70" s="78">
        <f t="shared" si="99"/>
        <v>0</v>
      </c>
      <c r="BB70" s="78">
        <f t="shared" si="74"/>
        <v>0</v>
      </c>
      <c r="BC70" s="79">
        <v>0</v>
      </c>
      <c r="BD70" s="78">
        <f t="shared" si="100"/>
        <v>0</v>
      </c>
      <c r="BE70" s="79">
        <f t="shared" si="75"/>
        <v>0</v>
      </c>
      <c r="BF70" s="78">
        <f t="shared" si="49"/>
        <v>0</v>
      </c>
      <c r="BG70" s="78">
        <f t="shared" si="76"/>
        <v>0</v>
      </c>
      <c r="BH70" s="78">
        <f t="shared" si="77"/>
        <v>0</v>
      </c>
      <c r="BI70" s="78">
        <f t="shared" si="78"/>
        <v>0</v>
      </c>
      <c r="BJ70" s="80">
        <f t="shared" si="101"/>
        <v>0</v>
      </c>
      <c r="BK70" s="80">
        <f t="shared" si="102"/>
        <v>0</v>
      </c>
      <c r="BL70" s="78"/>
      <c r="BM70" s="78"/>
      <c r="BN70" s="80">
        <f t="shared" si="103"/>
        <v>0</v>
      </c>
      <c r="BO70" s="74">
        <f t="shared" si="79"/>
        <v>0</v>
      </c>
      <c r="BP70" s="74">
        <f t="shared" si="80"/>
        <v>1</v>
      </c>
      <c r="BQ70" s="74">
        <f t="shared" si="81"/>
        <v>0</v>
      </c>
      <c r="BR70" s="74">
        <f t="shared" si="82"/>
        <v>0</v>
      </c>
      <c r="BS70" s="74">
        <f t="shared" si="50"/>
        <v>0</v>
      </c>
      <c r="BT70" s="74">
        <f t="shared" si="104"/>
        <v>1</v>
      </c>
      <c r="BU70" s="60">
        <f t="shared" si="83"/>
        <v>0</v>
      </c>
      <c r="BV70" s="81">
        <f t="shared" si="105"/>
        <v>1</v>
      </c>
      <c r="BW70" s="60">
        <f t="shared" si="52"/>
        <v>0</v>
      </c>
      <c r="BX70" s="60">
        <f t="shared" si="53"/>
        <v>0</v>
      </c>
      <c r="BY70" s="49" t="str">
        <f t="shared" si="84"/>
        <v/>
      </c>
      <c r="BZ70" s="82" t="str">
        <f t="shared" si="54"/>
        <v/>
      </c>
      <c r="CA70" s="49" t="str">
        <f t="shared" si="55"/>
        <v/>
      </c>
      <c r="CB70" s="49" t="str">
        <f t="shared" si="56"/>
        <v/>
      </c>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0" t="str">
        <f>IF(ISNA(VLOOKUP(A71,Master!AR$60:BD$107,3,FALSE)),"",VLOOKUP(A71,Master!AR$60:BD$107,3,FALSE))</f>
        <v/>
      </c>
      <c r="C71" s="411" t="str">
        <f>IF(ISNA(VLOOKUP(A71,Master!AR$60:BD$107,7,FALSE)),"",VLOOKUP(A71,Master!AR$60:BD$107,7,FALSE))</f>
        <v/>
      </c>
      <c r="D71" s="412" t="str">
        <f>IF(ISNA(VLOOKUP(A71,Master!AR$60:BD$107,8,FALSE)),"",VLOOKUP(A71,Master!AR$60:BD$107,8,FALSE))</f>
        <v/>
      </c>
      <c r="E71" s="417" t="str">
        <f>IF(ISNA(VLOOKUP(A71,Master!AR$60:BD$107,4,FALSE)),"",VLOOKUP(A71,Master!AR$60:BD$107,4,FALSE))</f>
        <v/>
      </c>
      <c r="F71" s="124" t="str">
        <f>IF(ISNA(VLOOKUP(A71,Master!AR$60:BD$107,5,FALSE)),"",VLOOKUP(A71,Master!AR$60:BD$107,5,FALSE))</f>
        <v/>
      </c>
      <c r="G71" s="415" t="str">
        <f>IF(ISNA(VLOOKUP(A71,Master!AR$60:BD$107,6,FALSE)),"",VLOOKUP(A71,Master!AR$60:BD$107,6,FALSE))</f>
        <v/>
      </c>
      <c r="H71" s="415" t="str">
        <f t="shared" si="85"/>
        <v/>
      </c>
      <c r="I71" s="416" t="str">
        <f t="shared" ca="1" si="86"/>
        <v/>
      </c>
      <c r="J71" s="415" t="str">
        <f t="shared" si="87"/>
        <v/>
      </c>
      <c r="K71" s="415" t="str">
        <f t="shared" si="88"/>
        <v/>
      </c>
      <c r="L71" s="415" t="str">
        <f t="shared" si="89"/>
        <v/>
      </c>
      <c r="M71" s="415" t="str">
        <f>IF(ISNA(VLOOKUP(A71,Master!AR$60:BD$107,12,FALSE)),"",VLOOKUP(A71,Master!AR$60:BD$107,12,FALSE))</f>
        <v/>
      </c>
      <c r="N71" s="163"/>
      <c r="O71" s="163"/>
      <c r="P71" s="163"/>
      <c r="Q71" s="163">
        <f t="shared" si="90"/>
        <v>0</v>
      </c>
      <c r="R71" s="52">
        <f t="shared" si="106"/>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8"/>
        <v>0</v>
      </c>
      <c r="Y71" s="79">
        <f t="shared" si="59"/>
        <v>0</v>
      </c>
      <c r="Z71" s="79">
        <f t="shared" si="60"/>
        <v>0</v>
      </c>
      <c r="AA71" s="79">
        <f t="shared" si="61"/>
        <v>0</v>
      </c>
      <c r="AB71" s="79">
        <f t="shared" si="62"/>
        <v>0</v>
      </c>
      <c r="AC71" s="79">
        <f t="shared" si="63"/>
        <v>0</v>
      </c>
      <c r="AD71" s="80" t="str">
        <f>IF(AND(G71=""),"",G71-ROUNDUP(ROUND((G71*3%)-(G71*3%)*2.9%,-2),0))</f>
        <v/>
      </c>
      <c r="AE71" s="80" t="str">
        <f t="shared" si="92"/>
        <v/>
      </c>
      <c r="AF71" s="80" t="str">
        <f t="shared" si="93"/>
        <v/>
      </c>
      <c r="AG71" s="80" t="str">
        <f t="shared" si="94"/>
        <v/>
      </c>
      <c r="AH71" s="80" t="str">
        <f t="shared" si="95"/>
        <v/>
      </c>
      <c r="AI71" s="78" t="str">
        <f t="shared" si="96"/>
        <v/>
      </c>
      <c r="AJ71" s="78">
        <v>0</v>
      </c>
      <c r="AK71" s="79">
        <v>0</v>
      </c>
      <c r="AL71" s="78" t="str">
        <f t="shared" si="97"/>
        <v/>
      </c>
      <c r="AM71" s="79">
        <f t="shared" si="64"/>
        <v>0</v>
      </c>
      <c r="AN71" s="78">
        <f t="shared" si="48"/>
        <v>0</v>
      </c>
      <c r="AO71" s="78">
        <f t="shared" si="65"/>
        <v>0</v>
      </c>
      <c r="AP71" s="78">
        <f t="shared" si="66"/>
        <v>0</v>
      </c>
      <c r="AQ71" s="78">
        <f t="shared" si="67"/>
        <v>0</v>
      </c>
      <c r="AR71" s="80">
        <f t="shared" si="68"/>
        <v>0</v>
      </c>
      <c r="AS71" s="80">
        <f t="shared" si="69"/>
        <v>0</v>
      </c>
      <c r="AT71" s="78"/>
      <c r="AU71" s="78"/>
      <c r="AV71" s="80">
        <f t="shared" si="98"/>
        <v>0</v>
      </c>
      <c r="AW71" s="80">
        <f t="shared" si="70"/>
        <v>0</v>
      </c>
      <c r="AX71" s="80">
        <f t="shared" si="71"/>
        <v>0</v>
      </c>
      <c r="AY71" s="80">
        <f t="shared" si="72"/>
        <v>0</v>
      </c>
      <c r="AZ71" s="80">
        <f t="shared" si="73"/>
        <v>0</v>
      </c>
      <c r="BA71" s="78">
        <f t="shared" si="99"/>
        <v>0</v>
      </c>
      <c r="BB71" s="78">
        <f t="shared" si="74"/>
        <v>0</v>
      </c>
      <c r="BC71" s="79">
        <v>0</v>
      </c>
      <c r="BD71" s="78">
        <f t="shared" si="100"/>
        <v>0</v>
      </c>
      <c r="BE71" s="79">
        <f t="shared" si="75"/>
        <v>0</v>
      </c>
      <c r="BF71" s="78">
        <f t="shared" si="49"/>
        <v>0</v>
      </c>
      <c r="BG71" s="78">
        <f t="shared" si="76"/>
        <v>0</v>
      </c>
      <c r="BH71" s="78">
        <f t="shared" si="77"/>
        <v>0</v>
      </c>
      <c r="BI71" s="78">
        <f t="shared" si="78"/>
        <v>0</v>
      </c>
      <c r="BJ71" s="80">
        <f t="shared" si="101"/>
        <v>0</v>
      </c>
      <c r="BK71" s="80">
        <f t="shared" si="102"/>
        <v>0</v>
      </c>
      <c r="BL71" s="78"/>
      <c r="BM71" s="78"/>
      <c r="BN71" s="80">
        <f t="shared" si="103"/>
        <v>0</v>
      </c>
      <c r="BO71" s="74">
        <f t="shared" si="79"/>
        <v>0</v>
      </c>
      <c r="BP71" s="74">
        <f t="shared" si="80"/>
        <v>1</v>
      </c>
      <c r="BQ71" s="74">
        <f t="shared" si="81"/>
        <v>0</v>
      </c>
      <c r="BR71" s="74">
        <f t="shared" si="82"/>
        <v>0</v>
      </c>
      <c r="BS71" s="74">
        <f t="shared" si="50"/>
        <v>0</v>
      </c>
      <c r="BT71" s="74">
        <f t="shared" si="104"/>
        <v>1</v>
      </c>
      <c r="BU71" s="60">
        <f t="shared" si="83"/>
        <v>0</v>
      </c>
      <c r="BV71" s="81">
        <f t="shared" si="105"/>
        <v>1</v>
      </c>
      <c r="BW71" s="60">
        <f t="shared" si="52"/>
        <v>0</v>
      </c>
      <c r="BX71" s="60">
        <f t="shared" si="53"/>
        <v>0</v>
      </c>
      <c r="BY71" s="49" t="str">
        <f t="shared" si="84"/>
        <v/>
      </c>
      <c r="BZ71" s="82" t="str">
        <f t="shared" si="54"/>
        <v/>
      </c>
      <c r="CA71" s="49" t="str">
        <f t="shared" si="55"/>
        <v/>
      </c>
      <c r="CB71" s="49" t="str">
        <f t="shared" si="56"/>
        <v/>
      </c>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1"/>
      <c r="B72" s="418"/>
      <c r="C72" s="419"/>
      <c r="D72" s="419"/>
      <c r="E72" s="420" t="s">
        <v>178</v>
      </c>
      <c r="F72" s="128"/>
      <c r="G72" s="129"/>
      <c r="H72" s="432">
        <f>SUM(H28:H71)</f>
        <v>8534000</v>
      </c>
      <c r="I72" s="432"/>
      <c r="J72" s="432">
        <f t="shared" ref="J72:L72" si="107">SUM(J28:J71)</f>
        <v>164000</v>
      </c>
      <c r="K72" s="432">
        <f>SUM(K28:K71)</f>
        <v>8698000</v>
      </c>
      <c r="L72" s="432">
        <f t="shared" si="107"/>
        <v>8288800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7" si="108">MID(C72,5,4)</f>
        <v/>
      </c>
      <c r="BW72" s="60"/>
      <c r="BX72" s="60"/>
      <c r="BY72" s="49"/>
      <c r="BZ72" s="82"/>
      <c r="CA72" s="49"/>
      <c r="CB72" s="49" t="str">
        <f t="shared" si="56"/>
        <v/>
      </c>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1"/>
      <c r="B73" s="418"/>
      <c r="C73" s="419"/>
      <c r="D73" s="419"/>
      <c r="E73" s="420" t="s">
        <v>179</v>
      </c>
      <c r="F73" s="129"/>
      <c r="G73" s="129"/>
      <c r="H73" s="432">
        <f>H26+H72</f>
        <v>11110400</v>
      </c>
      <c r="I73" s="432"/>
      <c r="J73" s="432">
        <f>J26+J72</f>
        <v>214400</v>
      </c>
      <c r="K73" s="432">
        <f>K26+K72</f>
        <v>11324800</v>
      </c>
      <c r="L73" s="432">
        <f>L26+L72</f>
        <v>10790400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8"/>
        <v/>
      </c>
      <c r="BW73" s="60"/>
      <c r="BX73" s="60"/>
      <c r="BY73" s="49"/>
      <c r="BZ73" s="82"/>
      <c r="CA73" s="49"/>
      <c r="CB73" s="49" t="str">
        <f t="shared" si="56"/>
        <v/>
      </c>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1"/>
      <c r="B74" s="418"/>
      <c r="C74" s="419"/>
      <c r="D74" s="419"/>
      <c r="E74" s="420" t="s">
        <v>180</v>
      </c>
      <c r="F74" s="129"/>
      <c r="G74" s="129"/>
      <c r="H74" s="705">
        <f>H73</f>
        <v>11110400</v>
      </c>
      <c r="I74" s="705"/>
      <c r="J74" s="705">
        <f>J73</f>
        <v>214400</v>
      </c>
      <c r="K74" s="705">
        <f>K73</f>
        <v>11324800</v>
      </c>
      <c r="L74" s="705">
        <f>L73</f>
        <v>10790400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8"/>
        <v/>
      </c>
      <c r="BW74" s="60"/>
      <c r="BX74" s="60"/>
      <c r="BY74" s="49"/>
      <c r="BZ74" s="82"/>
      <c r="CA74" s="49"/>
      <c r="CB74" s="49" t="str">
        <f t="shared" si="56"/>
        <v/>
      </c>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424"/>
      <c r="B75" s="424"/>
      <c r="C75" s="424"/>
      <c r="D75" s="424"/>
      <c r="E75" s="425">
        <v>0.55000000000000004</v>
      </c>
      <c r="F75" s="132"/>
      <c r="G75" s="133"/>
      <c r="H75" s="433">
        <f>ROUND(BZ76*E75,0)</f>
        <v>1997600</v>
      </c>
      <c r="I75" s="433"/>
      <c r="J75" s="433"/>
      <c r="K75" s="435">
        <v>0</v>
      </c>
      <c r="L75" s="435">
        <f>ROUND(AD75*E75,0)</f>
        <v>484880</v>
      </c>
      <c r="M75" s="133"/>
      <c r="N75" s="166"/>
      <c r="O75" s="166"/>
      <c r="P75" s="166"/>
      <c r="Q75" s="166"/>
      <c r="R75" s="52"/>
      <c r="S75" s="1"/>
      <c r="T75" s="75"/>
      <c r="U75" s="75"/>
      <c r="V75" s="75"/>
      <c r="W75" s="75"/>
      <c r="X75" s="75"/>
      <c r="Y75" s="75"/>
      <c r="Z75" s="75"/>
      <c r="AA75" s="75"/>
      <c r="AB75" s="75"/>
      <c r="AC75" s="75"/>
      <c r="AD75" s="80">
        <f>SUM(AD12:AD74)</f>
        <v>881600</v>
      </c>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c r="BW75" s="60"/>
      <c r="BX75" s="60"/>
      <c r="BY75" s="49"/>
      <c r="BZ75" s="82"/>
      <c r="CA75" s="49"/>
      <c r="CB75" s="49" t="str">
        <f t="shared" si="56"/>
        <v/>
      </c>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2"/>
      <c r="B76" s="422"/>
      <c r="C76" s="423"/>
      <c r="D76" s="424"/>
      <c r="E76" s="425">
        <v>0.59</v>
      </c>
      <c r="F76" s="132"/>
      <c r="G76" s="133"/>
      <c r="H76" s="433">
        <f>ROUND(CA76*E76,0)</f>
        <v>4412256</v>
      </c>
      <c r="I76" s="436"/>
      <c r="J76" s="433"/>
      <c r="K76" s="437">
        <f>ROUND(K73*E76,0)</f>
        <v>6681632</v>
      </c>
      <c r="L76" s="435">
        <f>ROUND(E76*CB76,0)</f>
        <v>4285760</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8"/>
        <v/>
      </c>
      <c r="BW76" s="60"/>
      <c r="BX76" s="60"/>
      <c r="BY76" s="49"/>
      <c r="BZ76" s="82">
        <f>SUM(BZ12:BZ71)</f>
        <v>3632000</v>
      </c>
      <c r="CA76" s="82">
        <f>SUM(CA12:CA71)</f>
        <v>7478400</v>
      </c>
      <c r="CB76" s="82">
        <f>SUM(CB12:CB71)</f>
        <v>7264000</v>
      </c>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2"/>
      <c r="B77" s="422"/>
      <c r="C77" s="859">
        <v>0.04</v>
      </c>
      <c r="D77" s="859"/>
      <c r="E77" s="860"/>
      <c r="F77" s="132"/>
      <c r="G77" s="133"/>
      <c r="H77" s="433">
        <f>ROUND(H73*E77,0)</f>
        <v>0</v>
      </c>
      <c r="I77" s="436"/>
      <c r="J77" s="433"/>
      <c r="K77" s="437">
        <f>ROUND(K73*C77,0)</f>
        <v>452992</v>
      </c>
      <c r="L77" s="437">
        <f>ROUND(L73*C77,0)</f>
        <v>431616</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8"/>
        <v/>
      </c>
      <c r="BW77" s="60"/>
      <c r="BX77" s="60"/>
      <c r="BY77" s="49"/>
      <c r="BZ77" s="82"/>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2"/>
      <c r="B78" s="422"/>
      <c r="C78" s="423"/>
      <c r="D78" s="421"/>
      <c r="E78" s="426" t="s">
        <v>181</v>
      </c>
      <c r="F78" s="132"/>
      <c r="G78" s="133"/>
      <c r="H78" s="433">
        <v>0</v>
      </c>
      <c r="I78" s="436"/>
      <c r="J78" s="433"/>
      <c r="K78" s="434">
        <v>0</v>
      </c>
      <c r="L78" s="434">
        <v>0</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8"/>
        <v/>
      </c>
      <c r="BW78" s="60"/>
      <c r="BX78" s="60"/>
      <c r="BY78" s="49"/>
      <c r="BZ78" s="82"/>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2"/>
      <c r="B79" s="422"/>
      <c r="C79" s="423"/>
      <c r="D79" s="421"/>
      <c r="E79" s="428">
        <v>0.1</v>
      </c>
      <c r="F79" s="132"/>
      <c r="G79" s="133"/>
      <c r="H79" s="433">
        <f>ROUND(BZ76*E79,0)</f>
        <v>363200</v>
      </c>
      <c r="I79" s="436"/>
      <c r="J79" s="433"/>
      <c r="K79" s="434">
        <v>0</v>
      </c>
      <c r="L79" s="434">
        <f>ROUND(E80*AD75,0)</f>
        <v>88160</v>
      </c>
      <c r="M79" s="133"/>
      <c r="N79" s="167"/>
      <c r="O79" s="167"/>
      <c r="P79" s="167"/>
      <c r="Q79" s="167"/>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c r="BW79" s="60"/>
      <c r="BX79" s="60"/>
      <c r="BY79" s="49"/>
      <c r="BZ79" s="82"/>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2"/>
      <c r="B80" s="422"/>
      <c r="C80" s="423"/>
      <c r="D80" s="427"/>
      <c r="E80" s="428">
        <v>0.1</v>
      </c>
      <c r="F80" s="132"/>
      <c r="G80" s="133"/>
      <c r="H80" s="433">
        <f>ROUND(CA76*E76,0)</f>
        <v>4412256</v>
      </c>
      <c r="I80" s="436"/>
      <c r="J80" s="433"/>
      <c r="K80" s="437">
        <f>ROUND(K73*E80,0)</f>
        <v>1132480</v>
      </c>
      <c r="L80" s="437">
        <f>ROUND(E80*CB76,0)</f>
        <v>726400</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8"/>
        <v/>
      </c>
      <c r="BW80" s="60"/>
      <c r="BX80" s="60"/>
      <c r="BY80" s="49"/>
      <c r="BZ80" s="82"/>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2"/>
      <c r="B81" s="422"/>
      <c r="C81" s="423"/>
      <c r="D81" s="429"/>
      <c r="E81" s="430">
        <v>6774</v>
      </c>
      <c r="F81" s="132"/>
      <c r="G81" s="133"/>
      <c r="H81" s="433">
        <f>Q125</f>
        <v>101610</v>
      </c>
      <c r="I81" s="436"/>
      <c r="J81" s="433"/>
      <c r="K81" s="437">
        <f>Q125</f>
        <v>101610</v>
      </c>
      <c r="L81" s="437">
        <f>Q125</f>
        <v>101610</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8"/>
        <v/>
      </c>
      <c r="BW81" s="60"/>
      <c r="BX81" s="60"/>
      <c r="BY81" s="49"/>
      <c r="BZ81" s="82"/>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2"/>
      <c r="B82" s="422"/>
      <c r="C82" s="423"/>
      <c r="D82" s="421"/>
      <c r="E82" s="426" t="s">
        <v>182</v>
      </c>
      <c r="F82" s="132"/>
      <c r="G82" s="133"/>
      <c r="H82" s="433">
        <f>$AN$125</f>
        <v>721867</v>
      </c>
      <c r="I82" s="437"/>
      <c r="J82" s="437"/>
      <c r="K82" s="437">
        <f>$AN$125</f>
        <v>721867</v>
      </c>
      <c r="L82" s="437">
        <f>$BF$125</f>
        <v>700878</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8"/>
        <v/>
      </c>
      <c r="BW82" s="60"/>
      <c r="BX82" s="60"/>
      <c r="BY82" s="49"/>
      <c r="BZ82" s="82"/>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2"/>
      <c r="B83" s="422"/>
      <c r="C83" s="423"/>
      <c r="D83" s="421"/>
      <c r="E83" s="426" t="s">
        <v>183</v>
      </c>
      <c r="F83" s="132"/>
      <c r="G83" s="133"/>
      <c r="H83" s="433"/>
      <c r="I83" s="436"/>
      <c r="J83" s="435"/>
      <c r="K83" s="437">
        <f>MINA($AO$125,900)</f>
        <v>0</v>
      </c>
      <c r="L83" s="437">
        <f>MINA($BG$125,900)</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8"/>
        <v/>
      </c>
      <c r="BW83" s="60"/>
      <c r="BX83" s="60"/>
      <c r="BY83" s="49"/>
      <c r="BZ83" s="82"/>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672"/>
      <c r="B84" s="422"/>
      <c r="C84" s="423"/>
      <c r="D84" s="421"/>
      <c r="E84" s="426" t="s">
        <v>184</v>
      </c>
      <c r="F84" s="132"/>
      <c r="G84" s="133"/>
      <c r="H84" s="433"/>
      <c r="I84" s="436"/>
      <c r="J84" s="433"/>
      <c r="K84" s="437">
        <f>$AP$125</f>
        <v>0</v>
      </c>
      <c r="L84" s="437">
        <f>$BH$125</f>
        <v>0</v>
      </c>
      <c r="M84" s="133"/>
      <c r="N84" s="167"/>
      <c r="O84" s="167"/>
      <c r="P84" s="167"/>
      <c r="Q84" s="167">
        <v>0</v>
      </c>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8"/>
        <v/>
      </c>
      <c r="BW84" s="60"/>
      <c r="BX84" s="60"/>
      <c r="BY84" s="49"/>
      <c r="BZ84" s="82"/>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15.75">
      <c r="A85" s="672"/>
      <c r="B85" s="422"/>
      <c r="C85" s="423"/>
      <c r="D85" s="421"/>
      <c r="E85" s="426" t="s">
        <v>185</v>
      </c>
      <c r="F85" s="132"/>
      <c r="G85" s="133"/>
      <c r="H85" s="433"/>
      <c r="I85" s="436"/>
      <c r="J85" s="433"/>
      <c r="K85" s="437">
        <f>$AQ$125</f>
        <v>0</v>
      </c>
      <c r="L85" s="437">
        <f>$BI$125</f>
        <v>0</v>
      </c>
      <c r="M85" s="133"/>
      <c r="N85" s="167"/>
      <c r="O85" s="167"/>
      <c r="P85" s="167"/>
      <c r="Q85" s="167">
        <v>0</v>
      </c>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8"/>
        <v/>
      </c>
      <c r="BW85" s="60"/>
      <c r="BX85" s="60"/>
      <c r="BY85" s="49"/>
      <c r="BZ85" s="82"/>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704"/>
      <c r="B86" s="704"/>
      <c r="C86" s="704"/>
      <c r="D86" s="643"/>
      <c r="E86" s="127" t="s">
        <v>186</v>
      </c>
      <c r="F86" s="129"/>
      <c r="G86" s="129"/>
      <c r="H86" s="431">
        <f>SUM(H74:H85)</f>
        <v>23119189</v>
      </c>
      <c r="I86" s="431"/>
      <c r="J86" s="431">
        <f t="shared" ref="J86:L86" si="109">SUM(J74:J85)</f>
        <v>214400</v>
      </c>
      <c r="K86" s="431">
        <f t="shared" si="109"/>
        <v>20415381</v>
      </c>
      <c r="L86" s="431">
        <f t="shared" si="109"/>
        <v>17609704</v>
      </c>
      <c r="M86" s="131"/>
      <c r="N86" s="166"/>
      <c r="O86" s="166"/>
      <c r="P86" s="166"/>
      <c r="Q86" s="166"/>
      <c r="R86" s="52"/>
      <c r="S86" s="1"/>
      <c r="T86" s="75"/>
      <c r="U86" s="75"/>
      <c r="V86" s="75"/>
      <c r="W86" s="75"/>
      <c r="X86" s="75"/>
      <c r="Y86" s="75"/>
      <c r="Z86" s="75"/>
      <c r="AA86" s="75"/>
      <c r="AB86" s="75"/>
      <c r="AC86" s="75"/>
      <c r="AD86" s="80"/>
      <c r="AE86" s="75"/>
      <c r="AF86" s="75"/>
      <c r="AG86" s="75"/>
      <c r="AH86" s="75"/>
      <c r="AI86" s="75"/>
      <c r="AJ86" s="75"/>
      <c r="AK86" s="75"/>
      <c r="AL86" s="75"/>
      <c r="AM86" s="75"/>
      <c r="AN86" s="78"/>
      <c r="AO86" s="75"/>
      <c r="AP86" s="75"/>
      <c r="AQ86" s="75"/>
      <c r="AR86" s="75"/>
      <c r="AS86" s="75"/>
      <c r="AT86" s="75"/>
      <c r="AU86" s="75"/>
      <c r="AV86" s="75"/>
      <c r="AW86" s="75"/>
      <c r="AX86" s="75"/>
      <c r="AY86" s="75"/>
      <c r="AZ86" s="75"/>
      <c r="BA86" s="75"/>
      <c r="BB86" s="75"/>
      <c r="BC86" s="75"/>
      <c r="BD86" s="75"/>
      <c r="BE86" s="75"/>
      <c r="BF86" s="78"/>
      <c r="BG86" s="75"/>
      <c r="BH86" s="78"/>
      <c r="BI86" s="75"/>
      <c r="BJ86" s="75"/>
      <c r="BK86" s="75"/>
      <c r="BL86" s="75"/>
      <c r="BM86" s="75"/>
      <c r="BN86" s="75"/>
      <c r="BO86" s="74"/>
      <c r="BP86" s="74"/>
      <c r="BQ86" s="74"/>
      <c r="BR86" s="74"/>
      <c r="BS86" s="74"/>
      <c r="BT86" s="74"/>
      <c r="BU86" s="60"/>
      <c r="BV86" s="60" t="str">
        <f t="shared" si="108"/>
        <v/>
      </c>
      <c r="BW86" s="60"/>
      <c r="BX86" s="60"/>
      <c r="BY86" s="49"/>
      <c r="BZ86" s="82"/>
      <c r="CA86" s="49"/>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25.5" customHeight="1">
      <c r="A87" s="841" t="s">
        <v>187</v>
      </c>
      <c r="B87" s="842"/>
      <c r="C87" s="842"/>
      <c r="D87" s="842"/>
      <c r="E87" s="842"/>
      <c r="F87" s="842"/>
      <c r="G87" s="842"/>
      <c r="H87" s="842"/>
      <c r="I87" s="842"/>
      <c r="J87" s="842"/>
      <c r="K87" s="842"/>
      <c r="L87" s="842"/>
      <c r="M87" s="843"/>
      <c r="N87" s="166"/>
      <c r="O87" s="166"/>
      <c r="P87" s="166"/>
      <c r="Q87" s="166"/>
      <c r="R87" s="52"/>
      <c r="S87" s="1"/>
      <c r="T87" s="75"/>
      <c r="U87" s="75"/>
      <c r="V87" s="75"/>
      <c r="W87" s="75"/>
      <c r="X87" s="75"/>
      <c r="Y87" s="75"/>
      <c r="Z87" s="75"/>
      <c r="AA87" s="75"/>
      <c r="AB87" s="75"/>
      <c r="AC87" s="75"/>
      <c r="AD87" s="80"/>
      <c r="AE87" s="75"/>
      <c r="AF87" s="75"/>
      <c r="AG87" s="75"/>
      <c r="AH87" s="75"/>
      <c r="AI87" s="75"/>
      <c r="AJ87" s="75"/>
      <c r="AK87" s="75"/>
      <c r="AL87" s="75"/>
      <c r="AM87" s="75"/>
      <c r="AN87" s="78"/>
      <c r="AO87" s="75"/>
      <c r="AP87" s="75"/>
      <c r="AQ87" s="75"/>
      <c r="AR87" s="75"/>
      <c r="AS87" s="75"/>
      <c r="AT87" s="75"/>
      <c r="AU87" s="75"/>
      <c r="AV87" s="75"/>
      <c r="AW87" s="75"/>
      <c r="AX87" s="75"/>
      <c r="AY87" s="75"/>
      <c r="AZ87" s="75"/>
      <c r="BA87" s="75"/>
      <c r="BB87" s="75"/>
      <c r="BC87" s="75"/>
      <c r="BD87" s="75"/>
      <c r="BE87" s="75"/>
      <c r="BF87" s="78"/>
      <c r="BG87" s="75"/>
      <c r="BH87" s="78"/>
      <c r="BI87" s="75"/>
      <c r="BJ87" s="75"/>
      <c r="BK87" s="75"/>
      <c r="BL87" s="75"/>
      <c r="BM87" s="75"/>
      <c r="BN87" s="75"/>
      <c r="BO87" s="74"/>
      <c r="BP87" s="74"/>
      <c r="BQ87" s="74"/>
      <c r="BR87" s="74"/>
      <c r="BS87" s="74"/>
      <c r="BT87" s="74"/>
      <c r="BU87" s="60"/>
      <c r="BV87" s="60" t="str">
        <f t="shared" si="108"/>
        <v/>
      </c>
      <c r="BW87" s="60"/>
      <c r="BX87" s="60"/>
      <c r="BY87" s="49"/>
      <c r="BZ87" s="82"/>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1</v>
      </c>
      <c r="B88" s="410" t="str">
        <f>IF(ISNA(VLOOKUP(A88,Master!BE$60:BQ$107,3,FALSE)),"",VLOOKUP(A88,Master!BE$60:BQ$107,3,FALSE))</f>
        <v/>
      </c>
      <c r="C88" s="411" t="str">
        <f>IF(ISNA(VLOOKUP(A88,Master!BE$60:BQ$107,7,FALSE)),"",VLOOKUP(A88,Master!BE$60:BQ$107,7,FALSE))</f>
        <v/>
      </c>
      <c r="D88" s="414" t="str">
        <f>IF(ISNA(VLOOKUP(A88,Master!BE$60:BQ$107,8,FALSE)),"",VLOOKUP(A88,Master!BE$60:BQ$107,8,FALSE))</f>
        <v/>
      </c>
      <c r="E88" s="417" t="str">
        <f>IF(ISNA(VLOOKUP(A88,Master!BE$60:BQ$107,4,FALSE)),"",VLOOKUP(A88,Master!BE$60:BQ$107,4,FALSE))</f>
        <v/>
      </c>
      <c r="F88" s="134" t="str">
        <f>IF(ISNA(VLOOKUP(A88,Master!BE$60:BQ$107,5,FALSE)),"",VLOOKUP(A88,Master!BE$60:BQ$107,5,FALSE))</f>
        <v/>
      </c>
      <c r="G88" s="415" t="str">
        <f>IF(F88="","",IF(F88=1,12400,IF(F88=2,12600,IF(F88=3,12800,IF(F88=4,13500,IF(F88=5,14600,IF(F88=6,15100,IF(F88=7,15700,IF(F88=8,18500,IF(F88=9,20100,IF(F88=10,23700,IF(F88=11,26500,IF(F88=12,31100,IF(F88=13,39300,IF(F88=14,42500,IF(F88=15,42500,IF(F88=16,47200,IF(F88=17,49700,IF(F88=18,52800,IF(F88=19,56000,IF(F88=20,62300,IF(F88=21,86200,IF(F88=22,90800,IF(F88=23,102100,IF(F88=24, 104200,0)))))))))))))))))))))))))</f>
        <v/>
      </c>
      <c r="H88" s="415" t="str">
        <f>IF(AND(F88=""),"",G88*12)</f>
        <v/>
      </c>
      <c r="I88" s="416" t="str">
        <f>IF(AND(F88=""),"","Not Applicable")</f>
        <v/>
      </c>
      <c r="J88" s="415" t="str">
        <f>IF(AND(F88=""),"","0")</f>
        <v/>
      </c>
      <c r="K88" s="415" t="str">
        <f>IF(AND(F88=""),"",H88+J88)</f>
        <v/>
      </c>
      <c r="L88" s="415" t="str">
        <f>IF(AND(F88=""),"",K88)</f>
        <v/>
      </c>
      <c r="M88" s="415" t="str">
        <f>IF(AND(F88=""),"","FIX PAY")</f>
        <v/>
      </c>
      <c r="N88" s="168"/>
      <c r="O88" s="168"/>
      <c r="P88" s="168"/>
      <c r="Q88" s="168">
        <v>0</v>
      </c>
      <c r="R88" s="52"/>
      <c r="S88" s="83"/>
      <c r="T88" s="75"/>
      <c r="U88" s="75"/>
      <c r="V88" s="83"/>
      <c r="W88" s="75">
        <f>'[1]Data Entry'!BJ59</f>
        <v>0</v>
      </c>
      <c r="X88" s="79"/>
      <c r="Y88" s="79"/>
      <c r="Z88" s="79"/>
      <c r="AA88" s="79"/>
      <c r="AB88" s="79"/>
      <c r="AC88" s="79"/>
      <c r="AD88" s="80" t="str">
        <f>IF(AND(G88=""),"",(IF(M88="FIX PAY",0,(G88-ROUNDUP(ROUND((G88*3%)-(G88*3%)*3%,0),-1)))))</f>
        <v/>
      </c>
      <c r="AE88" s="80" t="str">
        <f>IF(AND(G88=""),"",$K88*$BO88)</f>
        <v/>
      </c>
      <c r="AF88" s="80" t="str">
        <f>IF(AND(G88=""),"",$K88*$BP88)</f>
        <v/>
      </c>
      <c r="AG88" s="80" t="str">
        <f>IF(AND(G88=""),"",$K88*$BQ88)</f>
        <v/>
      </c>
      <c r="AH88" s="80" t="str">
        <f>IF(AND(G88=""),"",$K88*$BR88)</f>
        <v/>
      </c>
      <c r="AI88" s="78" t="str">
        <f>IF(AND(G88=""),"",ROUND((AE88+AF88)*$AI$10,0)*BS88)</f>
        <v/>
      </c>
      <c r="AJ88" s="78">
        <v>0</v>
      </c>
      <c r="AK88" s="79">
        <v>0</v>
      </c>
      <c r="AL88" s="78" t="str">
        <f>IF(AND(G88=""),"",ROUND((AE88+AF88)*$AL$10,0)*BS88)</f>
        <v/>
      </c>
      <c r="AM88" s="79" t="e">
        <f>$E$81*BP88*BS88*(IF(G88&lt;=0,0,1))*(IF(F88&lt;=4800,1,0))</f>
        <v>#VALUE!</v>
      </c>
      <c r="AN88" s="78">
        <f t="shared" ref="AN88:AN106" si="110">IF(AND(G88=""),0,ROUND((G88+ROUND(G88*$AI$10,0))/2,0)*(IF(M88="FIX PAY",0,1)))</f>
        <v>0</v>
      </c>
      <c r="AO88" s="78">
        <f t="shared" ref="AO88:AO95" si="111">IF(E88="CLERK GRADE I",1,IF(E88="CLERK GRADE II",1,0))*75*12*BS88*(IF(G88&lt;=0,0,1))*BT88</f>
        <v>0</v>
      </c>
      <c r="AP88" s="78"/>
      <c r="AQ88" s="78">
        <f t="shared" ref="AQ88:AQ95" si="112">(IF(E88="LAB BOY",150,IF(E88="JAMADAR",150,IF(E88="PEON",150,0))))*12*BS88*(IF(G88&lt;=0,0,1))</f>
        <v>0</v>
      </c>
      <c r="AR88" s="80" t="str">
        <f>IF(AND(G88=""),"",SUM(AI88:AQ88)+AE88+AF88)</f>
        <v/>
      </c>
      <c r="AS88" s="80" t="str">
        <f>IF(AND(G88=""),"",AR88)</f>
        <v/>
      </c>
      <c r="AT88" s="78"/>
      <c r="AU88" s="78"/>
      <c r="AV88" s="80" t="str">
        <f>IF(AND(G88=""),"",AS88+AT88+AU88)</f>
        <v/>
      </c>
      <c r="AW88" s="80" t="str">
        <f>IF(AND(G88=""),"",L88*BO88)</f>
        <v/>
      </c>
      <c r="AX88" s="80" t="str">
        <f>IF(AND(G88=""),"",L88*BP88)</f>
        <v/>
      </c>
      <c r="AY88" s="80" t="str">
        <f>IF(AND(G88=""),"",L88*BQ88)</f>
        <v/>
      </c>
      <c r="AZ88" s="80" t="str">
        <f>IF(AND(G88=""),"",L88*BR88)</f>
        <v/>
      </c>
      <c r="BA88" s="78" t="str">
        <f>IF(AND(G88=""),"",ROUND((AW88+AX88)*$BA$10,0)*BS88)</f>
        <v/>
      </c>
      <c r="BB88" s="78"/>
      <c r="BC88" s="79">
        <v>0</v>
      </c>
      <c r="BD88" s="78" t="str">
        <f>IF(AND(G88=""),"",ROUND((AW88+AX88)*$BD$10,0)*BS88)</f>
        <v/>
      </c>
      <c r="BE88" s="79" t="e">
        <f t="shared" ref="BE88" si="113">3387*2*BP88*BS88*(IF(G88&lt;=0,0,1))*(IF(F88&lt;=4800,1,0))</f>
        <v>#VALUE!</v>
      </c>
      <c r="BF88" s="78">
        <f t="shared" ref="BF88" si="114">IF(AND(G88=""),0,ROUND((AD88+ROUND(AD88*$AI$10,0))/2,0)*(IF(M88="FIX PAY",0,1)))</f>
        <v>0</v>
      </c>
      <c r="BG88" s="78">
        <f t="shared" ref="BG88:BG95" si="115">IF(E88="CLERK GRADE I",1,IF(E88="CLERK GRADE II",1,0))*75*12*BS88*(IF(G88&lt;=0,0,1))*BT88</f>
        <v>0</v>
      </c>
      <c r="BH88" s="78">
        <f t="shared" ref="BH88:BH95" si="116">IF(AND(E88=""),0,(IF(E88="ASSISTANT",12,IF(E88="CLERK GRADE I",12,IF(E88="CLERK GRADE II",12,IF(E88="FIELDMAN &amp; FIELD REC",12,IF(E88="LAB BOY",12,IF(E88="JAMADAR",12,IF(E88="PEON",12,10))))))))*(MINA(ROUND(AD88*6%,0),600))*(IF($S88="yes",1,)))</f>
        <v>0</v>
      </c>
      <c r="BI88" s="78" t="str">
        <f t="shared" ref="BI88:BI95" si="117">IF(AND(G88=""),"",(IF(E88="LAB BOY",150,IF(E88="JAMADAR",150,IF(E88="PEON",150,0))))*12*BS88*(IF(G88&lt;=0,0,1)))</f>
        <v/>
      </c>
      <c r="BJ88" s="80" t="str">
        <f>IF(AND(G88=""),"",SUM(BA88:BI88)+AW88+AX88)</f>
        <v/>
      </c>
      <c r="BK88" s="80" t="str">
        <f>IF(AND(G88=""),"",BJ88)</f>
        <v/>
      </c>
      <c r="BL88" s="78"/>
      <c r="BM88" s="78"/>
      <c r="BN88" s="80" t="str">
        <f>IF(AND(G88=""),"",BK88+BL88+BM88)</f>
        <v/>
      </c>
      <c r="BO88" s="74">
        <f t="shared" ref="BO88:BO95" si="118">(IF(E88="PRINCIPAL",1,IF(E88="H M",1,IF(E88="AGRICULTURE INST",1,IF(E88="TEACHER-1ST",1,IF(E88="PTI  I  (13)",1,IF(E88="AGRICULTURE TEACH",1,IF(E88="INSTRUCTOR",1,0))))))))+(IF(E88="JR TEACHER",1,IF(E88="LIBRARIAN I",1,0)))*(IF(M88="FIX PAY",0,1))</f>
        <v>0</v>
      </c>
      <c r="BP88" s="74" t="str">
        <f>IF(AND(G88=""),"",IF(BO88&lt;=0,1,0)*(IF(M88="FIX PAY",0,1)))</f>
        <v/>
      </c>
      <c r="BQ88" s="74">
        <f t="shared" ref="BQ88:BQ95" si="119">(IF(E88="PRINCIPAL (16)",1,IF(E88="V P (14)",1,IF(E88="H M (14)",1,IF(E88="AGRICULTURE INST (13)",1,IF(E88="TEACHER-1ST (13)",1,IF(E88="PTI  I  (13)",1,IF(E88="AGRICULTURE TEACH (13)",1,IF(E88="INSTRUCTOR (13)",1,0))))))))+(IF(E88="JR TEACHER (13)",1,IF(E88="LIBRARIAN I (13)",1,0))))*(IF(M88="FIX PAY",1,0))</f>
        <v>0</v>
      </c>
      <c r="BR88" s="74">
        <f t="shared" ref="BR88:BR95" si="120">IF(BQ88&lt;=0,1,0)*(IF(M88="FIX PAY",1,0))</f>
        <v>0</v>
      </c>
      <c r="BS88" s="74">
        <f t="shared" ref="BS88:BS119" si="121">IF(M88="FIX PAY",1,0)</f>
        <v>0</v>
      </c>
      <c r="BT88" s="74">
        <f t="shared" ref="BT88:BT95" si="122">IF(V88="No",0,1)</f>
        <v>1</v>
      </c>
      <c r="BU88" s="60">
        <f t="shared" ref="BU88:BU95" si="123">IF((ROUND((SUMPRODUCT(MID(0&amp;C88,LARGE(INDEX(ISNUMBER(--MID(C88,ROW($1:$25),1))* ROW($1:$25),0),ROW($1:$25))+1,1)*10^ROW($1:$25)/10)),-8)/100000000)&gt;=2004,1,0)</f>
        <v>0</v>
      </c>
      <c r="BV88" s="81">
        <f t="shared" ref="BV88:BV95" si="124">IF(G88&lt;=0,0,1)</f>
        <v>1</v>
      </c>
      <c r="BW88" s="60">
        <f t="shared" ref="BW88:BW119" si="125">IF(M88="SANVIDA",1,0)</f>
        <v>0</v>
      </c>
      <c r="BX88" s="60">
        <f t="shared" ref="BX88:BX119" si="126">IF(BW88&gt;0,G88,0)</f>
        <v>0</v>
      </c>
      <c r="BY88" s="49" t="str">
        <f t="shared" ref="BY88:BY95" si="127">IF(AND(C88=""),"",IF(AND(C88&lt;=0),"",IF((ROUND((SUMPRODUCT(MID(0&amp;C88,LARGE(INDEX(ISNUMBER(--MID(C88,ROW($1:$71),1))* ROW($1:$71),0),ROW($1:$71))+1,1)*10^ROW($1:$71)/10)),-8)/100000000)&lt;2004,1,0)))</f>
        <v/>
      </c>
      <c r="BZ88" s="82"/>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2</v>
      </c>
      <c r="B89" s="410" t="str">
        <f>IF(ISNA(VLOOKUP(A89,Master!BE$60:BQ$107,3,FALSE)),"",VLOOKUP(A89,Master!BE$60:BQ$107,3,FALSE))</f>
        <v/>
      </c>
      <c r="C89" s="411" t="str">
        <f>IF(ISNA(VLOOKUP(A89,Master!BE$60:BQ$107,7,FALSE)),"",VLOOKUP(A89,Master!BE$60:BQ$107,7,FALSE))</f>
        <v/>
      </c>
      <c r="D89" s="414" t="str">
        <f>IF(ISNA(VLOOKUP(A89,Master!BE$60:BQ$107,8,FALSE)),"",VLOOKUP(A89,Master!BE$60:BQ$107,8,FALSE))</f>
        <v/>
      </c>
      <c r="E89" s="417" t="str">
        <f>IF(ISNA(VLOOKUP(A89,Master!BE$60:BQ$107,4,FALSE)),"",VLOOKUP(A89,Master!BE$60:BQ$107,4,FALSE))</f>
        <v/>
      </c>
      <c r="F89" s="134" t="str">
        <f>IF(ISNA(VLOOKUP(A89,Master!BE$60:BQ$107,5,FALSE)),"",VLOOKUP(A89,Master!BE$60:BQ$107,5,FALSE))</f>
        <v/>
      </c>
      <c r="G89" s="415" t="str">
        <f t="shared" ref="G89:G95" si="128">IF(F89="","",IF(F89=1,12400,IF(F89=2,12600,IF(F89=3,12800,IF(F89=4,13500,IF(F89=5,14600,IF(F89=6,15100,IF(F89=7,15700,IF(F89=8,18500,IF(F89=9,20100,IF(F89=10,23700,IF(F89=11,26500,IF(F89=12,31100,IF(F89=13,39300,IF(F89=14,42500,IF(F89=15,42500,IF(F89=16,47200,IF(F89=17,49700,IF(F89=18,52800,IF(F89=19,56000,IF(F89=20,62300,IF(F89=21,86200,IF(F89=22,90800,IF(F89=23,102100,IF(F89=24, 104200,0)))))))))))))))))))))))))</f>
        <v/>
      </c>
      <c r="H89" s="415" t="str">
        <f t="shared" ref="H89:H95" si="129">IF(AND(F89=""),"",G89*12)</f>
        <v/>
      </c>
      <c r="I89" s="416" t="str">
        <f t="shared" ref="I89:I95" si="130">IF(AND(F89=""),"","Not Applicable")</f>
        <v/>
      </c>
      <c r="J89" s="415" t="str">
        <f t="shared" ref="J89:J95" si="131">IF(AND(F89=""),"","0")</f>
        <v/>
      </c>
      <c r="K89" s="415" t="str">
        <f t="shared" ref="K89:K95" si="132">IF(AND(F89=""),"",H89+J89)</f>
        <v/>
      </c>
      <c r="L89" s="415" t="str">
        <f t="shared" ref="L89:L95" si="133">IF(AND(F89=""),"",K89)</f>
        <v/>
      </c>
      <c r="M89" s="415" t="str">
        <f t="shared" ref="M89:M95" si="134">IF(AND(F89=""),"","FIX PAY")</f>
        <v/>
      </c>
      <c r="N89" s="168"/>
      <c r="O89" s="168"/>
      <c r="P89" s="168"/>
      <c r="Q89" s="168">
        <v>0</v>
      </c>
      <c r="R89" s="52"/>
      <c r="S89" s="83"/>
      <c r="T89" s="75"/>
      <c r="U89" s="75"/>
      <c r="V89" s="83"/>
      <c r="W89" s="75">
        <f>'[1]Data Entry'!BJ60</f>
        <v>0</v>
      </c>
      <c r="X89" s="79"/>
      <c r="Y89" s="79"/>
      <c r="Z89" s="79"/>
      <c r="AA89" s="79"/>
      <c r="AB89" s="79"/>
      <c r="AC89" s="79"/>
      <c r="AD89" s="80" t="str">
        <f t="shared" ref="AD89:AD106" si="135">IF(AND(G89=""),"",(IF(M89="FIX PAY",0,(G89-ROUNDUP(ROUND((G89*3%)-(G89*3%)*3%,0),-1)))))</f>
        <v/>
      </c>
      <c r="AE89" s="80" t="str">
        <f t="shared" ref="AE89:AE106" si="136">IF(AND(G89=""),"",$K89*$BO89)</f>
        <v/>
      </c>
      <c r="AF89" s="80" t="str">
        <f t="shared" ref="AF89:AF106" si="137">IF(AND(G89=""),"",$K89*$BP89)</f>
        <v/>
      </c>
      <c r="AG89" s="80" t="str">
        <f t="shared" ref="AG89:AG106" si="138">IF(AND(G89=""),"",$K89*$BQ89)</f>
        <v/>
      </c>
      <c r="AH89" s="80" t="str">
        <f t="shared" ref="AH89:AH106" si="139">IF(AND(G89=""),"",$K89*$BR89)</f>
        <v/>
      </c>
      <c r="AI89" s="78" t="str">
        <f t="shared" ref="AI89:AI106" si="140">IF(AND(G89=""),"",ROUND((AE89+AF89)*$AI$10,0)*BS89)</f>
        <v/>
      </c>
      <c r="AJ89" s="78">
        <v>0</v>
      </c>
      <c r="AK89" s="79">
        <v>0</v>
      </c>
      <c r="AL89" s="78" t="str">
        <f t="shared" ref="AL89:AL106" si="141">IF(AND(G89=""),"",ROUND((AE89+AF89)*$AL$10,0)*BS89)</f>
        <v/>
      </c>
      <c r="AM89" s="79">
        <f t="shared" ref="AM89:AM95" si="142">$E$81*BP89*BS89*(IF(G89&lt;=0,0,1))*(IF(F89&lt;=4800,1,0))</f>
        <v>0</v>
      </c>
      <c r="AN89" s="78">
        <f t="shared" si="110"/>
        <v>0</v>
      </c>
      <c r="AO89" s="78">
        <f t="shared" si="111"/>
        <v>0</v>
      </c>
      <c r="AP89" s="78"/>
      <c r="AQ89" s="78">
        <f t="shared" si="112"/>
        <v>0</v>
      </c>
      <c r="AR89" s="80" t="str">
        <f t="shared" ref="AR89:AR106" si="143">IF(AND(G89=""),"",SUM(AI89:AQ89)+AE89+AF89)</f>
        <v/>
      </c>
      <c r="AS89" s="80" t="str">
        <f t="shared" ref="AS89:AS106" si="144">IF(AND(G89=""),"",AR89)</f>
        <v/>
      </c>
      <c r="AT89" s="78"/>
      <c r="AU89" s="78"/>
      <c r="AV89" s="80" t="str">
        <f t="shared" ref="AV89:AV106" si="145">IF(AND(G89=""),"",AS89+AT89+AU89)</f>
        <v/>
      </c>
      <c r="AW89" s="80" t="str">
        <f t="shared" ref="AW89:AW106" si="146">IF(AND(G89=""),"",L89*BO89)</f>
        <v/>
      </c>
      <c r="AX89" s="80" t="str">
        <f t="shared" ref="AX89:AX106" si="147">IF(AND(G89=""),"",L89*BP89)</f>
        <v/>
      </c>
      <c r="AY89" s="80" t="str">
        <f t="shared" ref="AY89:AY106" si="148">IF(AND(G89=""),"",L89*BQ89)</f>
        <v/>
      </c>
      <c r="AZ89" s="80" t="str">
        <f t="shared" ref="AZ89:AZ106" si="149">IF(AND(G89=""),"",L89*BR89)</f>
        <v/>
      </c>
      <c r="BA89" s="78" t="str">
        <f t="shared" ref="BA89:BA106" si="150">IF(AND(G89=""),"",ROUND((AW89+AX89)*$BA$10,0)*BS89)</f>
        <v/>
      </c>
      <c r="BB89" s="78"/>
      <c r="BC89" s="79">
        <v>0</v>
      </c>
      <c r="BD89" s="78" t="str">
        <f t="shared" ref="BD89:BD106" si="151">IF(AND(G89=""),"",ROUND((AW89+AX89)*$BD$10,0)*BS89)</f>
        <v/>
      </c>
      <c r="BE89" s="79">
        <f t="shared" ref="BE89:BE106" si="152">3387*2*BP89*BS89*(IF(G89&lt;=0,0,1))*(IF(F89&lt;=4800,1,0))</f>
        <v>0</v>
      </c>
      <c r="BF89" s="78">
        <f t="shared" ref="BF89:BF106" si="153">IF(AND(G89=""),0,ROUND((AD89+ROUND(AD89*$AI$10,0))/2,0)*(IF(M89="FIX PAY",0,1)))</f>
        <v>0</v>
      </c>
      <c r="BG89" s="78">
        <f t="shared" si="115"/>
        <v>0</v>
      </c>
      <c r="BH89" s="78">
        <f t="shared" si="116"/>
        <v>0</v>
      </c>
      <c r="BI89" s="78" t="str">
        <f t="shared" si="117"/>
        <v/>
      </c>
      <c r="BJ89" s="80" t="str">
        <f t="shared" ref="BJ89:BJ106" si="154">IF(AND(G89=""),"",SUM(BA89:BI89)+AW89+AX89)</f>
        <v/>
      </c>
      <c r="BK89" s="80" t="str">
        <f t="shared" ref="BK89:BK106" si="155">IF(AND(G89=""),"",BJ89)</f>
        <v/>
      </c>
      <c r="BL89" s="78"/>
      <c r="BM89" s="78"/>
      <c r="BN89" s="80" t="str">
        <f t="shared" ref="BN89:BN106" si="156">IF(AND(G89=""),"",BK89+BL89+BM89)</f>
        <v/>
      </c>
      <c r="BO89" s="74">
        <f t="shared" si="118"/>
        <v>0</v>
      </c>
      <c r="BP89" s="74">
        <f t="shared" ref="BP89:BP95" si="157">IF(BO89&lt;=0,1,0)*(IF(M89="FIX PAY",0,1))</f>
        <v>1</v>
      </c>
      <c r="BQ89" s="74">
        <f t="shared" si="119"/>
        <v>0</v>
      </c>
      <c r="BR89" s="74">
        <f t="shared" si="120"/>
        <v>0</v>
      </c>
      <c r="BS89" s="74">
        <f t="shared" si="121"/>
        <v>0</v>
      </c>
      <c r="BT89" s="74">
        <f t="shared" si="122"/>
        <v>1</v>
      </c>
      <c r="BU89" s="60">
        <f t="shared" si="123"/>
        <v>0</v>
      </c>
      <c r="BV89" s="81">
        <f t="shared" si="124"/>
        <v>1</v>
      </c>
      <c r="BW89" s="60">
        <f t="shared" si="125"/>
        <v>0</v>
      </c>
      <c r="BX89" s="60">
        <f t="shared" si="126"/>
        <v>0</v>
      </c>
      <c r="BY89" s="49" t="str">
        <f t="shared" si="127"/>
        <v/>
      </c>
      <c r="BZ89" s="82"/>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3</v>
      </c>
      <c r="B90" s="410" t="str">
        <f>IF(ISNA(VLOOKUP(A90,Master!BE$60:BQ$107,3,FALSE)),"",VLOOKUP(A90,Master!BE$60:BQ$107,3,FALSE))</f>
        <v/>
      </c>
      <c r="C90" s="411" t="str">
        <f>IF(ISNA(VLOOKUP(A90,Master!BE$60:BQ$107,7,FALSE)),"",VLOOKUP(A90,Master!BE$60:BQ$107,7,FALSE))</f>
        <v/>
      </c>
      <c r="D90" s="414" t="str">
        <f>IF(ISNA(VLOOKUP(A90,Master!BE$60:BQ$107,8,FALSE)),"",VLOOKUP(A90,Master!BE$60:BQ$107,8,FALSE))</f>
        <v/>
      </c>
      <c r="E90" s="417" t="str">
        <f>IF(ISNA(VLOOKUP(A90,Master!BE$60:BQ$107,4,FALSE)),"",VLOOKUP(A90,Master!BE$60:BQ$107,4,FALSE))</f>
        <v/>
      </c>
      <c r="F90" s="134" t="str">
        <f>IF(ISNA(VLOOKUP(A90,Master!BE$60:BQ$107,5,FALSE)),"",VLOOKUP(A90,Master!BE$60:BQ$107,5,FALSE))</f>
        <v/>
      </c>
      <c r="G90" s="415" t="str">
        <f t="shared" si="128"/>
        <v/>
      </c>
      <c r="H90" s="415" t="str">
        <f t="shared" si="129"/>
        <v/>
      </c>
      <c r="I90" s="416" t="str">
        <f t="shared" si="130"/>
        <v/>
      </c>
      <c r="J90" s="415" t="str">
        <f t="shared" si="131"/>
        <v/>
      </c>
      <c r="K90" s="415" t="str">
        <f t="shared" si="132"/>
        <v/>
      </c>
      <c r="L90" s="415" t="str">
        <f t="shared" si="133"/>
        <v/>
      </c>
      <c r="M90" s="415" t="str">
        <f t="shared" si="134"/>
        <v/>
      </c>
      <c r="N90" s="168"/>
      <c r="O90" s="168"/>
      <c r="P90" s="168"/>
      <c r="Q90" s="168">
        <v>0</v>
      </c>
      <c r="R90" s="52"/>
      <c r="S90" s="83"/>
      <c r="T90" s="75"/>
      <c r="U90" s="75"/>
      <c r="V90" s="83"/>
      <c r="W90" s="75">
        <f>'[1]Data Entry'!BJ61</f>
        <v>0</v>
      </c>
      <c r="X90" s="79"/>
      <c r="Y90" s="79"/>
      <c r="Z90" s="79"/>
      <c r="AA90" s="79"/>
      <c r="AB90" s="79"/>
      <c r="AC90" s="79"/>
      <c r="AD90" s="80" t="str">
        <f t="shared" si="135"/>
        <v/>
      </c>
      <c r="AE90" s="80" t="str">
        <f t="shared" si="136"/>
        <v/>
      </c>
      <c r="AF90" s="80" t="str">
        <f t="shared" si="137"/>
        <v/>
      </c>
      <c r="AG90" s="80" t="str">
        <f t="shared" si="138"/>
        <v/>
      </c>
      <c r="AH90" s="80" t="str">
        <f t="shared" si="139"/>
        <v/>
      </c>
      <c r="AI90" s="78" t="str">
        <f t="shared" si="140"/>
        <v/>
      </c>
      <c r="AJ90" s="78">
        <v>0</v>
      </c>
      <c r="AK90" s="79">
        <v>0</v>
      </c>
      <c r="AL90" s="78" t="str">
        <f t="shared" si="141"/>
        <v/>
      </c>
      <c r="AM90" s="79">
        <f t="shared" si="142"/>
        <v>0</v>
      </c>
      <c r="AN90" s="78">
        <f t="shared" si="110"/>
        <v>0</v>
      </c>
      <c r="AO90" s="78">
        <f t="shared" si="111"/>
        <v>0</v>
      </c>
      <c r="AP90" s="78"/>
      <c r="AQ90" s="78">
        <f t="shared" si="112"/>
        <v>0</v>
      </c>
      <c r="AR90" s="80" t="str">
        <f t="shared" si="143"/>
        <v/>
      </c>
      <c r="AS90" s="80" t="str">
        <f t="shared" si="144"/>
        <v/>
      </c>
      <c r="AT90" s="78"/>
      <c r="AU90" s="78"/>
      <c r="AV90" s="80" t="str">
        <f t="shared" si="145"/>
        <v/>
      </c>
      <c r="AW90" s="80" t="str">
        <f t="shared" si="146"/>
        <v/>
      </c>
      <c r="AX90" s="80" t="str">
        <f t="shared" si="147"/>
        <v/>
      </c>
      <c r="AY90" s="80" t="str">
        <f t="shared" si="148"/>
        <v/>
      </c>
      <c r="AZ90" s="80" t="str">
        <f t="shared" si="149"/>
        <v/>
      </c>
      <c r="BA90" s="78" t="str">
        <f t="shared" si="150"/>
        <v/>
      </c>
      <c r="BB90" s="78"/>
      <c r="BC90" s="79">
        <v>0</v>
      </c>
      <c r="BD90" s="78" t="str">
        <f t="shared" si="151"/>
        <v/>
      </c>
      <c r="BE90" s="79">
        <f t="shared" si="152"/>
        <v>0</v>
      </c>
      <c r="BF90" s="78">
        <f t="shared" si="153"/>
        <v>0</v>
      </c>
      <c r="BG90" s="78">
        <f t="shared" si="115"/>
        <v>0</v>
      </c>
      <c r="BH90" s="78">
        <f t="shared" si="116"/>
        <v>0</v>
      </c>
      <c r="BI90" s="78" t="str">
        <f t="shared" si="117"/>
        <v/>
      </c>
      <c r="BJ90" s="80" t="str">
        <f t="shared" si="154"/>
        <v/>
      </c>
      <c r="BK90" s="80" t="str">
        <f t="shared" si="155"/>
        <v/>
      </c>
      <c r="BL90" s="78"/>
      <c r="BM90" s="78"/>
      <c r="BN90" s="80" t="str">
        <f t="shared" si="156"/>
        <v/>
      </c>
      <c r="BO90" s="74">
        <f t="shared" si="118"/>
        <v>0</v>
      </c>
      <c r="BP90" s="74">
        <f t="shared" si="157"/>
        <v>1</v>
      </c>
      <c r="BQ90" s="74">
        <f t="shared" si="119"/>
        <v>0</v>
      </c>
      <c r="BR90" s="74">
        <f t="shared" si="120"/>
        <v>0</v>
      </c>
      <c r="BS90" s="74">
        <f t="shared" si="121"/>
        <v>0</v>
      </c>
      <c r="BT90" s="74">
        <f t="shared" si="122"/>
        <v>1</v>
      </c>
      <c r="BU90" s="60">
        <f t="shared" si="123"/>
        <v>0</v>
      </c>
      <c r="BV90" s="81">
        <f t="shared" si="124"/>
        <v>1</v>
      </c>
      <c r="BW90" s="60">
        <f t="shared" si="125"/>
        <v>0</v>
      </c>
      <c r="BX90" s="60">
        <f t="shared" si="126"/>
        <v>0</v>
      </c>
      <c r="BY90" s="49" t="str">
        <f t="shared" si="127"/>
        <v/>
      </c>
      <c r="BZ90" s="82"/>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4</v>
      </c>
      <c r="B91" s="410" t="str">
        <f>IF(ISNA(VLOOKUP(A91,Master!BE$60:BQ$107,3,FALSE)),"",VLOOKUP(A91,Master!BE$60:BQ$107,3,FALSE))</f>
        <v/>
      </c>
      <c r="C91" s="411" t="str">
        <f>IF(ISNA(VLOOKUP(A91,Master!BE$60:BQ$107,7,FALSE)),"",VLOOKUP(A91,Master!BE$60:BQ$107,7,FALSE))</f>
        <v/>
      </c>
      <c r="D91" s="414" t="str">
        <f>IF(ISNA(VLOOKUP(A91,Master!BE$60:BQ$107,8,FALSE)),"",VLOOKUP(A91,Master!BE$60:BQ$107,8,FALSE))</f>
        <v/>
      </c>
      <c r="E91" s="417" t="str">
        <f>IF(ISNA(VLOOKUP(A91,Master!BE$60:BQ$107,4,FALSE)),"",VLOOKUP(A91,Master!BE$60:BQ$107,4,FALSE))</f>
        <v/>
      </c>
      <c r="F91" s="134" t="str">
        <f>IF(ISNA(VLOOKUP(A91,Master!BE$60:BQ$107,5,FALSE)),"",VLOOKUP(A91,Master!BE$60:BQ$107,5,FALSE))</f>
        <v/>
      </c>
      <c r="G91" s="415" t="str">
        <f t="shared" si="128"/>
        <v/>
      </c>
      <c r="H91" s="415" t="str">
        <f t="shared" si="129"/>
        <v/>
      </c>
      <c r="I91" s="416" t="str">
        <f t="shared" si="130"/>
        <v/>
      </c>
      <c r="J91" s="415" t="str">
        <f t="shared" si="131"/>
        <v/>
      </c>
      <c r="K91" s="415" t="str">
        <f t="shared" si="132"/>
        <v/>
      </c>
      <c r="L91" s="415" t="str">
        <f t="shared" si="133"/>
        <v/>
      </c>
      <c r="M91" s="415" t="str">
        <f t="shared" si="134"/>
        <v/>
      </c>
      <c r="N91" s="168"/>
      <c r="O91" s="168"/>
      <c r="P91" s="168"/>
      <c r="Q91" s="168">
        <v>0</v>
      </c>
      <c r="R91" s="52"/>
      <c r="S91" s="83"/>
      <c r="T91" s="75"/>
      <c r="U91" s="75"/>
      <c r="V91" s="83"/>
      <c r="W91" s="75">
        <f>'[1]Data Entry'!BJ62</f>
        <v>0</v>
      </c>
      <c r="X91" s="79"/>
      <c r="Y91" s="79"/>
      <c r="Z91" s="79"/>
      <c r="AA91" s="79"/>
      <c r="AB91" s="79"/>
      <c r="AC91" s="79"/>
      <c r="AD91" s="80" t="str">
        <f t="shared" si="135"/>
        <v/>
      </c>
      <c r="AE91" s="80" t="str">
        <f t="shared" si="136"/>
        <v/>
      </c>
      <c r="AF91" s="80" t="str">
        <f t="shared" si="137"/>
        <v/>
      </c>
      <c r="AG91" s="80" t="str">
        <f t="shared" si="138"/>
        <v/>
      </c>
      <c r="AH91" s="80" t="str">
        <f t="shared" si="139"/>
        <v/>
      </c>
      <c r="AI91" s="78" t="str">
        <f t="shared" si="140"/>
        <v/>
      </c>
      <c r="AJ91" s="78">
        <v>0</v>
      </c>
      <c r="AK91" s="79">
        <v>0</v>
      </c>
      <c r="AL91" s="78" t="str">
        <f t="shared" si="141"/>
        <v/>
      </c>
      <c r="AM91" s="79">
        <f t="shared" si="142"/>
        <v>0</v>
      </c>
      <c r="AN91" s="78">
        <f t="shared" si="110"/>
        <v>0</v>
      </c>
      <c r="AO91" s="78">
        <f t="shared" si="111"/>
        <v>0</v>
      </c>
      <c r="AP91" s="78"/>
      <c r="AQ91" s="78">
        <f t="shared" si="112"/>
        <v>0</v>
      </c>
      <c r="AR91" s="80" t="str">
        <f t="shared" si="143"/>
        <v/>
      </c>
      <c r="AS91" s="80" t="str">
        <f t="shared" si="144"/>
        <v/>
      </c>
      <c r="AT91" s="78"/>
      <c r="AU91" s="78"/>
      <c r="AV91" s="80" t="str">
        <f t="shared" si="145"/>
        <v/>
      </c>
      <c r="AW91" s="80" t="str">
        <f t="shared" si="146"/>
        <v/>
      </c>
      <c r="AX91" s="80" t="str">
        <f t="shared" si="147"/>
        <v/>
      </c>
      <c r="AY91" s="80" t="str">
        <f t="shared" si="148"/>
        <v/>
      </c>
      <c r="AZ91" s="80" t="str">
        <f t="shared" si="149"/>
        <v/>
      </c>
      <c r="BA91" s="78" t="str">
        <f t="shared" si="150"/>
        <v/>
      </c>
      <c r="BB91" s="78"/>
      <c r="BC91" s="79">
        <v>0</v>
      </c>
      <c r="BD91" s="78" t="str">
        <f t="shared" si="151"/>
        <v/>
      </c>
      <c r="BE91" s="79">
        <f t="shared" si="152"/>
        <v>0</v>
      </c>
      <c r="BF91" s="78">
        <f t="shared" si="153"/>
        <v>0</v>
      </c>
      <c r="BG91" s="78">
        <f t="shared" si="115"/>
        <v>0</v>
      </c>
      <c r="BH91" s="78">
        <f t="shared" si="116"/>
        <v>0</v>
      </c>
      <c r="BI91" s="78" t="str">
        <f t="shared" si="117"/>
        <v/>
      </c>
      <c r="BJ91" s="80" t="str">
        <f t="shared" si="154"/>
        <v/>
      </c>
      <c r="BK91" s="80" t="str">
        <f t="shared" si="155"/>
        <v/>
      </c>
      <c r="BL91" s="78"/>
      <c r="BM91" s="78"/>
      <c r="BN91" s="80" t="str">
        <f t="shared" si="156"/>
        <v/>
      </c>
      <c r="BO91" s="74">
        <f t="shared" si="118"/>
        <v>0</v>
      </c>
      <c r="BP91" s="74">
        <f t="shared" si="157"/>
        <v>1</v>
      </c>
      <c r="BQ91" s="74">
        <f t="shared" si="119"/>
        <v>0</v>
      </c>
      <c r="BR91" s="74">
        <f t="shared" si="120"/>
        <v>0</v>
      </c>
      <c r="BS91" s="74">
        <f t="shared" si="121"/>
        <v>0</v>
      </c>
      <c r="BT91" s="74">
        <f t="shared" si="122"/>
        <v>1</v>
      </c>
      <c r="BU91" s="60">
        <f t="shared" si="123"/>
        <v>0</v>
      </c>
      <c r="BV91" s="81">
        <f t="shared" si="124"/>
        <v>1</v>
      </c>
      <c r="BW91" s="60">
        <f t="shared" si="125"/>
        <v>0</v>
      </c>
      <c r="BX91" s="60">
        <f t="shared" si="126"/>
        <v>0</v>
      </c>
      <c r="BY91" s="49" t="str">
        <f t="shared" si="127"/>
        <v/>
      </c>
      <c r="BZ91" s="82"/>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5</v>
      </c>
      <c r="B92" s="410" t="str">
        <f>IF(ISNA(VLOOKUP(A92,Master!BE$60:BQ$107,3,FALSE)),"",VLOOKUP(A92,Master!BE$60:BQ$107,3,FALSE))</f>
        <v/>
      </c>
      <c r="C92" s="411" t="str">
        <f>IF(ISNA(VLOOKUP(A92,Master!BE$60:BQ$107,7,FALSE)),"",VLOOKUP(A92,Master!BE$60:BQ$107,7,FALSE))</f>
        <v/>
      </c>
      <c r="D92" s="414" t="str">
        <f>IF(ISNA(VLOOKUP(A92,Master!BE$60:BQ$107,8,FALSE)),"",VLOOKUP(A92,Master!BE$60:BQ$107,8,FALSE))</f>
        <v/>
      </c>
      <c r="E92" s="417" t="str">
        <f>IF(ISNA(VLOOKUP(A92,Master!BE$60:BQ$107,4,FALSE)),"",VLOOKUP(A92,Master!BE$60:BQ$107,4,FALSE))</f>
        <v/>
      </c>
      <c r="F92" s="134" t="str">
        <f>IF(ISNA(VLOOKUP(A92,Master!BE$60:BQ$107,5,FALSE)),"",VLOOKUP(A92,Master!BE$60:BQ$107,5,FALSE))</f>
        <v/>
      </c>
      <c r="G92" s="415" t="str">
        <f t="shared" si="128"/>
        <v/>
      </c>
      <c r="H92" s="415" t="str">
        <f t="shared" si="129"/>
        <v/>
      </c>
      <c r="I92" s="416" t="str">
        <f t="shared" si="130"/>
        <v/>
      </c>
      <c r="J92" s="415" t="str">
        <f t="shared" si="131"/>
        <v/>
      </c>
      <c r="K92" s="415" t="str">
        <f t="shared" si="132"/>
        <v/>
      </c>
      <c r="L92" s="415" t="str">
        <f t="shared" si="133"/>
        <v/>
      </c>
      <c r="M92" s="415" t="str">
        <f t="shared" si="134"/>
        <v/>
      </c>
      <c r="N92" s="168"/>
      <c r="O92" s="168"/>
      <c r="P92" s="168"/>
      <c r="Q92" s="168">
        <v>0</v>
      </c>
      <c r="R92" s="52"/>
      <c r="S92" s="83"/>
      <c r="T92" s="75"/>
      <c r="U92" s="75"/>
      <c r="V92" s="83"/>
      <c r="W92" s="75">
        <f>'[1]Data Entry'!BJ63</f>
        <v>0</v>
      </c>
      <c r="X92" s="79"/>
      <c r="Y92" s="79"/>
      <c r="Z92" s="79"/>
      <c r="AA92" s="79"/>
      <c r="AB92" s="79"/>
      <c r="AC92" s="79"/>
      <c r="AD92" s="80" t="str">
        <f t="shared" si="135"/>
        <v/>
      </c>
      <c r="AE92" s="80" t="str">
        <f t="shared" si="136"/>
        <v/>
      </c>
      <c r="AF92" s="80" t="str">
        <f t="shared" si="137"/>
        <v/>
      </c>
      <c r="AG92" s="80" t="str">
        <f t="shared" si="138"/>
        <v/>
      </c>
      <c r="AH92" s="80" t="str">
        <f t="shared" si="139"/>
        <v/>
      </c>
      <c r="AI92" s="78" t="str">
        <f t="shared" si="140"/>
        <v/>
      </c>
      <c r="AJ92" s="78">
        <v>0</v>
      </c>
      <c r="AK92" s="79">
        <v>0</v>
      </c>
      <c r="AL92" s="78" t="str">
        <f t="shared" si="141"/>
        <v/>
      </c>
      <c r="AM92" s="79">
        <f t="shared" si="142"/>
        <v>0</v>
      </c>
      <c r="AN92" s="78">
        <f t="shared" si="110"/>
        <v>0</v>
      </c>
      <c r="AO92" s="78">
        <f t="shared" si="111"/>
        <v>0</v>
      </c>
      <c r="AP92" s="78"/>
      <c r="AQ92" s="78">
        <f t="shared" si="112"/>
        <v>0</v>
      </c>
      <c r="AR92" s="80" t="str">
        <f t="shared" si="143"/>
        <v/>
      </c>
      <c r="AS92" s="80" t="str">
        <f t="shared" si="144"/>
        <v/>
      </c>
      <c r="AT92" s="78"/>
      <c r="AU92" s="78"/>
      <c r="AV92" s="80" t="str">
        <f t="shared" si="145"/>
        <v/>
      </c>
      <c r="AW92" s="80" t="str">
        <f t="shared" si="146"/>
        <v/>
      </c>
      <c r="AX92" s="80" t="str">
        <f t="shared" si="147"/>
        <v/>
      </c>
      <c r="AY92" s="80" t="str">
        <f t="shared" si="148"/>
        <v/>
      </c>
      <c r="AZ92" s="80" t="str">
        <f t="shared" si="149"/>
        <v/>
      </c>
      <c r="BA92" s="78" t="str">
        <f t="shared" si="150"/>
        <v/>
      </c>
      <c r="BB92" s="78"/>
      <c r="BC92" s="79">
        <v>0</v>
      </c>
      <c r="BD92" s="78" t="str">
        <f t="shared" si="151"/>
        <v/>
      </c>
      <c r="BE92" s="79">
        <f t="shared" si="152"/>
        <v>0</v>
      </c>
      <c r="BF92" s="78">
        <f t="shared" si="153"/>
        <v>0</v>
      </c>
      <c r="BG92" s="78">
        <f t="shared" si="115"/>
        <v>0</v>
      </c>
      <c r="BH92" s="78">
        <f t="shared" si="116"/>
        <v>0</v>
      </c>
      <c r="BI92" s="78" t="str">
        <f t="shared" si="117"/>
        <v/>
      </c>
      <c r="BJ92" s="80" t="str">
        <f t="shared" si="154"/>
        <v/>
      </c>
      <c r="BK92" s="80" t="str">
        <f t="shared" si="155"/>
        <v/>
      </c>
      <c r="BL92" s="78"/>
      <c r="BM92" s="78"/>
      <c r="BN92" s="80" t="str">
        <f t="shared" si="156"/>
        <v/>
      </c>
      <c r="BO92" s="74">
        <f t="shared" si="118"/>
        <v>0</v>
      </c>
      <c r="BP92" s="74">
        <f t="shared" si="157"/>
        <v>1</v>
      </c>
      <c r="BQ92" s="74">
        <f t="shared" si="119"/>
        <v>0</v>
      </c>
      <c r="BR92" s="74">
        <f t="shared" si="120"/>
        <v>0</v>
      </c>
      <c r="BS92" s="74">
        <f t="shared" si="121"/>
        <v>0</v>
      </c>
      <c r="BT92" s="74">
        <f t="shared" si="122"/>
        <v>1</v>
      </c>
      <c r="BU92" s="60">
        <f t="shared" si="123"/>
        <v>0</v>
      </c>
      <c r="BV92" s="81">
        <f t="shared" si="124"/>
        <v>1</v>
      </c>
      <c r="BW92" s="60">
        <f t="shared" si="125"/>
        <v>0</v>
      </c>
      <c r="BX92" s="60">
        <f t="shared" si="126"/>
        <v>0</v>
      </c>
      <c r="BY92" s="49" t="str">
        <f t="shared" si="127"/>
        <v/>
      </c>
      <c r="BZ92" s="82"/>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6</v>
      </c>
      <c r="B93" s="410" t="str">
        <f>IF(ISNA(VLOOKUP(A93,Master!BE$60:BQ$107,3,FALSE)),"",VLOOKUP(A93,Master!BE$60:BQ$107,3,FALSE))</f>
        <v/>
      </c>
      <c r="C93" s="411" t="str">
        <f>IF(ISNA(VLOOKUP(A93,Master!BE$60:BQ$107,7,FALSE)),"",VLOOKUP(A93,Master!BE$60:BQ$107,7,FALSE))</f>
        <v/>
      </c>
      <c r="D93" s="414" t="str">
        <f>IF(ISNA(VLOOKUP(A93,Master!BE$60:BQ$107,8,FALSE)),"",VLOOKUP(A93,Master!BE$60:BQ$107,8,FALSE))</f>
        <v/>
      </c>
      <c r="E93" s="417" t="str">
        <f>IF(ISNA(VLOOKUP(A93,Master!BE$60:BQ$107,4,FALSE)),"",VLOOKUP(A93,Master!BE$60:BQ$107,4,FALSE))</f>
        <v/>
      </c>
      <c r="F93" s="134" t="str">
        <f>IF(ISNA(VLOOKUP(A93,Master!BE$60:BQ$107,5,FALSE)),"",VLOOKUP(A93,Master!BE$60:BQ$107,5,FALSE))</f>
        <v/>
      </c>
      <c r="G93" s="415" t="str">
        <f t="shared" si="128"/>
        <v/>
      </c>
      <c r="H93" s="415" t="str">
        <f t="shared" si="129"/>
        <v/>
      </c>
      <c r="I93" s="416" t="str">
        <f t="shared" si="130"/>
        <v/>
      </c>
      <c r="J93" s="415" t="str">
        <f t="shared" si="131"/>
        <v/>
      </c>
      <c r="K93" s="415" t="str">
        <f t="shared" si="132"/>
        <v/>
      </c>
      <c r="L93" s="415" t="str">
        <f t="shared" si="133"/>
        <v/>
      </c>
      <c r="M93" s="415" t="str">
        <f t="shared" si="134"/>
        <v/>
      </c>
      <c r="N93" s="168"/>
      <c r="O93" s="168"/>
      <c r="P93" s="168"/>
      <c r="Q93" s="168">
        <v>0</v>
      </c>
      <c r="R93" s="52"/>
      <c r="S93" s="83"/>
      <c r="T93" s="75"/>
      <c r="U93" s="75"/>
      <c r="V93" s="83"/>
      <c r="W93" s="75">
        <f>'[1]Data Entry'!BJ64</f>
        <v>0</v>
      </c>
      <c r="X93" s="79"/>
      <c r="Y93" s="79"/>
      <c r="Z93" s="79"/>
      <c r="AA93" s="79"/>
      <c r="AB93" s="79"/>
      <c r="AC93" s="79"/>
      <c r="AD93" s="80" t="str">
        <f t="shared" si="135"/>
        <v/>
      </c>
      <c r="AE93" s="80" t="str">
        <f t="shared" si="136"/>
        <v/>
      </c>
      <c r="AF93" s="80" t="str">
        <f t="shared" si="137"/>
        <v/>
      </c>
      <c r="AG93" s="80" t="str">
        <f t="shared" si="138"/>
        <v/>
      </c>
      <c r="AH93" s="80" t="str">
        <f t="shared" si="139"/>
        <v/>
      </c>
      <c r="AI93" s="78" t="str">
        <f t="shared" si="140"/>
        <v/>
      </c>
      <c r="AJ93" s="78">
        <v>0</v>
      </c>
      <c r="AK93" s="79">
        <v>0</v>
      </c>
      <c r="AL93" s="78" t="str">
        <f t="shared" si="141"/>
        <v/>
      </c>
      <c r="AM93" s="79">
        <f t="shared" si="142"/>
        <v>0</v>
      </c>
      <c r="AN93" s="78">
        <f t="shared" si="110"/>
        <v>0</v>
      </c>
      <c r="AO93" s="78">
        <f t="shared" si="111"/>
        <v>0</v>
      </c>
      <c r="AP93" s="78"/>
      <c r="AQ93" s="78">
        <f t="shared" si="112"/>
        <v>0</v>
      </c>
      <c r="AR93" s="80" t="str">
        <f t="shared" si="143"/>
        <v/>
      </c>
      <c r="AS93" s="80" t="str">
        <f t="shared" si="144"/>
        <v/>
      </c>
      <c r="AT93" s="78"/>
      <c r="AU93" s="78"/>
      <c r="AV93" s="80" t="str">
        <f t="shared" si="145"/>
        <v/>
      </c>
      <c r="AW93" s="80" t="str">
        <f t="shared" si="146"/>
        <v/>
      </c>
      <c r="AX93" s="80" t="str">
        <f t="shared" si="147"/>
        <v/>
      </c>
      <c r="AY93" s="80" t="str">
        <f t="shared" si="148"/>
        <v/>
      </c>
      <c r="AZ93" s="80" t="str">
        <f t="shared" si="149"/>
        <v/>
      </c>
      <c r="BA93" s="78" t="str">
        <f t="shared" si="150"/>
        <v/>
      </c>
      <c r="BB93" s="78"/>
      <c r="BC93" s="79">
        <v>0</v>
      </c>
      <c r="BD93" s="78" t="str">
        <f t="shared" si="151"/>
        <v/>
      </c>
      <c r="BE93" s="79">
        <f t="shared" si="152"/>
        <v>0</v>
      </c>
      <c r="BF93" s="78">
        <f t="shared" si="153"/>
        <v>0</v>
      </c>
      <c r="BG93" s="78">
        <f t="shared" si="115"/>
        <v>0</v>
      </c>
      <c r="BH93" s="78">
        <f t="shared" si="116"/>
        <v>0</v>
      </c>
      <c r="BI93" s="78" t="str">
        <f t="shared" si="117"/>
        <v/>
      </c>
      <c r="BJ93" s="80" t="str">
        <f t="shared" si="154"/>
        <v/>
      </c>
      <c r="BK93" s="80" t="str">
        <f t="shared" si="155"/>
        <v/>
      </c>
      <c r="BL93" s="78"/>
      <c r="BM93" s="78"/>
      <c r="BN93" s="80" t="str">
        <f t="shared" si="156"/>
        <v/>
      </c>
      <c r="BO93" s="74">
        <f t="shared" si="118"/>
        <v>0</v>
      </c>
      <c r="BP93" s="74">
        <f t="shared" si="157"/>
        <v>1</v>
      </c>
      <c r="BQ93" s="74">
        <f t="shared" si="119"/>
        <v>0</v>
      </c>
      <c r="BR93" s="74">
        <f t="shared" si="120"/>
        <v>0</v>
      </c>
      <c r="BS93" s="74">
        <f t="shared" si="121"/>
        <v>0</v>
      </c>
      <c r="BT93" s="74">
        <f t="shared" si="122"/>
        <v>1</v>
      </c>
      <c r="BU93" s="60">
        <f t="shared" si="123"/>
        <v>0</v>
      </c>
      <c r="BV93" s="81">
        <f t="shared" si="124"/>
        <v>1</v>
      </c>
      <c r="BW93" s="60">
        <f t="shared" si="125"/>
        <v>0</v>
      </c>
      <c r="BX93" s="60">
        <f t="shared" si="126"/>
        <v>0</v>
      </c>
      <c r="BY93" s="49" t="str">
        <f t="shared" si="127"/>
        <v/>
      </c>
      <c r="BZ93" s="82"/>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15.75">
      <c r="A94" s="125">
        <v>7</v>
      </c>
      <c r="B94" s="410" t="str">
        <f>IF(ISNA(VLOOKUP(A94,Master!BE$60:BQ$107,3,FALSE)),"",VLOOKUP(A94,Master!BE$60:BQ$107,3,FALSE))</f>
        <v/>
      </c>
      <c r="C94" s="411" t="str">
        <f>IF(ISNA(VLOOKUP(A94,Master!BE$60:BQ$107,7,FALSE)),"",VLOOKUP(A94,Master!BE$60:BQ$107,7,FALSE))</f>
        <v/>
      </c>
      <c r="D94" s="414" t="str">
        <f>IF(ISNA(VLOOKUP(A94,Master!BE$60:BQ$107,8,FALSE)),"",VLOOKUP(A94,Master!BE$60:BQ$107,8,FALSE))</f>
        <v/>
      </c>
      <c r="E94" s="417" t="str">
        <f>IF(ISNA(VLOOKUP(A94,Master!BE$60:BQ$107,4,FALSE)),"",VLOOKUP(A94,Master!BE$60:BQ$107,4,FALSE))</f>
        <v/>
      </c>
      <c r="F94" s="134" t="str">
        <f>IF(ISNA(VLOOKUP(A94,Master!BE$60:BQ$107,5,FALSE)),"",VLOOKUP(A94,Master!BE$60:BQ$107,5,FALSE))</f>
        <v/>
      </c>
      <c r="G94" s="415" t="str">
        <f t="shared" si="128"/>
        <v/>
      </c>
      <c r="H94" s="415" t="str">
        <f t="shared" si="129"/>
        <v/>
      </c>
      <c r="I94" s="416" t="str">
        <f t="shared" si="130"/>
        <v/>
      </c>
      <c r="J94" s="415" t="str">
        <f t="shared" si="131"/>
        <v/>
      </c>
      <c r="K94" s="415" t="str">
        <f t="shared" si="132"/>
        <v/>
      </c>
      <c r="L94" s="415" t="str">
        <f t="shared" si="133"/>
        <v/>
      </c>
      <c r="M94" s="415" t="str">
        <f t="shared" si="134"/>
        <v/>
      </c>
      <c r="N94" s="168"/>
      <c r="O94" s="168"/>
      <c r="P94" s="168"/>
      <c r="Q94" s="168">
        <v>0</v>
      </c>
      <c r="R94" s="52"/>
      <c r="S94" s="83"/>
      <c r="T94" s="75"/>
      <c r="U94" s="75"/>
      <c r="V94" s="83"/>
      <c r="W94" s="75">
        <f>'[1]Data Entry'!BJ65</f>
        <v>0</v>
      </c>
      <c r="X94" s="79"/>
      <c r="Y94" s="79"/>
      <c r="Z94" s="79"/>
      <c r="AA94" s="79"/>
      <c r="AB94" s="79"/>
      <c r="AC94" s="79"/>
      <c r="AD94" s="80" t="str">
        <f t="shared" si="135"/>
        <v/>
      </c>
      <c r="AE94" s="80" t="str">
        <f t="shared" si="136"/>
        <v/>
      </c>
      <c r="AF94" s="80" t="str">
        <f t="shared" si="137"/>
        <v/>
      </c>
      <c r="AG94" s="80" t="str">
        <f t="shared" si="138"/>
        <v/>
      </c>
      <c r="AH94" s="80" t="str">
        <f t="shared" si="139"/>
        <v/>
      </c>
      <c r="AI94" s="78" t="str">
        <f t="shared" si="140"/>
        <v/>
      </c>
      <c r="AJ94" s="78">
        <v>0</v>
      </c>
      <c r="AK94" s="79">
        <v>0</v>
      </c>
      <c r="AL94" s="78" t="str">
        <f t="shared" si="141"/>
        <v/>
      </c>
      <c r="AM94" s="79">
        <f t="shared" si="142"/>
        <v>0</v>
      </c>
      <c r="AN94" s="78">
        <f t="shared" si="110"/>
        <v>0</v>
      </c>
      <c r="AO94" s="78">
        <f t="shared" si="111"/>
        <v>0</v>
      </c>
      <c r="AP94" s="78"/>
      <c r="AQ94" s="78">
        <f t="shared" si="112"/>
        <v>0</v>
      </c>
      <c r="AR94" s="80" t="str">
        <f t="shared" si="143"/>
        <v/>
      </c>
      <c r="AS94" s="80" t="str">
        <f t="shared" si="144"/>
        <v/>
      </c>
      <c r="AT94" s="78"/>
      <c r="AU94" s="78"/>
      <c r="AV94" s="80" t="str">
        <f t="shared" si="145"/>
        <v/>
      </c>
      <c r="AW94" s="80" t="str">
        <f t="shared" si="146"/>
        <v/>
      </c>
      <c r="AX94" s="80" t="str">
        <f t="shared" si="147"/>
        <v/>
      </c>
      <c r="AY94" s="80" t="str">
        <f t="shared" si="148"/>
        <v/>
      </c>
      <c r="AZ94" s="80" t="str">
        <f t="shared" si="149"/>
        <v/>
      </c>
      <c r="BA94" s="78" t="str">
        <f t="shared" si="150"/>
        <v/>
      </c>
      <c r="BB94" s="78"/>
      <c r="BC94" s="79">
        <v>0</v>
      </c>
      <c r="BD94" s="78" t="str">
        <f t="shared" si="151"/>
        <v/>
      </c>
      <c r="BE94" s="79">
        <f t="shared" si="152"/>
        <v>0</v>
      </c>
      <c r="BF94" s="78">
        <f t="shared" si="153"/>
        <v>0</v>
      </c>
      <c r="BG94" s="78">
        <f t="shared" si="115"/>
        <v>0</v>
      </c>
      <c r="BH94" s="78">
        <f t="shared" si="116"/>
        <v>0</v>
      </c>
      <c r="BI94" s="78" t="str">
        <f t="shared" si="117"/>
        <v/>
      </c>
      <c r="BJ94" s="80" t="str">
        <f t="shared" si="154"/>
        <v/>
      </c>
      <c r="BK94" s="80" t="str">
        <f t="shared" si="155"/>
        <v/>
      </c>
      <c r="BL94" s="78"/>
      <c r="BM94" s="78"/>
      <c r="BN94" s="80" t="str">
        <f t="shared" si="156"/>
        <v/>
      </c>
      <c r="BO94" s="74">
        <f t="shared" si="118"/>
        <v>0</v>
      </c>
      <c r="BP94" s="74">
        <f t="shared" si="157"/>
        <v>1</v>
      </c>
      <c r="BQ94" s="74">
        <f t="shared" si="119"/>
        <v>0</v>
      </c>
      <c r="BR94" s="74">
        <f t="shared" si="120"/>
        <v>0</v>
      </c>
      <c r="BS94" s="74">
        <f t="shared" si="121"/>
        <v>0</v>
      </c>
      <c r="BT94" s="74">
        <f t="shared" si="122"/>
        <v>1</v>
      </c>
      <c r="BU94" s="60">
        <f t="shared" si="123"/>
        <v>0</v>
      </c>
      <c r="BV94" s="81">
        <f t="shared" si="124"/>
        <v>1</v>
      </c>
      <c r="BW94" s="60">
        <f t="shared" si="125"/>
        <v>0</v>
      </c>
      <c r="BX94" s="60">
        <f t="shared" si="126"/>
        <v>0</v>
      </c>
      <c r="BY94" s="49" t="str">
        <f t="shared" si="127"/>
        <v/>
      </c>
      <c r="BZ94" s="82"/>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15.75">
      <c r="A95" s="125">
        <v>8</v>
      </c>
      <c r="B95" s="410" t="str">
        <f>IF(ISNA(VLOOKUP(A95,Master!BE$60:BQ$107,3,FALSE)),"",VLOOKUP(A95,Master!BE$60:BQ$107,3,FALSE))</f>
        <v/>
      </c>
      <c r="C95" s="411" t="str">
        <f>IF(ISNA(VLOOKUP(A95,Master!BE$60:BQ$107,7,FALSE)),"",VLOOKUP(A95,Master!BE$60:BQ$107,7,FALSE))</f>
        <v/>
      </c>
      <c r="D95" s="414" t="str">
        <f>IF(ISNA(VLOOKUP(A95,Master!BE$60:BQ$107,8,FALSE)),"",VLOOKUP(A95,Master!BE$60:BQ$107,8,FALSE))</f>
        <v/>
      </c>
      <c r="E95" s="417" t="str">
        <f>IF(ISNA(VLOOKUP(A95,Master!BE$60:BQ$107,4,FALSE)),"",VLOOKUP(A95,Master!BE$60:BQ$107,4,FALSE))</f>
        <v/>
      </c>
      <c r="F95" s="134" t="str">
        <f>IF(ISNA(VLOOKUP(A95,Master!BE$60:BQ$107,5,FALSE)),"",VLOOKUP(A95,Master!BE$60:BQ$107,5,FALSE))</f>
        <v/>
      </c>
      <c r="G95" s="415" t="str">
        <f t="shared" si="128"/>
        <v/>
      </c>
      <c r="H95" s="415" t="str">
        <f t="shared" si="129"/>
        <v/>
      </c>
      <c r="I95" s="416" t="str">
        <f t="shared" si="130"/>
        <v/>
      </c>
      <c r="J95" s="415" t="str">
        <f t="shared" si="131"/>
        <v/>
      </c>
      <c r="K95" s="415" t="str">
        <f t="shared" si="132"/>
        <v/>
      </c>
      <c r="L95" s="415" t="str">
        <f t="shared" si="133"/>
        <v/>
      </c>
      <c r="M95" s="415" t="str">
        <f t="shared" si="134"/>
        <v/>
      </c>
      <c r="N95" s="168"/>
      <c r="O95" s="168"/>
      <c r="P95" s="168"/>
      <c r="Q95" s="168">
        <v>0</v>
      </c>
      <c r="R95" s="52"/>
      <c r="S95" s="83"/>
      <c r="T95" s="75"/>
      <c r="U95" s="75"/>
      <c r="V95" s="83"/>
      <c r="W95" s="75">
        <f>'[1]Data Entry'!BJ66</f>
        <v>0</v>
      </c>
      <c r="X95" s="79"/>
      <c r="Y95" s="79"/>
      <c r="Z95" s="79"/>
      <c r="AA95" s="79"/>
      <c r="AB95" s="79"/>
      <c r="AC95" s="79"/>
      <c r="AD95" s="80" t="str">
        <f t="shared" si="135"/>
        <v/>
      </c>
      <c r="AE95" s="80" t="str">
        <f t="shared" si="136"/>
        <v/>
      </c>
      <c r="AF95" s="80" t="str">
        <f t="shared" si="137"/>
        <v/>
      </c>
      <c r="AG95" s="80" t="str">
        <f t="shared" si="138"/>
        <v/>
      </c>
      <c r="AH95" s="80" t="str">
        <f t="shared" si="139"/>
        <v/>
      </c>
      <c r="AI95" s="78" t="str">
        <f t="shared" si="140"/>
        <v/>
      </c>
      <c r="AJ95" s="78">
        <v>0</v>
      </c>
      <c r="AK95" s="79">
        <v>0</v>
      </c>
      <c r="AL95" s="78" t="str">
        <f t="shared" si="141"/>
        <v/>
      </c>
      <c r="AM95" s="79">
        <f t="shared" si="142"/>
        <v>0</v>
      </c>
      <c r="AN95" s="78">
        <f t="shared" si="110"/>
        <v>0</v>
      </c>
      <c r="AO95" s="78">
        <f t="shared" si="111"/>
        <v>0</v>
      </c>
      <c r="AP95" s="78"/>
      <c r="AQ95" s="78">
        <f t="shared" si="112"/>
        <v>0</v>
      </c>
      <c r="AR95" s="80" t="str">
        <f t="shared" si="143"/>
        <v/>
      </c>
      <c r="AS95" s="80" t="str">
        <f t="shared" si="144"/>
        <v/>
      </c>
      <c r="AT95" s="78"/>
      <c r="AU95" s="78"/>
      <c r="AV95" s="80" t="str">
        <f t="shared" si="145"/>
        <v/>
      </c>
      <c r="AW95" s="80" t="str">
        <f t="shared" si="146"/>
        <v/>
      </c>
      <c r="AX95" s="80" t="str">
        <f t="shared" si="147"/>
        <v/>
      </c>
      <c r="AY95" s="80" t="str">
        <f t="shared" si="148"/>
        <v/>
      </c>
      <c r="AZ95" s="80" t="str">
        <f t="shared" si="149"/>
        <v/>
      </c>
      <c r="BA95" s="78" t="str">
        <f t="shared" si="150"/>
        <v/>
      </c>
      <c r="BB95" s="78"/>
      <c r="BC95" s="79">
        <v>0</v>
      </c>
      <c r="BD95" s="78" t="str">
        <f t="shared" si="151"/>
        <v/>
      </c>
      <c r="BE95" s="79">
        <f t="shared" si="152"/>
        <v>0</v>
      </c>
      <c r="BF95" s="78">
        <f t="shared" si="153"/>
        <v>0</v>
      </c>
      <c r="BG95" s="78">
        <f t="shared" si="115"/>
        <v>0</v>
      </c>
      <c r="BH95" s="78">
        <f t="shared" si="116"/>
        <v>0</v>
      </c>
      <c r="BI95" s="78" t="str">
        <f t="shared" si="117"/>
        <v/>
      </c>
      <c r="BJ95" s="80" t="str">
        <f t="shared" si="154"/>
        <v/>
      </c>
      <c r="BK95" s="80" t="str">
        <f t="shared" si="155"/>
        <v/>
      </c>
      <c r="BL95" s="78"/>
      <c r="BM95" s="78"/>
      <c r="BN95" s="80" t="str">
        <f t="shared" si="156"/>
        <v/>
      </c>
      <c r="BO95" s="74">
        <f t="shared" si="118"/>
        <v>0</v>
      </c>
      <c r="BP95" s="74">
        <f t="shared" si="157"/>
        <v>1</v>
      </c>
      <c r="BQ95" s="74">
        <f t="shared" si="119"/>
        <v>0</v>
      </c>
      <c r="BR95" s="74">
        <f t="shared" si="120"/>
        <v>0</v>
      </c>
      <c r="BS95" s="74">
        <f t="shared" si="121"/>
        <v>0</v>
      </c>
      <c r="BT95" s="74">
        <f t="shared" si="122"/>
        <v>1</v>
      </c>
      <c r="BU95" s="60">
        <f t="shared" si="123"/>
        <v>0</v>
      </c>
      <c r="BV95" s="81">
        <f t="shared" si="124"/>
        <v>1</v>
      </c>
      <c r="BW95" s="60">
        <f t="shared" si="125"/>
        <v>0</v>
      </c>
      <c r="BX95" s="60">
        <f t="shared" si="126"/>
        <v>0</v>
      </c>
      <c r="BY95" s="49" t="str">
        <f t="shared" si="127"/>
        <v/>
      </c>
      <c r="BZ95" s="82"/>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23.25" customHeight="1">
      <c r="A96" s="668"/>
      <c r="B96" s="643"/>
      <c r="C96" s="643"/>
      <c r="D96" s="418"/>
      <c r="E96" s="127" t="s">
        <v>188</v>
      </c>
      <c r="F96" s="129"/>
      <c r="G96" s="129"/>
      <c r="H96" s="170">
        <f>SUM(H88:H95)</f>
        <v>0</v>
      </c>
      <c r="I96" s="170"/>
      <c r="J96" s="170">
        <f t="shared" ref="J96:L96" si="158">SUM(J88:J95)</f>
        <v>0</v>
      </c>
      <c r="K96" s="170">
        <f t="shared" si="158"/>
        <v>0</v>
      </c>
      <c r="L96" s="170">
        <f t="shared" si="158"/>
        <v>0</v>
      </c>
      <c r="M96" s="131"/>
      <c r="N96" s="166"/>
      <c r="O96" s="166"/>
      <c r="P96" s="166"/>
      <c r="Q96" s="166"/>
      <c r="R96" s="52"/>
      <c r="S96" s="83"/>
      <c r="T96" s="78"/>
      <c r="U96" s="78"/>
      <c r="V96" s="83"/>
      <c r="W96" s="78"/>
      <c r="X96" s="78"/>
      <c r="Y96" s="78"/>
      <c r="Z96" s="78"/>
      <c r="AA96" s="78"/>
      <c r="AB96" s="78"/>
      <c r="AC96" s="78"/>
      <c r="AD96" s="80"/>
      <c r="AE96" s="80"/>
      <c r="AF96" s="80"/>
      <c r="AG96" s="80"/>
      <c r="AH96" s="80"/>
      <c r="AI96" s="78"/>
      <c r="AJ96" s="78"/>
      <c r="AK96" s="78"/>
      <c r="AL96" s="78"/>
      <c r="AM96" s="78"/>
      <c r="AN96" s="78"/>
      <c r="AO96" s="78"/>
      <c r="AP96" s="78"/>
      <c r="AQ96" s="78"/>
      <c r="AR96" s="80"/>
      <c r="AS96" s="80"/>
      <c r="AT96" s="78"/>
      <c r="AU96" s="78"/>
      <c r="AV96" s="80"/>
      <c r="AW96" s="80"/>
      <c r="AX96" s="80"/>
      <c r="AY96" s="80"/>
      <c r="AZ96" s="80"/>
      <c r="BA96" s="78"/>
      <c r="BB96" s="78"/>
      <c r="BC96" s="78"/>
      <c r="BD96" s="78"/>
      <c r="BE96" s="79"/>
      <c r="BF96" s="78"/>
      <c r="BG96" s="78"/>
      <c r="BH96" s="78"/>
      <c r="BI96" s="78"/>
      <c r="BJ96" s="80"/>
      <c r="BK96" s="80"/>
      <c r="BL96" s="78"/>
      <c r="BM96" s="78"/>
      <c r="BN96" s="80"/>
      <c r="BO96" s="74"/>
      <c r="BP96" s="74"/>
      <c r="BQ96" s="74"/>
      <c r="BR96" s="74"/>
      <c r="BS96" s="74"/>
      <c r="BT96" s="74"/>
      <c r="BU96" s="60"/>
      <c r="BV96" s="60"/>
      <c r="BW96" s="60"/>
      <c r="BX96" s="60"/>
      <c r="BY96" s="49"/>
      <c r="BZ96" s="82"/>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21" customHeight="1">
      <c r="A97" s="841" t="s">
        <v>189</v>
      </c>
      <c r="B97" s="842"/>
      <c r="C97" s="842"/>
      <c r="D97" s="842"/>
      <c r="E97" s="842"/>
      <c r="F97" s="842"/>
      <c r="G97" s="842"/>
      <c r="H97" s="842"/>
      <c r="I97" s="842"/>
      <c r="J97" s="842"/>
      <c r="K97" s="842"/>
      <c r="L97" s="842"/>
      <c r="M97" s="843"/>
      <c r="N97" s="166"/>
      <c r="O97" s="166"/>
      <c r="P97" s="166"/>
      <c r="Q97" s="166"/>
      <c r="R97" s="52"/>
      <c r="S97" s="83"/>
      <c r="T97" s="78"/>
      <c r="U97" s="78"/>
      <c r="V97" s="83"/>
      <c r="W97" s="78"/>
      <c r="X97" s="78"/>
      <c r="Y97" s="78"/>
      <c r="Z97" s="78"/>
      <c r="AA97" s="78"/>
      <c r="AB97" s="78"/>
      <c r="AC97" s="78"/>
      <c r="AD97" s="80"/>
      <c r="AE97" s="80"/>
      <c r="AF97" s="80"/>
      <c r="AG97" s="80"/>
      <c r="AH97" s="80"/>
      <c r="AI97" s="78"/>
      <c r="AJ97" s="78"/>
      <c r="AK97" s="78"/>
      <c r="AL97" s="78"/>
      <c r="AM97" s="78"/>
      <c r="AN97" s="78"/>
      <c r="AO97" s="78"/>
      <c r="AP97" s="78"/>
      <c r="AQ97" s="78"/>
      <c r="AR97" s="80"/>
      <c r="AS97" s="80"/>
      <c r="AT97" s="78"/>
      <c r="AU97" s="78"/>
      <c r="AV97" s="80"/>
      <c r="AW97" s="80"/>
      <c r="AX97" s="80"/>
      <c r="AY97" s="80"/>
      <c r="AZ97" s="80"/>
      <c r="BA97" s="78"/>
      <c r="BB97" s="78"/>
      <c r="BC97" s="78"/>
      <c r="BD97" s="78"/>
      <c r="BE97" s="79"/>
      <c r="BF97" s="78"/>
      <c r="BG97" s="78"/>
      <c r="BH97" s="78"/>
      <c r="BI97" s="78"/>
      <c r="BJ97" s="80"/>
      <c r="BK97" s="80"/>
      <c r="BL97" s="78"/>
      <c r="BM97" s="78"/>
      <c r="BN97" s="80"/>
      <c r="BO97" s="74"/>
      <c r="BP97" s="74"/>
      <c r="BQ97" s="74"/>
      <c r="BR97" s="74"/>
      <c r="BS97" s="74"/>
      <c r="BT97" s="74"/>
      <c r="BU97" s="60"/>
      <c r="BV97" s="60"/>
      <c r="BW97" s="60"/>
      <c r="BX97" s="60"/>
      <c r="BY97" s="49"/>
      <c r="BZ97" s="82"/>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1</v>
      </c>
      <c r="B98" s="410" t="str">
        <f>IF(ISNA(VLOOKUP(A98,Master!BR$60:CD$107,3,FALSE)),"",VLOOKUP(A98,Master!BR$60:CD$107,3,FALSE))</f>
        <v/>
      </c>
      <c r="C98" s="411" t="str">
        <f>IF(ISNA(VLOOKUP(A98,Master!BR$60:CD$107,7,FALSE)),"",VLOOKUP(A98,Master!BR$60:CD$107,7,FALSE))</f>
        <v/>
      </c>
      <c r="D98" s="414" t="str">
        <f>IF(ISNA(VLOOKUP(A98,Master!BR$60:CD$107,8,FALSE)),"",VLOOKUP(A98,Master!BR$60:CD$107,8,FALSE))</f>
        <v/>
      </c>
      <c r="E98" s="413" t="str">
        <f>IF(ISNA(VLOOKUP(A98,Master!BR$60:CD$107,4,FALSE)),"",VLOOKUP(A98,Master!BR$60:CD$107,4,FALSE))</f>
        <v/>
      </c>
      <c r="F98" s="134" t="str">
        <f>IF(ISNA(VLOOKUP(A98,Master!BR$60:CD$107,5,FALSE)),"",VLOOKUP(A98,Master!BR$60:CD$107,5,FALSE))</f>
        <v/>
      </c>
      <c r="G98" s="415" t="str">
        <f>IF(ISNA(VLOOKUP(A98,Master!BR$60:CD$107,6,FALSE)),"",VLOOKUP(A98,Master!BR$60:CD$107,6,FALSE))</f>
        <v/>
      </c>
      <c r="H98" s="415" t="str">
        <f>IF(AND(F98=""),"",G98*12)</f>
        <v/>
      </c>
      <c r="I98" s="414" t="str">
        <f>IF(AND(F98=""),"","Not Applicable")</f>
        <v/>
      </c>
      <c r="J98" s="415" t="str">
        <f>IF(AND(F98=""),"","0")</f>
        <v/>
      </c>
      <c r="K98" s="415" t="str">
        <f>IF(AND(F98=""),"",H98+J98)</f>
        <v/>
      </c>
      <c r="L98" s="415" t="str">
        <f>IF(AND(F98=""),"",K98)</f>
        <v/>
      </c>
      <c r="M98" s="409" t="str">
        <f>IF(AND(F98=""),"","FIX PAY")</f>
        <v/>
      </c>
      <c r="N98" s="168"/>
      <c r="O98" s="168"/>
      <c r="P98" s="168"/>
      <c r="Q98" s="168">
        <v>0</v>
      </c>
      <c r="R98" s="52"/>
      <c r="S98" s="83"/>
      <c r="T98" s="75"/>
      <c r="U98" s="75"/>
      <c r="V98" s="83"/>
      <c r="W98" s="75">
        <f>'[1]Data Entry'!CP100</f>
        <v>0</v>
      </c>
      <c r="X98" s="79"/>
      <c r="Y98" s="79"/>
      <c r="Z98" s="79"/>
      <c r="AA98" s="79"/>
      <c r="AB98" s="79"/>
      <c r="AC98" s="79"/>
      <c r="AD98" s="80" t="str">
        <f t="shared" si="135"/>
        <v/>
      </c>
      <c r="AE98" s="80" t="str">
        <f t="shared" si="136"/>
        <v/>
      </c>
      <c r="AF98" s="80" t="str">
        <f t="shared" si="137"/>
        <v/>
      </c>
      <c r="AG98" s="80" t="str">
        <f t="shared" si="138"/>
        <v/>
      </c>
      <c r="AH98" s="80" t="str">
        <f t="shared" si="139"/>
        <v/>
      </c>
      <c r="AI98" s="78" t="str">
        <f t="shared" si="140"/>
        <v/>
      </c>
      <c r="AJ98" s="78">
        <v>0</v>
      </c>
      <c r="AK98" s="79">
        <v>0</v>
      </c>
      <c r="AL98" s="78" t="str">
        <f t="shared" si="141"/>
        <v/>
      </c>
      <c r="AM98" s="79">
        <f t="shared" ref="AM98:AM106" si="159">$E$81*BP98*BS98*(IF(G98&lt;=0,0,1))*(IF(F98&lt;=4800,1,0))</f>
        <v>0</v>
      </c>
      <c r="AN98" s="78">
        <f t="shared" si="110"/>
        <v>0</v>
      </c>
      <c r="AO98" s="78">
        <f t="shared" ref="AO98:AO106" si="160">IF(E98="CLERK GRADE I",1,IF(E98="CLERK GRADE II",1,0))*75*12*BS98*(IF(G98&lt;=0,0,1))*BT98</f>
        <v>0</v>
      </c>
      <c r="AP98" s="78"/>
      <c r="AQ98" s="78">
        <f t="shared" ref="AQ98:AQ106" si="161">(IF(E98="LAB BOY",150,IF(E98="JAMADAR",150,IF(E98="PEON",150,0))))*12*BS98*(IF(G98&lt;=0,0,1))</f>
        <v>0</v>
      </c>
      <c r="AR98" s="80" t="str">
        <f t="shared" si="143"/>
        <v/>
      </c>
      <c r="AS98" s="80" t="str">
        <f t="shared" si="144"/>
        <v/>
      </c>
      <c r="AT98" s="78"/>
      <c r="AU98" s="78"/>
      <c r="AV98" s="80" t="str">
        <f t="shared" si="145"/>
        <v/>
      </c>
      <c r="AW98" s="80" t="str">
        <f t="shared" si="146"/>
        <v/>
      </c>
      <c r="AX98" s="80" t="str">
        <f t="shared" si="147"/>
        <v/>
      </c>
      <c r="AY98" s="80" t="str">
        <f t="shared" si="148"/>
        <v/>
      </c>
      <c r="AZ98" s="80" t="str">
        <f t="shared" si="149"/>
        <v/>
      </c>
      <c r="BA98" s="78" t="str">
        <f t="shared" si="150"/>
        <v/>
      </c>
      <c r="BB98" s="78"/>
      <c r="BC98" s="79">
        <v>0</v>
      </c>
      <c r="BD98" s="78" t="str">
        <f t="shared" si="151"/>
        <v/>
      </c>
      <c r="BE98" s="79">
        <f t="shared" si="152"/>
        <v>0</v>
      </c>
      <c r="BF98" s="78">
        <f t="shared" si="153"/>
        <v>0</v>
      </c>
      <c r="BG98" s="78">
        <f t="shared" ref="BG98:BG106" si="162">IF(E98="CLERK GRADE I",1,IF(E98="CLERK GRADE II",1,0))*75*12*BS98*(IF(G98&lt;=0,0,1))*BT98</f>
        <v>0</v>
      </c>
      <c r="BH98" s="78">
        <f t="shared" ref="BH98:BH106" si="163">IF(AND(E98=""),0,(IF(E98="ASSISTANT",12,IF(E98="CLERK GRADE I",12,IF(E98="CLERK GRADE II",12,IF(E98="FIELDMAN &amp; FIELD REC",12,IF(E98="LAB BOY",12,IF(E98="JAMADAR",12,IF(E98="PEON",12,10))))))))*(MINA(ROUND(AD98*6%,0),600))*(IF($S98="yes",1,)))</f>
        <v>0</v>
      </c>
      <c r="BI98" s="78" t="str">
        <f t="shared" ref="BI98:BI106" si="164">IF(AND(G98=""),"",(IF(E98="LAB BOY",150,IF(E98="JAMADAR",150,IF(E98="PEON",150,0))))*12*BS98*(IF(G98&lt;=0,0,1)))</f>
        <v/>
      </c>
      <c r="BJ98" s="80" t="str">
        <f t="shared" si="154"/>
        <v/>
      </c>
      <c r="BK98" s="80" t="str">
        <f t="shared" si="155"/>
        <v/>
      </c>
      <c r="BL98" s="78"/>
      <c r="BM98" s="78"/>
      <c r="BN98" s="80" t="str">
        <f t="shared" si="156"/>
        <v/>
      </c>
      <c r="BO98" s="74">
        <f t="shared" ref="BO98:BO106" si="165">(IF(E98="PRINCIPAL",1,IF(E98="H M",1,IF(E98="AGRICULTURE INST",1,IF(E98="TEACHER-1ST",1,IF(E98="PTI  I  (13)",1,IF(E98="AGRICULTURE TEACH",1,IF(E98="INSTRUCTOR",1,0))))))))+(IF(E98="JR TEACHER",1,IF(E98="LIBRARIAN I",1,0)))*(IF(M98="FIX PAY",0,1))</f>
        <v>0</v>
      </c>
      <c r="BP98" s="74">
        <f t="shared" ref="BP98:BP106" si="166">IF(BO98&lt;=0,1,0)*(IF(M98="FIX PAY",0,1))</f>
        <v>1</v>
      </c>
      <c r="BQ98" s="74">
        <f t="shared" ref="BQ98:BQ106" si="167">(IF(E98="PRINCIPAL (16)",1,IF(E98="V P (14)",1,IF(E98="H M (14)",1,IF(E98="AGRICULTURE INST (13)",1,IF(E98="TEACHER-1ST (13)",1,IF(E98="PTI  I  (13)",1,IF(E98="AGRICULTURE TEACH (13)",1,IF(E98="INSTRUCTOR (13)",1,0))))))))+(IF(E98="JR TEACHER (13)",1,IF(E98="LIBRARIAN I (13)",1,0))))*(IF(M98="FIX PAY",1,0))</f>
        <v>0</v>
      </c>
      <c r="BR98" s="74">
        <f t="shared" ref="BR98:BR106" si="168">IF(BQ98&lt;=0,1,0)*(IF(M98="FIX PAY",1,0))</f>
        <v>0</v>
      </c>
      <c r="BS98" s="74">
        <f t="shared" si="121"/>
        <v>0</v>
      </c>
      <c r="BT98" s="74">
        <f t="shared" ref="BT98:BT106" si="169">IF(V98="No",0,1)</f>
        <v>1</v>
      </c>
      <c r="BU98" s="60">
        <f t="shared" ref="BU98:BU106" si="170">IF((ROUND((SUMPRODUCT(MID(0&amp;C98,LARGE(INDEX(ISNUMBER(--MID(C98,ROW($1:$25),1))* ROW($1:$25),0),ROW($1:$25))+1,1)*10^ROW($1:$25)/10)),-8)/100000000)&gt;=2004,1,0)</f>
        <v>0</v>
      </c>
      <c r="BV98" s="81">
        <f t="shared" ref="BV98:BV106" si="171">IF(G98&lt;=0,0,1)</f>
        <v>1</v>
      </c>
      <c r="BW98" s="60">
        <f t="shared" si="125"/>
        <v>0</v>
      </c>
      <c r="BX98" s="60">
        <f t="shared" si="126"/>
        <v>0</v>
      </c>
      <c r="BY98" s="49" t="str">
        <f t="shared" ref="BY98:BY106" si="172">IF(AND(C98=""),"",IF(AND(C98&lt;=0),"",IF((ROUND((SUMPRODUCT(MID(0&amp;C98,LARGE(INDEX(ISNUMBER(--MID(C98,ROW($1:$71),1))* ROW($1:$71),0),ROW($1:$71))+1,1)*10^ROW($1:$71)/10)),-8)/100000000)&lt;2004,1,0)))</f>
        <v/>
      </c>
      <c r="BZ98" s="82"/>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2</v>
      </c>
      <c r="B99" s="410" t="str">
        <f>IF(ISNA(VLOOKUP(A99,Master!BR$60:CD$107,3,FALSE)),"",VLOOKUP(A99,Master!BR$60:CD$107,3,FALSE))</f>
        <v/>
      </c>
      <c r="C99" s="411" t="str">
        <f>IF(ISNA(VLOOKUP(A99,Master!BR$60:CD$107,7,FALSE)),"",VLOOKUP(A99,Master!BR$60:CD$107,7,FALSE))</f>
        <v/>
      </c>
      <c r="D99" s="414" t="str">
        <f>IF(ISNA(VLOOKUP(A99,Master!BR$60:CD$107,8,FALSE)),"",VLOOKUP(A99,Master!BR$60:CD$107,8,FALSE))</f>
        <v/>
      </c>
      <c r="E99" s="413" t="str">
        <f>IF(ISNA(VLOOKUP(A99,Master!BR$60:CD$107,4,FALSE)),"",VLOOKUP(A99,Master!BR$60:CD$107,4,FALSE))</f>
        <v/>
      </c>
      <c r="F99" s="134" t="str">
        <f>IF(ISNA(VLOOKUP(A99,Master!BR$60:CD$107,5,FALSE)),"",VLOOKUP(A99,Master!BR$60:CD$107,5,FALSE))</f>
        <v/>
      </c>
      <c r="G99" s="415" t="str">
        <f>IF(ISNA(VLOOKUP(A99,Master!BR$60:CD$107,6,FALSE)),"",VLOOKUP(A99,Master!BR$60:CD$107,6,FALSE))</f>
        <v/>
      </c>
      <c r="H99" s="415" t="str">
        <f t="shared" ref="H99:H106" si="173">IF(AND(F99=""),"",G99*12)</f>
        <v/>
      </c>
      <c r="I99" s="414" t="str">
        <f t="shared" ref="I99:I106" si="174">IF(AND(F99=""),"","Not Applicable")</f>
        <v/>
      </c>
      <c r="J99" s="415" t="str">
        <f t="shared" ref="J99:J106" si="175">IF(AND(F99=""),"","0")</f>
        <v/>
      </c>
      <c r="K99" s="415" t="str">
        <f t="shared" ref="K99:K106" si="176">IF(AND(F99=""),"",H99+J99)</f>
        <v/>
      </c>
      <c r="L99" s="415" t="str">
        <f t="shared" ref="L99:L106" si="177">IF(AND(F99=""),"",K99)</f>
        <v/>
      </c>
      <c r="M99" s="409" t="str">
        <f t="shared" ref="M99:M106" si="178">IF(AND(F99=""),"","FIX PAY")</f>
        <v/>
      </c>
      <c r="N99" s="168"/>
      <c r="O99" s="168"/>
      <c r="P99" s="168"/>
      <c r="Q99" s="168">
        <v>0</v>
      </c>
      <c r="R99" s="52"/>
      <c r="S99" s="83"/>
      <c r="T99" s="75"/>
      <c r="U99" s="75"/>
      <c r="V99" s="83"/>
      <c r="W99" s="75">
        <f>'[1]Data Entry'!CP101</f>
        <v>0</v>
      </c>
      <c r="X99" s="79"/>
      <c r="Y99" s="79"/>
      <c r="Z99" s="79"/>
      <c r="AA99" s="79"/>
      <c r="AB99" s="79"/>
      <c r="AC99" s="79"/>
      <c r="AD99" s="80" t="str">
        <f t="shared" si="135"/>
        <v/>
      </c>
      <c r="AE99" s="80" t="str">
        <f t="shared" si="136"/>
        <v/>
      </c>
      <c r="AF99" s="80" t="str">
        <f t="shared" si="137"/>
        <v/>
      </c>
      <c r="AG99" s="80" t="str">
        <f t="shared" si="138"/>
        <v/>
      </c>
      <c r="AH99" s="80" t="str">
        <f t="shared" si="139"/>
        <v/>
      </c>
      <c r="AI99" s="78" t="str">
        <f t="shared" si="140"/>
        <v/>
      </c>
      <c r="AJ99" s="78">
        <v>0</v>
      </c>
      <c r="AK99" s="79">
        <v>0</v>
      </c>
      <c r="AL99" s="78" t="str">
        <f t="shared" si="141"/>
        <v/>
      </c>
      <c r="AM99" s="79">
        <f t="shared" si="159"/>
        <v>0</v>
      </c>
      <c r="AN99" s="78">
        <f t="shared" si="110"/>
        <v>0</v>
      </c>
      <c r="AO99" s="78">
        <f t="shared" si="160"/>
        <v>0</v>
      </c>
      <c r="AP99" s="78"/>
      <c r="AQ99" s="78">
        <f t="shared" si="161"/>
        <v>0</v>
      </c>
      <c r="AR99" s="80" t="str">
        <f t="shared" si="143"/>
        <v/>
      </c>
      <c r="AS99" s="80" t="str">
        <f t="shared" si="144"/>
        <v/>
      </c>
      <c r="AT99" s="78"/>
      <c r="AU99" s="78"/>
      <c r="AV99" s="80" t="str">
        <f t="shared" si="145"/>
        <v/>
      </c>
      <c r="AW99" s="80" t="str">
        <f t="shared" si="146"/>
        <v/>
      </c>
      <c r="AX99" s="80" t="str">
        <f t="shared" si="147"/>
        <v/>
      </c>
      <c r="AY99" s="80" t="str">
        <f t="shared" si="148"/>
        <v/>
      </c>
      <c r="AZ99" s="80" t="str">
        <f t="shared" si="149"/>
        <v/>
      </c>
      <c r="BA99" s="78" t="str">
        <f t="shared" si="150"/>
        <v/>
      </c>
      <c r="BB99" s="78"/>
      <c r="BC99" s="79">
        <v>0</v>
      </c>
      <c r="BD99" s="78" t="str">
        <f t="shared" si="151"/>
        <v/>
      </c>
      <c r="BE99" s="79">
        <f t="shared" si="152"/>
        <v>0</v>
      </c>
      <c r="BF99" s="78">
        <f t="shared" si="153"/>
        <v>0</v>
      </c>
      <c r="BG99" s="78">
        <f t="shared" si="162"/>
        <v>0</v>
      </c>
      <c r="BH99" s="78">
        <f t="shared" si="163"/>
        <v>0</v>
      </c>
      <c r="BI99" s="78" t="str">
        <f t="shared" si="164"/>
        <v/>
      </c>
      <c r="BJ99" s="80" t="str">
        <f t="shared" si="154"/>
        <v/>
      </c>
      <c r="BK99" s="80" t="str">
        <f t="shared" si="155"/>
        <v/>
      </c>
      <c r="BL99" s="78"/>
      <c r="BM99" s="78"/>
      <c r="BN99" s="80" t="str">
        <f t="shared" si="156"/>
        <v/>
      </c>
      <c r="BO99" s="74">
        <f t="shared" si="165"/>
        <v>0</v>
      </c>
      <c r="BP99" s="74">
        <f t="shared" si="166"/>
        <v>1</v>
      </c>
      <c r="BQ99" s="74">
        <f t="shared" si="167"/>
        <v>0</v>
      </c>
      <c r="BR99" s="74">
        <f t="shared" si="168"/>
        <v>0</v>
      </c>
      <c r="BS99" s="74">
        <f t="shared" si="121"/>
        <v>0</v>
      </c>
      <c r="BT99" s="74">
        <f t="shared" si="169"/>
        <v>1</v>
      </c>
      <c r="BU99" s="60">
        <f t="shared" si="170"/>
        <v>0</v>
      </c>
      <c r="BV99" s="81">
        <f t="shared" si="171"/>
        <v>1</v>
      </c>
      <c r="BW99" s="60">
        <f t="shared" si="125"/>
        <v>0</v>
      </c>
      <c r="BX99" s="60">
        <f t="shared" si="126"/>
        <v>0</v>
      </c>
      <c r="BY99" s="49" t="str">
        <f t="shared" si="172"/>
        <v/>
      </c>
      <c r="BZ99" s="82"/>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3</v>
      </c>
      <c r="B100" s="410" t="str">
        <f>IF(ISNA(VLOOKUP(A100,Master!BR$60:CD$107,3,FALSE)),"",VLOOKUP(A100,Master!BR$60:CD$107,3,FALSE))</f>
        <v/>
      </c>
      <c r="C100" s="411" t="str">
        <f>IF(ISNA(VLOOKUP(A100,Master!BR$60:CD$107,7,FALSE)),"",VLOOKUP(A100,Master!BR$60:CD$107,7,FALSE))</f>
        <v/>
      </c>
      <c r="D100" s="414" t="str">
        <f>IF(ISNA(VLOOKUP(A100,Master!BR$60:CD$107,8,FALSE)),"",VLOOKUP(A100,Master!BR$60:CD$107,8,FALSE))</f>
        <v/>
      </c>
      <c r="E100" s="413" t="str">
        <f>IF(ISNA(VLOOKUP(A100,Master!BR$60:CD$107,4,FALSE)),"",VLOOKUP(A100,Master!BR$60:CD$107,4,FALSE))</f>
        <v/>
      </c>
      <c r="F100" s="134" t="str">
        <f>IF(ISNA(VLOOKUP(A100,Master!BR$60:CD$107,5,FALSE)),"",VLOOKUP(A100,Master!BR$60:CD$107,5,FALSE))</f>
        <v/>
      </c>
      <c r="G100" s="415" t="str">
        <f>IF(ISNA(VLOOKUP(A100,Master!BR$60:CD$107,6,FALSE)),"",VLOOKUP(A100,Master!BR$60:CD$107,6,FALSE))</f>
        <v/>
      </c>
      <c r="H100" s="415" t="str">
        <f t="shared" si="173"/>
        <v/>
      </c>
      <c r="I100" s="414" t="str">
        <f t="shared" si="174"/>
        <v/>
      </c>
      <c r="J100" s="415" t="str">
        <f t="shared" si="175"/>
        <v/>
      </c>
      <c r="K100" s="415" t="str">
        <f t="shared" si="176"/>
        <v/>
      </c>
      <c r="L100" s="415" t="str">
        <f t="shared" si="177"/>
        <v/>
      </c>
      <c r="M100" s="409" t="str">
        <f t="shared" si="178"/>
        <v/>
      </c>
      <c r="N100" s="168"/>
      <c r="O100" s="168"/>
      <c r="P100" s="168"/>
      <c r="Q100" s="168">
        <v>0</v>
      </c>
      <c r="R100" s="52"/>
      <c r="S100" s="83"/>
      <c r="T100" s="75"/>
      <c r="U100" s="75"/>
      <c r="V100" s="83"/>
      <c r="W100" s="75">
        <f>'[1]Data Entry'!CP102</f>
        <v>0</v>
      </c>
      <c r="X100" s="79"/>
      <c r="Y100" s="79"/>
      <c r="Z100" s="79"/>
      <c r="AA100" s="79"/>
      <c r="AB100" s="79"/>
      <c r="AC100" s="79"/>
      <c r="AD100" s="80" t="str">
        <f t="shared" si="135"/>
        <v/>
      </c>
      <c r="AE100" s="80" t="str">
        <f t="shared" si="136"/>
        <v/>
      </c>
      <c r="AF100" s="80" t="str">
        <f t="shared" si="137"/>
        <v/>
      </c>
      <c r="AG100" s="80" t="str">
        <f t="shared" si="138"/>
        <v/>
      </c>
      <c r="AH100" s="80" t="str">
        <f t="shared" si="139"/>
        <v/>
      </c>
      <c r="AI100" s="78" t="str">
        <f t="shared" si="140"/>
        <v/>
      </c>
      <c r="AJ100" s="78">
        <v>0</v>
      </c>
      <c r="AK100" s="79">
        <v>0</v>
      </c>
      <c r="AL100" s="78" t="str">
        <f t="shared" si="141"/>
        <v/>
      </c>
      <c r="AM100" s="79">
        <f t="shared" si="159"/>
        <v>0</v>
      </c>
      <c r="AN100" s="78">
        <f t="shared" si="110"/>
        <v>0</v>
      </c>
      <c r="AO100" s="78">
        <f t="shared" si="160"/>
        <v>0</v>
      </c>
      <c r="AP100" s="78"/>
      <c r="AQ100" s="78">
        <f t="shared" si="161"/>
        <v>0</v>
      </c>
      <c r="AR100" s="80" t="str">
        <f t="shared" si="143"/>
        <v/>
      </c>
      <c r="AS100" s="80" t="str">
        <f t="shared" si="144"/>
        <v/>
      </c>
      <c r="AT100" s="78"/>
      <c r="AU100" s="78"/>
      <c r="AV100" s="80" t="str">
        <f t="shared" si="145"/>
        <v/>
      </c>
      <c r="AW100" s="80" t="str">
        <f t="shared" si="146"/>
        <v/>
      </c>
      <c r="AX100" s="80" t="str">
        <f t="shared" si="147"/>
        <v/>
      </c>
      <c r="AY100" s="80" t="str">
        <f t="shared" si="148"/>
        <v/>
      </c>
      <c r="AZ100" s="80" t="str">
        <f t="shared" si="149"/>
        <v/>
      </c>
      <c r="BA100" s="78" t="str">
        <f t="shared" si="150"/>
        <v/>
      </c>
      <c r="BB100" s="78"/>
      <c r="BC100" s="79">
        <v>0</v>
      </c>
      <c r="BD100" s="78" t="str">
        <f t="shared" si="151"/>
        <v/>
      </c>
      <c r="BE100" s="79">
        <f t="shared" si="152"/>
        <v>0</v>
      </c>
      <c r="BF100" s="78">
        <f t="shared" si="153"/>
        <v>0</v>
      </c>
      <c r="BG100" s="78">
        <f t="shared" si="162"/>
        <v>0</v>
      </c>
      <c r="BH100" s="78">
        <f t="shared" si="163"/>
        <v>0</v>
      </c>
      <c r="BI100" s="78" t="str">
        <f t="shared" si="164"/>
        <v/>
      </c>
      <c r="BJ100" s="80" t="str">
        <f t="shared" si="154"/>
        <v/>
      </c>
      <c r="BK100" s="80" t="str">
        <f t="shared" si="155"/>
        <v/>
      </c>
      <c r="BL100" s="78"/>
      <c r="BM100" s="78"/>
      <c r="BN100" s="80" t="str">
        <f t="shared" si="156"/>
        <v/>
      </c>
      <c r="BO100" s="74">
        <f t="shared" si="165"/>
        <v>0</v>
      </c>
      <c r="BP100" s="74">
        <f t="shared" si="166"/>
        <v>1</v>
      </c>
      <c r="BQ100" s="74">
        <f t="shared" si="167"/>
        <v>0</v>
      </c>
      <c r="BR100" s="74">
        <f t="shared" si="168"/>
        <v>0</v>
      </c>
      <c r="BS100" s="74">
        <f t="shared" si="121"/>
        <v>0</v>
      </c>
      <c r="BT100" s="74">
        <f t="shared" si="169"/>
        <v>1</v>
      </c>
      <c r="BU100" s="60">
        <f t="shared" si="170"/>
        <v>0</v>
      </c>
      <c r="BV100" s="81">
        <f t="shared" si="171"/>
        <v>1</v>
      </c>
      <c r="BW100" s="60">
        <f t="shared" si="125"/>
        <v>0</v>
      </c>
      <c r="BX100" s="60">
        <f t="shared" si="126"/>
        <v>0</v>
      </c>
      <c r="BY100" s="49" t="str">
        <f t="shared" si="172"/>
        <v/>
      </c>
      <c r="BZ100" s="82" t="str">
        <f t="shared" ref="BZ100:BZ125" si="179">IF(AND(G100=""),"",ROUND(G100*4,0))</f>
        <v/>
      </c>
      <c r="CA100" s="49" t="str">
        <f t="shared" ref="CA100:CA125" si="180">IF(AND(G100=""),"",MROUND(G100*1.03,100)*8)</f>
        <v/>
      </c>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4</v>
      </c>
      <c r="B101" s="410" t="str">
        <f>IF(ISNA(VLOOKUP(A101,Master!BR$60:CD$107,3,FALSE)),"",VLOOKUP(A101,Master!BR$60:CD$107,3,FALSE))</f>
        <v/>
      </c>
      <c r="C101" s="411" t="str">
        <f>IF(ISNA(VLOOKUP(A101,Master!BR$60:CD$107,7,FALSE)),"",VLOOKUP(A101,Master!BR$60:CD$107,7,FALSE))</f>
        <v/>
      </c>
      <c r="D101" s="414" t="str">
        <f>IF(ISNA(VLOOKUP(A101,Master!BR$60:CD$107,8,FALSE)),"",VLOOKUP(A101,Master!BR$60:CD$107,8,FALSE))</f>
        <v/>
      </c>
      <c r="E101" s="413" t="str">
        <f>IF(ISNA(VLOOKUP(A101,Master!BR$60:CD$107,4,FALSE)),"",VLOOKUP(A101,Master!BR$60:CD$107,4,FALSE))</f>
        <v/>
      </c>
      <c r="F101" s="134" t="str">
        <f>IF(ISNA(VLOOKUP(A101,Master!BR$60:CD$107,5,FALSE)),"",VLOOKUP(A101,Master!BR$60:CD$107,5,FALSE))</f>
        <v/>
      </c>
      <c r="G101" s="415" t="str">
        <f>IF(ISNA(VLOOKUP(A101,Master!BR$60:CD$107,6,FALSE)),"",VLOOKUP(A101,Master!BR$60:CD$107,6,FALSE))</f>
        <v/>
      </c>
      <c r="H101" s="415" t="str">
        <f t="shared" si="173"/>
        <v/>
      </c>
      <c r="I101" s="414" t="str">
        <f t="shared" si="174"/>
        <v/>
      </c>
      <c r="J101" s="415" t="str">
        <f t="shared" si="175"/>
        <v/>
      </c>
      <c r="K101" s="415" t="str">
        <f t="shared" si="176"/>
        <v/>
      </c>
      <c r="L101" s="415" t="str">
        <f t="shared" si="177"/>
        <v/>
      </c>
      <c r="M101" s="409" t="str">
        <f t="shared" si="178"/>
        <v/>
      </c>
      <c r="N101" s="168"/>
      <c r="O101" s="168"/>
      <c r="P101" s="168"/>
      <c r="Q101" s="168">
        <v>0</v>
      </c>
      <c r="R101" s="52"/>
      <c r="S101" s="83"/>
      <c r="T101" s="75"/>
      <c r="U101" s="75"/>
      <c r="V101" s="83"/>
      <c r="W101" s="75">
        <f>'[1]Data Entry'!CP103</f>
        <v>0</v>
      </c>
      <c r="X101" s="79"/>
      <c r="Y101" s="79"/>
      <c r="Z101" s="79"/>
      <c r="AA101" s="79"/>
      <c r="AB101" s="79"/>
      <c r="AC101" s="79"/>
      <c r="AD101" s="80" t="str">
        <f t="shared" si="135"/>
        <v/>
      </c>
      <c r="AE101" s="80" t="str">
        <f t="shared" si="136"/>
        <v/>
      </c>
      <c r="AF101" s="80" t="str">
        <f t="shared" si="137"/>
        <v/>
      </c>
      <c r="AG101" s="80" t="str">
        <f t="shared" si="138"/>
        <v/>
      </c>
      <c r="AH101" s="80" t="str">
        <f t="shared" si="139"/>
        <v/>
      </c>
      <c r="AI101" s="78" t="str">
        <f t="shared" si="140"/>
        <v/>
      </c>
      <c r="AJ101" s="78">
        <v>0</v>
      </c>
      <c r="AK101" s="79">
        <v>0</v>
      </c>
      <c r="AL101" s="78" t="str">
        <f t="shared" si="141"/>
        <v/>
      </c>
      <c r="AM101" s="79">
        <f t="shared" si="159"/>
        <v>0</v>
      </c>
      <c r="AN101" s="78">
        <f t="shared" si="110"/>
        <v>0</v>
      </c>
      <c r="AO101" s="78">
        <f t="shared" si="160"/>
        <v>0</v>
      </c>
      <c r="AP101" s="78"/>
      <c r="AQ101" s="78">
        <f t="shared" si="161"/>
        <v>0</v>
      </c>
      <c r="AR101" s="80" t="str">
        <f t="shared" si="143"/>
        <v/>
      </c>
      <c r="AS101" s="80" t="str">
        <f t="shared" si="144"/>
        <v/>
      </c>
      <c r="AT101" s="78"/>
      <c r="AU101" s="78"/>
      <c r="AV101" s="80" t="str">
        <f t="shared" si="145"/>
        <v/>
      </c>
      <c r="AW101" s="80" t="str">
        <f t="shared" si="146"/>
        <v/>
      </c>
      <c r="AX101" s="80" t="str">
        <f t="shared" si="147"/>
        <v/>
      </c>
      <c r="AY101" s="80" t="str">
        <f t="shared" si="148"/>
        <v/>
      </c>
      <c r="AZ101" s="80" t="str">
        <f t="shared" si="149"/>
        <v/>
      </c>
      <c r="BA101" s="78" t="str">
        <f t="shared" si="150"/>
        <v/>
      </c>
      <c r="BB101" s="78"/>
      <c r="BC101" s="79">
        <v>0</v>
      </c>
      <c r="BD101" s="78" t="str">
        <f t="shared" si="151"/>
        <v/>
      </c>
      <c r="BE101" s="79">
        <f t="shared" si="152"/>
        <v>0</v>
      </c>
      <c r="BF101" s="78">
        <f t="shared" si="153"/>
        <v>0</v>
      </c>
      <c r="BG101" s="78">
        <f t="shared" si="162"/>
        <v>0</v>
      </c>
      <c r="BH101" s="78">
        <f t="shared" si="163"/>
        <v>0</v>
      </c>
      <c r="BI101" s="78" t="str">
        <f t="shared" si="164"/>
        <v/>
      </c>
      <c r="BJ101" s="80" t="str">
        <f t="shared" si="154"/>
        <v/>
      </c>
      <c r="BK101" s="80" t="str">
        <f t="shared" si="155"/>
        <v/>
      </c>
      <c r="BL101" s="78"/>
      <c r="BM101" s="78"/>
      <c r="BN101" s="80" t="str">
        <f t="shared" si="156"/>
        <v/>
      </c>
      <c r="BO101" s="74">
        <f t="shared" si="165"/>
        <v>0</v>
      </c>
      <c r="BP101" s="74">
        <f t="shared" si="166"/>
        <v>1</v>
      </c>
      <c r="BQ101" s="74">
        <f t="shared" si="167"/>
        <v>0</v>
      </c>
      <c r="BR101" s="74">
        <f t="shared" si="168"/>
        <v>0</v>
      </c>
      <c r="BS101" s="74">
        <f t="shared" si="121"/>
        <v>0</v>
      </c>
      <c r="BT101" s="74">
        <f t="shared" si="169"/>
        <v>1</v>
      </c>
      <c r="BU101" s="60">
        <f t="shared" si="170"/>
        <v>0</v>
      </c>
      <c r="BV101" s="81">
        <f t="shared" si="171"/>
        <v>1</v>
      </c>
      <c r="BW101" s="60">
        <f t="shared" si="125"/>
        <v>0</v>
      </c>
      <c r="BX101" s="60">
        <f t="shared" si="126"/>
        <v>0</v>
      </c>
      <c r="BY101" s="49" t="str">
        <f t="shared" si="172"/>
        <v/>
      </c>
      <c r="BZ101" s="82" t="str">
        <f t="shared" si="179"/>
        <v/>
      </c>
      <c r="CA101" s="49" t="str">
        <f t="shared" si="180"/>
        <v/>
      </c>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5</v>
      </c>
      <c r="B102" s="410" t="str">
        <f>IF(ISNA(VLOOKUP(A102,Master!BR$60:CD$107,3,FALSE)),"",VLOOKUP(A102,Master!BR$60:CD$107,3,FALSE))</f>
        <v/>
      </c>
      <c r="C102" s="411" t="str">
        <f>IF(ISNA(VLOOKUP(A102,Master!BR$60:CD$107,7,FALSE)),"",VLOOKUP(A102,Master!BR$60:CD$107,7,FALSE))</f>
        <v/>
      </c>
      <c r="D102" s="414" t="str">
        <f>IF(ISNA(VLOOKUP(A102,Master!BR$60:CD$107,8,FALSE)),"",VLOOKUP(A102,Master!BR$60:CD$107,8,FALSE))</f>
        <v/>
      </c>
      <c r="E102" s="413" t="str">
        <f>IF(ISNA(VLOOKUP(A102,Master!BR$60:CD$107,4,FALSE)),"",VLOOKUP(A102,Master!BR$60:CD$107,4,FALSE))</f>
        <v/>
      </c>
      <c r="F102" s="134" t="str">
        <f>IF(ISNA(VLOOKUP(A102,Master!BR$60:CD$107,5,FALSE)),"",VLOOKUP(A102,Master!BR$60:CD$107,5,FALSE))</f>
        <v/>
      </c>
      <c r="G102" s="415" t="str">
        <f>IF(ISNA(VLOOKUP(A102,Master!BR$60:CD$107,6,FALSE)),"",VLOOKUP(A102,Master!BR$60:CD$107,6,FALSE))</f>
        <v/>
      </c>
      <c r="H102" s="415" t="str">
        <f t="shared" si="173"/>
        <v/>
      </c>
      <c r="I102" s="414" t="str">
        <f t="shared" si="174"/>
        <v/>
      </c>
      <c r="J102" s="415" t="str">
        <f t="shared" si="175"/>
        <v/>
      </c>
      <c r="K102" s="415" t="str">
        <f t="shared" si="176"/>
        <v/>
      </c>
      <c r="L102" s="415" t="str">
        <f t="shared" si="177"/>
        <v/>
      </c>
      <c r="M102" s="409" t="str">
        <f t="shared" si="178"/>
        <v/>
      </c>
      <c r="N102" s="168"/>
      <c r="O102" s="168"/>
      <c r="P102" s="168"/>
      <c r="Q102" s="168">
        <v>0</v>
      </c>
      <c r="R102" s="52"/>
      <c r="S102" s="83"/>
      <c r="T102" s="75"/>
      <c r="U102" s="75"/>
      <c r="V102" s="83"/>
      <c r="W102" s="75">
        <f>'[1]Data Entry'!CP104</f>
        <v>0</v>
      </c>
      <c r="X102" s="79"/>
      <c r="Y102" s="79"/>
      <c r="Z102" s="79"/>
      <c r="AA102" s="79"/>
      <c r="AB102" s="79"/>
      <c r="AC102" s="79"/>
      <c r="AD102" s="80" t="str">
        <f t="shared" si="135"/>
        <v/>
      </c>
      <c r="AE102" s="80" t="str">
        <f t="shared" si="136"/>
        <v/>
      </c>
      <c r="AF102" s="80" t="str">
        <f t="shared" si="137"/>
        <v/>
      </c>
      <c r="AG102" s="80" t="str">
        <f t="shared" si="138"/>
        <v/>
      </c>
      <c r="AH102" s="80" t="str">
        <f t="shared" si="139"/>
        <v/>
      </c>
      <c r="AI102" s="78" t="str">
        <f t="shared" si="140"/>
        <v/>
      </c>
      <c r="AJ102" s="78">
        <v>0</v>
      </c>
      <c r="AK102" s="79">
        <v>0</v>
      </c>
      <c r="AL102" s="78" t="str">
        <f t="shared" si="141"/>
        <v/>
      </c>
      <c r="AM102" s="79">
        <f t="shared" si="159"/>
        <v>0</v>
      </c>
      <c r="AN102" s="78">
        <f t="shared" si="110"/>
        <v>0</v>
      </c>
      <c r="AO102" s="78">
        <f t="shared" si="160"/>
        <v>0</v>
      </c>
      <c r="AP102" s="78"/>
      <c r="AQ102" s="78">
        <f t="shared" si="161"/>
        <v>0</v>
      </c>
      <c r="AR102" s="80" t="str">
        <f t="shared" si="143"/>
        <v/>
      </c>
      <c r="AS102" s="80" t="str">
        <f t="shared" si="144"/>
        <v/>
      </c>
      <c r="AT102" s="78"/>
      <c r="AU102" s="78"/>
      <c r="AV102" s="80" t="str">
        <f t="shared" si="145"/>
        <v/>
      </c>
      <c r="AW102" s="80" t="str">
        <f t="shared" si="146"/>
        <v/>
      </c>
      <c r="AX102" s="80" t="str">
        <f t="shared" si="147"/>
        <v/>
      </c>
      <c r="AY102" s="80" t="str">
        <f t="shared" si="148"/>
        <v/>
      </c>
      <c r="AZ102" s="80" t="str">
        <f t="shared" si="149"/>
        <v/>
      </c>
      <c r="BA102" s="78" t="str">
        <f t="shared" si="150"/>
        <v/>
      </c>
      <c r="BB102" s="78"/>
      <c r="BC102" s="79">
        <v>0</v>
      </c>
      <c r="BD102" s="78" t="str">
        <f t="shared" si="151"/>
        <v/>
      </c>
      <c r="BE102" s="79">
        <f t="shared" si="152"/>
        <v>0</v>
      </c>
      <c r="BF102" s="78">
        <f t="shared" si="153"/>
        <v>0</v>
      </c>
      <c r="BG102" s="78">
        <f t="shared" si="162"/>
        <v>0</v>
      </c>
      <c r="BH102" s="78">
        <f t="shared" si="163"/>
        <v>0</v>
      </c>
      <c r="BI102" s="78" t="str">
        <f t="shared" si="164"/>
        <v/>
      </c>
      <c r="BJ102" s="80" t="str">
        <f t="shared" si="154"/>
        <v/>
      </c>
      <c r="BK102" s="80" t="str">
        <f t="shared" si="155"/>
        <v/>
      </c>
      <c r="BL102" s="78"/>
      <c r="BM102" s="78"/>
      <c r="BN102" s="80" t="str">
        <f t="shared" si="156"/>
        <v/>
      </c>
      <c r="BO102" s="74">
        <f t="shared" si="165"/>
        <v>0</v>
      </c>
      <c r="BP102" s="74">
        <f t="shared" si="166"/>
        <v>1</v>
      </c>
      <c r="BQ102" s="74">
        <f t="shared" si="167"/>
        <v>0</v>
      </c>
      <c r="BR102" s="74">
        <f t="shared" si="168"/>
        <v>0</v>
      </c>
      <c r="BS102" s="74">
        <f t="shared" si="121"/>
        <v>0</v>
      </c>
      <c r="BT102" s="74">
        <f t="shared" si="169"/>
        <v>1</v>
      </c>
      <c r="BU102" s="60">
        <f t="shared" si="170"/>
        <v>0</v>
      </c>
      <c r="BV102" s="81">
        <f t="shared" si="171"/>
        <v>1</v>
      </c>
      <c r="BW102" s="60">
        <f t="shared" si="125"/>
        <v>0</v>
      </c>
      <c r="BX102" s="60">
        <f t="shared" si="126"/>
        <v>0</v>
      </c>
      <c r="BY102" s="49" t="str">
        <f t="shared" si="172"/>
        <v/>
      </c>
      <c r="BZ102" s="82" t="str">
        <f t="shared" si="179"/>
        <v/>
      </c>
      <c r="CA102" s="49" t="str">
        <f t="shared" si="180"/>
        <v/>
      </c>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6</v>
      </c>
      <c r="B103" s="410" t="str">
        <f>IF(ISNA(VLOOKUP(A103,Master!BR$60:CD$107,3,FALSE)),"",VLOOKUP(A103,Master!BR$60:CD$107,3,FALSE))</f>
        <v/>
      </c>
      <c r="C103" s="411" t="str">
        <f>IF(ISNA(VLOOKUP(A103,Master!BR$60:CD$107,7,FALSE)),"",VLOOKUP(A103,Master!BR$60:CD$107,7,FALSE))</f>
        <v/>
      </c>
      <c r="D103" s="414" t="str">
        <f>IF(ISNA(VLOOKUP(A103,Master!BR$60:CD$107,8,FALSE)),"",VLOOKUP(A103,Master!BR$60:CD$107,8,FALSE))</f>
        <v/>
      </c>
      <c r="E103" s="413" t="str">
        <f>IF(ISNA(VLOOKUP(A103,Master!BR$60:CD$107,4,FALSE)),"",VLOOKUP(A103,Master!BR$60:CD$107,4,FALSE))</f>
        <v/>
      </c>
      <c r="F103" s="134" t="str">
        <f>IF(ISNA(VLOOKUP(A103,Master!BR$60:CD$107,5,FALSE)),"",VLOOKUP(A103,Master!BR$60:CD$107,5,FALSE))</f>
        <v/>
      </c>
      <c r="G103" s="415" t="str">
        <f>IF(ISNA(VLOOKUP(A103,Master!BR$60:CD$107,6,FALSE)),"",VLOOKUP(A103,Master!BR$60:CD$107,6,FALSE))</f>
        <v/>
      </c>
      <c r="H103" s="415" t="str">
        <f t="shared" si="173"/>
        <v/>
      </c>
      <c r="I103" s="414" t="str">
        <f t="shared" si="174"/>
        <v/>
      </c>
      <c r="J103" s="415" t="str">
        <f t="shared" si="175"/>
        <v/>
      </c>
      <c r="K103" s="415" t="str">
        <f t="shared" si="176"/>
        <v/>
      </c>
      <c r="L103" s="415" t="str">
        <f t="shared" si="177"/>
        <v/>
      </c>
      <c r="M103" s="409" t="str">
        <f t="shared" si="178"/>
        <v/>
      </c>
      <c r="N103" s="168"/>
      <c r="O103" s="168"/>
      <c r="P103" s="168"/>
      <c r="Q103" s="168">
        <v>0</v>
      </c>
      <c r="R103" s="52"/>
      <c r="S103" s="83"/>
      <c r="T103" s="75"/>
      <c r="U103" s="75"/>
      <c r="V103" s="83"/>
      <c r="W103" s="75">
        <f>'[1]Data Entry'!CP105</f>
        <v>0</v>
      </c>
      <c r="X103" s="79"/>
      <c r="Y103" s="79"/>
      <c r="Z103" s="79"/>
      <c r="AA103" s="79"/>
      <c r="AB103" s="79"/>
      <c r="AC103" s="79"/>
      <c r="AD103" s="80" t="str">
        <f t="shared" si="135"/>
        <v/>
      </c>
      <c r="AE103" s="80" t="str">
        <f t="shared" si="136"/>
        <v/>
      </c>
      <c r="AF103" s="80" t="str">
        <f t="shared" si="137"/>
        <v/>
      </c>
      <c r="AG103" s="80" t="str">
        <f t="shared" si="138"/>
        <v/>
      </c>
      <c r="AH103" s="80" t="str">
        <f t="shared" si="139"/>
        <v/>
      </c>
      <c r="AI103" s="78" t="str">
        <f t="shared" si="140"/>
        <v/>
      </c>
      <c r="AJ103" s="78">
        <v>0</v>
      </c>
      <c r="AK103" s="79">
        <v>0</v>
      </c>
      <c r="AL103" s="78" t="str">
        <f t="shared" si="141"/>
        <v/>
      </c>
      <c r="AM103" s="79">
        <f t="shared" si="159"/>
        <v>0</v>
      </c>
      <c r="AN103" s="78">
        <f t="shared" si="110"/>
        <v>0</v>
      </c>
      <c r="AO103" s="78">
        <f t="shared" si="160"/>
        <v>0</v>
      </c>
      <c r="AP103" s="78"/>
      <c r="AQ103" s="78">
        <f t="shared" si="161"/>
        <v>0</v>
      </c>
      <c r="AR103" s="80" t="str">
        <f t="shared" si="143"/>
        <v/>
      </c>
      <c r="AS103" s="80" t="str">
        <f t="shared" si="144"/>
        <v/>
      </c>
      <c r="AT103" s="78"/>
      <c r="AU103" s="78"/>
      <c r="AV103" s="80" t="str">
        <f t="shared" si="145"/>
        <v/>
      </c>
      <c r="AW103" s="80" t="str">
        <f t="shared" si="146"/>
        <v/>
      </c>
      <c r="AX103" s="80" t="str">
        <f t="shared" si="147"/>
        <v/>
      </c>
      <c r="AY103" s="80" t="str">
        <f t="shared" si="148"/>
        <v/>
      </c>
      <c r="AZ103" s="80" t="str">
        <f t="shared" si="149"/>
        <v/>
      </c>
      <c r="BA103" s="78" t="str">
        <f t="shared" si="150"/>
        <v/>
      </c>
      <c r="BB103" s="78"/>
      <c r="BC103" s="79">
        <v>0</v>
      </c>
      <c r="BD103" s="78" t="str">
        <f t="shared" si="151"/>
        <v/>
      </c>
      <c r="BE103" s="79">
        <f t="shared" si="152"/>
        <v>0</v>
      </c>
      <c r="BF103" s="78">
        <f t="shared" si="153"/>
        <v>0</v>
      </c>
      <c r="BG103" s="78">
        <f t="shared" si="162"/>
        <v>0</v>
      </c>
      <c r="BH103" s="78">
        <f t="shared" si="163"/>
        <v>0</v>
      </c>
      <c r="BI103" s="78" t="str">
        <f t="shared" si="164"/>
        <v/>
      </c>
      <c r="BJ103" s="80" t="str">
        <f t="shared" si="154"/>
        <v/>
      </c>
      <c r="BK103" s="80" t="str">
        <f t="shared" si="155"/>
        <v/>
      </c>
      <c r="BL103" s="78"/>
      <c r="BM103" s="78"/>
      <c r="BN103" s="80" t="str">
        <f t="shared" si="156"/>
        <v/>
      </c>
      <c r="BO103" s="74">
        <f t="shared" si="165"/>
        <v>0</v>
      </c>
      <c r="BP103" s="74">
        <f t="shared" si="166"/>
        <v>1</v>
      </c>
      <c r="BQ103" s="74">
        <f t="shared" si="167"/>
        <v>0</v>
      </c>
      <c r="BR103" s="74">
        <f t="shared" si="168"/>
        <v>0</v>
      </c>
      <c r="BS103" s="74">
        <f t="shared" si="121"/>
        <v>0</v>
      </c>
      <c r="BT103" s="74">
        <f t="shared" si="169"/>
        <v>1</v>
      </c>
      <c r="BU103" s="60">
        <f t="shared" si="170"/>
        <v>0</v>
      </c>
      <c r="BV103" s="81">
        <f t="shared" si="171"/>
        <v>1</v>
      </c>
      <c r="BW103" s="60">
        <f t="shared" si="125"/>
        <v>0</v>
      </c>
      <c r="BX103" s="60">
        <f t="shared" si="126"/>
        <v>0</v>
      </c>
      <c r="BY103" s="49" t="str">
        <f t="shared" si="172"/>
        <v/>
      </c>
      <c r="BZ103" s="82" t="str">
        <f t="shared" si="179"/>
        <v/>
      </c>
      <c r="CA103" s="49" t="str">
        <f t="shared" si="180"/>
        <v/>
      </c>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7</v>
      </c>
      <c r="B104" s="410" t="str">
        <f>IF(ISNA(VLOOKUP(A104,Master!BR$60:CD$107,3,FALSE)),"",VLOOKUP(A104,Master!BR$60:CD$107,3,FALSE))</f>
        <v/>
      </c>
      <c r="C104" s="411" t="str">
        <f>IF(ISNA(VLOOKUP(A104,Master!BR$60:CD$107,7,FALSE)),"",VLOOKUP(A104,Master!BR$60:CD$107,7,FALSE))</f>
        <v/>
      </c>
      <c r="D104" s="414" t="str">
        <f>IF(ISNA(VLOOKUP(A104,Master!BR$60:CD$107,8,FALSE)),"",VLOOKUP(A104,Master!BR$60:CD$107,8,FALSE))</f>
        <v/>
      </c>
      <c r="E104" s="413" t="str">
        <f>IF(ISNA(VLOOKUP(A104,Master!BR$60:CD$107,4,FALSE)),"",VLOOKUP(A104,Master!BR$60:CD$107,4,FALSE))</f>
        <v/>
      </c>
      <c r="F104" s="134" t="str">
        <f>IF(ISNA(VLOOKUP(A104,Master!BR$60:CD$107,5,FALSE)),"",VLOOKUP(A104,Master!BR$60:CD$107,5,FALSE))</f>
        <v/>
      </c>
      <c r="G104" s="415" t="str">
        <f>IF(ISNA(VLOOKUP(A104,Master!BR$60:CD$107,6,FALSE)),"",VLOOKUP(A104,Master!BR$60:CD$107,6,FALSE))</f>
        <v/>
      </c>
      <c r="H104" s="415" t="str">
        <f t="shared" si="173"/>
        <v/>
      </c>
      <c r="I104" s="414" t="str">
        <f t="shared" si="174"/>
        <v/>
      </c>
      <c r="J104" s="415" t="str">
        <f t="shared" si="175"/>
        <v/>
      </c>
      <c r="K104" s="415" t="str">
        <f t="shared" si="176"/>
        <v/>
      </c>
      <c r="L104" s="415" t="str">
        <f t="shared" si="177"/>
        <v/>
      </c>
      <c r="M104" s="409" t="str">
        <f t="shared" si="178"/>
        <v/>
      </c>
      <c r="N104" s="168"/>
      <c r="O104" s="168"/>
      <c r="P104" s="168"/>
      <c r="Q104" s="168">
        <v>0</v>
      </c>
      <c r="R104" s="52"/>
      <c r="S104" s="83"/>
      <c r="T104" s="75"/>
      <c r="U104" s="75"/>
      <c r="V104" s="83"/>
      <c r="W104" s="75">
        <f>'[1]Data Entry'!CP106</f>
        <v>0</v>
      </c>
      <c r="X104" s="79"/>
      <c r="Y104" s="79"/>
      <c r="Z104" s="79"/>
      <c r="AA104" s="79"/>
      <c r="AB104" s="79"/>
      <c r="AC104" s="79"/>
      <c r="AD104" s="80" t="str">
        <f t="shared" si="135"/>
        <v/>
      </c>
      <c r="AE104" s="80" t="str">
        <f t="shared" si="136"/>
        <v/>
      </c>
      <c r="AF104" s="80" t="str">
        <f t="shared" si="137"/>
        <v/>
      </c>
      <c r="AG104" s="80" t="str">
        <f t="shared" si="138"/>
        <v/>
      </c>
      <c r="AH104" s="80" t="str">
        <f t="shared" si="139"/>
        <v/>
      </c>
      <c r="AI104" s="78" t="str">
        <f t="shared" si="140"/>
        <v/>
      </c>
      <c r="AJ104" s="78">
        <v>0</v>
      </c>
      <c r="AK104" s="79">
        <v>0</v>
      </c>
      <c r="AL104" s="78" t="str">
        <f t="shared" si="141"/>
        <v/>
      </c>
      <c r="AM104" s="79">
        <f t="shared" si="159"/>
        <v>0</v>
      </c>
      <c r="AN104" s="78">
        <f t="shared" si="110"/>
        <v>0</v>
      </c>
      <c r="AO104" s="78">
        <f t="shared" si="160"/>
        <v>0</v>
      </c>
      <c r="AP104" s="78"/>
      <c r="AQ104" s="78">
        <f t="shared" si="161"/>
        <v>0</v>
      </c>
      <c r="AR104" s="80" t="str">
        <f t="shared" si="143"/>
        <v/>
      </c>
      <c r="AS104" s="80" t="str">
        <f t="shared" si="144"/>
        <v/>
      </c>
      <c r="AT104" s="78"/>
      <c r="AU104" s="78"/>
      <c r="AV104" s="80" t="str">
        <f t="shared" si="145"/>
        <v/>
      </c>
      <c r="AW104" s="80" t="str">
        <f t="shared" si="146"/>
        <v/>
      </c>
      <c r="AX104" s="80" t="str">
        <f t="shared" si="147"/>
        <v/>
      </c>
      <c r="AY104" s="80" t="str">
        <f t="shared" si="148"/>
        <v/>
      </c>
      <c r="AZ104" s="80" t="str">
        <f t="shared" si="149"/>
        <v/>
      </c>
      <c r="BA104" s="78" t="str">
        <f t="shared" si="150"/>
        <v/>
      </c>
      <c r="BB104" s="78"/>
      <c r="BC104" s="79">
        <v>0</v>
      </c>
      <c r="BD104" s="78" t="str">
        <f t="shared" si="151"/>
        <v/>
      </c>
      <c r="BE104" s="79">
        <f t="shared" si="152"/>
        <v>0</v>
      </c>
      <c r="BF104" s="78">
        <f t="shared" si="153"/>
        <v>0</v>
      </c>
      <c r="BG104" s="78">
        <f t="shared" si="162"/>
        <v>0</v>
      </c>
      <c r="BH104" s="78">
        <f t="shared" si="163"/>
        <v>0</v>
      </c>
      <c r="BI104" s="78" t="str">
        <f t="shared" si="164"/>
        <v/>
      </c>
      <c r="BJ104" s="80" t="str">
        <f t="shared" si="154"/>
        <v/>
      </c>
      <c r="BK104" s="80" t="str">
        <f t="shared" si="155"/>
        <v/>
      </c>
      <c r="BL104" s="78"/>
      <c r="BM104" s="78"/>
      <c r="BN104" s="80" t="str">
        <f t="shared" si="156"/>
        <v/>
      </c>
      <c r="BO104" s="74">
        <f t="shared" si="165"/>
        <v>0</v>
      </c>
      <c r="BP104" s="74">
        <f t="shared" si="166"/>
        <v>1</v>
      </c>
      <c r="BQ104" s="74">
        <f t="shared" si="167"/>
        <v>0</v>
      </c>
      <c r="BR104" s="74">
        <f t="shared" si="168"/>
        <v>0</v>
      </c>
      <c r="BS104" s="74">
        <f t="shared" si="121"/>
        <v>0</v>
      </c>
      <c r="BT104" s="74">
        <f t="shared" si="169"/>
        <v>1</v>
      </c>
      <c r="BU104" s="60">
        <f t="shared" si="170"/>
        <v>0</v>
      </c>
      <c r="BV104" s="81">
        <f t="shared" si="171"/>
        <v>1</v>
      </c>
      <c r="BW104" s="60">
        <f t="shared" si="125"/>
        <v>0</v>
      </c>
      <c r="BX104" s="60">
        <f t="shared" si="126"/>
        <v>0</v>
      </c>
      <c r="BY104" s="49" t="str">
        <f t="shared" si="172"/>
        <v/>
      </c>
      <c r="BZ104" s="82" t="str">
        <f t="shared" si="179"/>
        <v/>
      </c>
      <c r="CA104" s="49" t="str">
        <f t="shared" si="180"/>
        <v/>
      </c>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ht="15.75">
      <c r="A105" s="125">
        <v>8</v>
      </c>
      <c r="B105" s="410" t="str">
        <f>IF(ISNA(VLOOKUP(A105,Master!BR$60:CD$107,3,FALSE)),"",VLOOKUP(A105,Master!BR$60:CD$107,3,FALSE))</f>
        <v/>
      </c>
      <c r="C105" s="411" t="str">
        <f>IF(ISNA(VLOOKUP(A105,Master!BR$60:CD$107,7,FALSE)),"",VLOOKUP(A105,Master!BR$60:CD$107,7,FALSE))</f>
        <v/>
      </c>
      <c r="D105" s="414" t="str">
        <f>IF(ISNA(VLOOKUP(A105,Master!BR$60:CD$107,8,FALSE)),"",VLOOKUP(A105,Master!BR$60:CD$107,8,FALSE))</f>
        <v/>
      </c>
      <c r="E105" s="413" t="str">
        <f>IF(ISNA(VLOOKUP(A105,Master!BR$60:CD$107,4,FALSE)),"",VLOOKUP(A105,Master!BR$60:CD$107,4,FALSE))</f>
        <v/>
      </c>
      <c r="F105" s="134" t="str">
        <f>IF(ISNA(VLOOKUP(A105,Master!BR$60:CD$107,5,FALSE)),"",VLOOKUP(A105,Master!BR$60:CD$107,5,FALSE))</f>
        <v/>
      </c>
      <c r="G105" s="415" t="str">
        <f>IF(ISNA(VLOOKUP(A105,Master!BR$60:CD$107,6,FALSE)),"",VLOOKUP(A105,Master!BR$60:CD$107,6,FALSE))</f>
        <v/>
      </c>
      <c r="H105" s="415" t="str">
        <f t="shared" si="173"/>
        <v/>
      </c>
      <c r="I105" s="414" t="str">
        <f t="shared" si="174"/>
        <v/>
      </c>
      <c r="J105" s="415" t="str">
        <f t="shared" si="175"/>
        <v/>
      </c>
      <c r="K105" s="415" t="str">
        <f t="shared" si="176"/>
        <v/>
      </c>
      <c r="L105" s="415" t="str">
        <f t="shared" si="177"/>
        <v/>
      </c>
      <c r="M105" s="409" t="str">
        <f t="shared" si="178"/>
        <v/>
      </c>
      <c r="N105" s="168"/>
      <c r="O105" s="168"/>
      <c r="P105" s="168"/>
      <c r="Q105" s="168">
        <v>0</v>
      </c>
      <c r="R105" s="52"/>
      <c r="S105" s="83"/>
      <c r="T105" s="75"/>
      <c r="U105" s="75"/>
      <c r="V105" s="83"/>
      <c r="W105" s="75">
        <f>'[1]Data Entry'!CP107</f>
        <v>0</v>
      </c>
      <c r="X105" s="79"/>
      <c r="Y105" s="79"/>
      <c r="Z105" s="79"/>
      <c r="AA105" s="79"/>
      <c r="AB105" s="79"/>
      <c r="AC105" s="79"/>
      <c r="AD105" s="80" t="str">
        <f t="shared" si="135"/>
        <v/>
      </c>
      <c r="AE105" s="80" t="str">
        <f t="shared" si="136"/>
        <v/>
      </c>
      <c r="AF105" s="80" t="str">
        <f t="shared" si="137"/>
        <v/>
      </c>
      <c r="AG105" s="80" t="str">
        <f t="shared" si="138"/>
        <v/>
      </c>
      <c r="AH105" s="80" t="str">
        <f t="shared" si="139"/>
        <v/>
      </c>
      <c r="AI105" s="78" t="str">
        <f t="shared" si="140"/>
        <v/>
      </c>
      <c r="AJ105" s="78">
        <v>0</v>
      </c>
      <c r="AK105" s="79">
        <v>0</v>
      </c>
      <c r="AL105" s="78" t="str">
        <f t="shared" si="141"/>
        <v/>
      </c>
      <c r="AM105" s="79">
        <f t="shared" si="159"/>
        <v>0</v>
      </c>
      <c r="AN105" s="78">
        <f t="shared" si="110"/>
        <v>0</v>
      </c>
      <c r="AO105" s="78">
        <f t="shared" si="160"/>
        <v>0</v>
      </c>
      <c r="AP105" s="78"/>
      <c r="AQ105" s="78">
        <f t="shared" si="161"/>
        <v>0</v>
      </c>
      <c r="AR105" s="80" t="str">
        <f t="shared" si="143"/>
        <v/>
      </c>
      <c r="AS105" s="80" t="str">
        <f t="shared" si="144"/>
        <v/>
      </c>
      <c r="AT105" s="78"/>
      <c r="AU105" s="78"/>
      <c r="AV105" s="80" t="str">
        <f t="shared" si="145"/>
        <v/>
      </c>
      <c r="AW105" s="80" t="str">
        <f t="shared" si="146"/>
        <v/>
      </c>
      <c r="AX105" s="80" t="str">
        <f t="shared" si="147"/>
        <v/>
      </c>
      <c r="AY105" s="80" t="str">
        <f t="shared" si="148"/>
        <v/>
      </c>
      <c r="AZ105" s="80" t="str">
        <f t="shared" si="149"/>
        <v/>
      </c>
      <c r="BA105" s="78" t="str">
        <f t="shared" si="150"/>
        <v/>
      </c>
      <c r="BB105" s="78"/>
      <c r="BC105" s="79">
        <v>0</v>
      </c>
      <c r="BD105" s="78" t="str">
        <f t="shared" si="151"/>
        <v/>
      </c>
      <c r="BE105" s="79">
        <f t="shared" si="152"/>
        <v>0</v>
      </c>
      <c r="BF105" s="78">
        <f t="shared" si="153"/>
        <v>0</v>
      </c>
      <c r="BG105" s="78">
        <f t="shared" si="162"/>
        <v>0</v>
      </c>
      <c r="BH105" s="78">
        <f t="shared" si="163"/>
        <v>0</v>
      </c>
      <c r="BI105" s="78" t="str">
        <f t="shared" si="164"/>
        <v/>
      </c>
      <c r="BJ105" s="80" t="str">
        <f t="shared" si="154"/>
        <v/>
      </c>
      <c r="BK105" s="80" t="str">
        <f t="shared" si="155"/>
        <v/>
      </c>
      <c r="BL105" s="78"/>
      <c r="BM105" s="78"/>
      <c r="BN105" s="80" t="str">
        <f t="shared" si="156"/>
        <v/>
      </c>
      <c r="BO105" s="74">
        <f t="shared" si="165"/>
        <v>0</v>
      </c>
      <c r="BP105" s="74">
        <f t="shared" si="166"/>
        <v>1</v>
      </c>
      <c r="BQ105" s="74">
        <f t="shared" si="167"/>
        <v>0</v>
      </c>
      <c r="BR105" s="74">
        <f t="shared" si="168"/>
        <v>0</v>
      </c>
      <c r="BS105" s="74">
        <f t="shared" si="121"/>
        <v>0</v>
      </c>
      <c r="BT105" s="74">
        <f t="shared" si="169"/>
        <v>1</v>
      </c>
      <c r="BU105" s="60">
        <f t="shared" si="170"/>
        <v>0</v>
      </c>
      <c r="BV105" s="81">
        <f t="shared" si="171"/>
        <v>1</v>
      </c>
      <c r="BW105" s="60">
        <f t="shared" si="125"/>
        <v>0</v>
      </c>
      <c r="BX105" s="60">
        <f t="shared" si="126"/>
        <v>0</v>
      </c>
      <c r="BY105" s="49" t="str">
        <f t="shared" si="172"/>
        <v/>
      </c>
      <c r="BZ105" s="82" t="str">
        <f t="shared" si="179"/>
        <v/>
      </c>
      <c r="CA105" s="49" t="str">
        <f t="shared" si="180"/>
        <v/>
      </c>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ht="15.75">
      <c r="A106" s="125">
        <v>9</v>
      </c>
      <c r="B106" s="410" t="str">
        <f>IF(ISNA(VLOOKUP(A106,Master!BR$60:CD$107,3,FALSE)),"",VLOOKUP(A106,Master!BR$60:CD$107,3,FALSE))</f>
        <v/>
      </c>
      <c r="C106" s="411" t="str">
        <f>IF(ISNA(VLOOKUP(A106,Master!BR$60:CD$107,7,FALSE)),"",VLOOKUP(A106,Master!BR$60:CD$107,7,FALSE))</f>
        <v/>
      </c>
      <c r="D106" s="414" t="str">
        <f>IF(ISNA(VLOOKUP(A106,Master!BR$60:CD$107,8,FALSE)),"",VLOOKUP(A106,Master!BR$60:CD$107,8,FALSE))</f>
        <v/>
      </c>
      <c r="E106" s="413" t="str">
        <f>IF(ISNA(VLOOKUP(A106,Master!BR$60:CD$107,4,FALSE)),"",VLOOKUP(A106,Master!BR$60:CD$107,4,FALSE))</f>
        <v/>
      </c>
      <c r="F106" s="134" t="str">
        <f>IF(ISNA(VLOOKUP(A106,Master!BR$60:CD$107,5,FALSE)),"",VLOOKUP(A106,Master!BR$60:CD$107,5,FALSE))</f>
        <v/>
      </c>
      <c r="G106" s="415" t="str">
        <f>IF(ISNA(VLOOKUP(A106,Master!BR$60:CD$107,6,FALSE)),"",VLOOKUP(A106,Master!BR$60:CD$107,6,FALSE))</f>
        <v/>
      </c>
      <c r="H106" s="415" t="str">
        <f t="shared" si="173"/>
        <v/>
      </c>
      <c r="I106" s="414" t="str">
        <f t="shared" si="174"/>
        <v/>
      </c>
      <c r="J106" s="415" t="str">
        <f t="shared" si="175"/>
        <v/>
      </c>
      <c r="K106" s="415" t="str">
        <f t="shared" si="176"/>
        <v/>
      </c>
      <c r="L106" s="415" t="str">
        <f t="shared" si="177"/>
        <v/>
      </c>
      <c r="M106" s="409" t="str">
        <f t="shared" si="178"/>
        <v/>
      </c>
      <c r="N106" s="168"/>
      <c r="O106" s="168"/>
      <c r="P106" s="168"/>
      <c r="Q106" s="168">
        <v>0</v>
      </c>
      <c r="R106" s="52"/>
      <c r="S106" s="83"/>
      <c r="T106" s="75"/>
      <c r="U106" s="75"/>
      <c r="V106" s="83"/>
      <c r="W106" s="75">
        <f>'[1]Data Entry'!CP108</f>
        <v>0</v>
      </c>
      <c r="X106" s="79"/>
      <c r="Y106" s="79"/>
      <c r="Z106" s="79"/>
      <c r="AA106" s="79"/>
      <c r="AB106" s="79"/>
      <c r="AC106" s="79"/>
      <c r="AD106" s="80" t="str">
        <f t="shared" si="135"/>
        <v/>
      </c>
      <c r="AE106" s="80" t="str">
        <f t="shared" si="136"/>
        <v/>
      </c>
      <c r="AF106" s="80" t="str">
        <f t="shared" si="137"/>
        <v/>
      </c>
      <c r="AG106" s="80" t="str">
        <f t="shared" si="138"/>
        <v/>
      </c>
      <c r="AH106" s="80" t="str">
        <f t="shared" si="139"/>
        <v/>
      </c>
      <c r="AI106" s="78" t="str">
        <f t="shared" si="140"/>
        <v/>
      </c>
      <c r="AJ106" s="78">
        <v>0</v>
      </c>
      <c r="AK106" s="79">
        <v>0</v>
      </c>
      <c r="AL106" s="78" t="str">
        <f t="shared" si="141"/>
        <v/>
      </c>
      <c r="AM106" s="79">
        <f t="shared" si="159"/>
        <v>0</v>
      </c>
      <c r="AN106" s="78">
        <f t="shared" si="110"/>
        <v>0</v>
      </c>
      <c r="AO106" s="78">
        <f t="shared" si="160"/>
        <v>0</v>
      </c>
      <c r="AP106" s="78"/>
      <c r="AQ106" s="78">
        <f t="shared" si="161"/>
        <v>0</v>
      </c>
      <c r="AR106" s="80" t="str">
        <f t="shared" si="143"/>
        <v/>
      </c>
      <c r="AS106" s="80" t="str">
        <f t="shared" si="144"/>
        <v/>
      </c>
      <c r="AT106" s="78"/>
      <c r="AU106" s="78"/>
      <c r="AV106" s="80" t="str">
        <f t="shared" si="145"/>
        <v/>
      </c>
      <c r="AW106" s="80" t="str">
        <f t="shared" si="146"/>
        <v/>
      </c>
      <c r="AX106" s="80" t="str">
        <f t="shared" si="147"/>
        <v/>
      </c>
      <c r="AY106" s="80" t="str">
        <f t="shared" si="148"/>
        <v/>
      </c>
      <c r="AZ106" s="80" t="str">
        <f t="shared" si="149"/>
        <v/>
      </c>
      <c r="BA106" s="78" t="str">
        <f t="shared" si="150"/>
        <v/>
      </c>
      <c r="BB106" s="78"/>
      <c r="BC106" s="79">
        <v>0</v>
      </c>
      <c r="BD106" s="78" t="str">
        <f t="shared" si="151"/>
        <v/>
      </c>
      <c r="BE106" s="79">
        <f t="shared" si="152"/>
        <v>0</v>
      </c>
      <c r="BF106" s="78">
        <f t="shared" si="153"/>
        <v>0</v>
      </c>
      <c r="BG106" s="78">
        <f t="shared" si="162"/>
        <v>0</v>
      </c>
      <c r="BH106" s="78">
        <f t="shared" si="163"/>
        <v>0</v>
      </c>
      <c r="BI106" s="78" t="str">
        <f t="shared" si="164"/>
        <v/>
      </c>
      <c r="BJ106" s="80" t="str">
        <f t="shared" si="154"/>
        <v/>
      </c>
      <c r="BK106" s="80" t="str">
        <f t="shared" si="155"/>
        <v/>
      </c>
      <c r="BL106" s="78"/>
      <c r="BM106" s="78"/>
      <c r="BN106" s="80" t="str">
        <f t="shared" si="156"/>
        <v/>
      </c>
      <c r="BO106" s="74">
        <f t="shared" si="165"/>
        <v>0</v>
      </c>
      <c r="BP106" s="74">
        <f t="shared" si="166"/>
        <v>1</v>
      </c>
      <c r="BQ106" s="74">
        <f t="shared" si="167"/>
        <v>0</v>
      </c>
      <c r="BR106" s="74">
        <f t="shared" si="168"/>
        <v>0</v>
      </c>
      <c r="BS106" s="74">
        <f t="shared" si="121"/>
        <v>0</v>
      </c>
      <c r="BT106" s="74">
        <f t="shared" si="169"/>
        <v>1</v>
      </c>
      <c r="BU106" s="60">
        <f t="shared" si="170"/>
        <v>0</v>
      </c>
      <c r="BV106" s="81">
        <f t="shared" si="171"/>
        <v>1</v>
      </c>
      <c r="BW106" s="60">
        <f t="shared" si="125"/>
        <v>0</v>
      </c>
      <c r="BX106" s="60">
        <f t="shared" si="126"/>
        <v>0</v>
      </c>
      <c r="BY106" s="49" t="str">
        <f t="shared" si="172"/>
        <v/>
      </c>
      <c r="BZ106" s="82" t="str">
        <f t="shared" si="179"/>
        <v/>
      </c>
      <c r="CA106" s="49" t="str">
        <f t="shared" si="180"/>
        <v/>
      </c>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668"/>
      <c r="B107" s="643"/>
      <c r="C107" s="418"/>
      <c r="D107" s="418"/>
      <c r="E107" s="438" t="s">
        <v>190</v>
      </c>
      <c r="F107" s="128"/>
      <c r="G107" s="129"/>
      <c r="H107" s="129">
        <f>SUM(H98:H106)</f>
        <v>0</v>
      </c>
      <c r="I107" s="129"/>
      <c r="J107" s="129">
        <f t="shared" ref="J107:L107" si="181">SUM(J98:J106)</f>
        <v>0</v>
      </c>
      <c r="K107" s="129">
        <f t="shared" si="181"/>
        <v>0</v>
      </c>
      <c r="L107" s="129">
        <f t="shared" si="181"/>
        <v>0</v>
      </c>
      <c r="M107" s="130"/>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BZ107" s="82" t="str">
        <f t="shared" si="179"/>
        <v/>
      </c>
      <c r="CA107" s="49" t="str">
        <f t="shared" si="180"/>
        <v/>
      </c>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c r="A108" s="668"/>
      <c r="B108" s="643"/>
      <c r="C108" s="418"/>
      <c r="D108" s="418"/>
      <c r="E108" s="438" t="s">
        <v>191</v>
      </c>
      <c r="F108" s="128"/>
      <c r="G108" s="129"/>
      <c r="H108" s="170">
        <f>H96+H107</f>
        <v>0</v>
      </c>
      <c r="I108" s="170"/>
      <c r="J108" s="170">
        <f t="shared" ref="J108:L108" si="182">J96+J107</f>
        <v>0</v>
      </c>
      <c r="K108" s="170">
        <f t="shared" si="182"/>
        <v>0</v>
      </c>
      <c r="L108" s="170">
        <f t="shared" si="182"/>
        <v>0</v>
      </c>
      <c r="M108" s="130"/>
      <c r="N108" s="165"/>
      <c r="O108" s="165"/>
      <c r="P108" s="165"/>
      <c r="Q108" s="165"/>
      <c r="R108" s="52"/>
      <c r="S108" s="1"/>
      <c r="T108" s="75"/>
      <c r="U108" s="75"/>
      <c r="V108" s="75"/>
      <c r="W108" s="75"/>
      <c r="X108" s="75"/>
      <c r="Y108" s="75"/>
      <c r="Z108" s="75"/>
      <c r="AA108" s="75"/>
      <c r="AB108" s="75"/>
      <c r="AC108" s="75"/>
      <c r="AD108" s="80"/>
      <c r="AE108" s="80"/>
      <c r="AF108" s="80"/>
      <c r="AG108" s="80"/>
      <c r="AH108" s="80"/>
      <c r="AI108" s="78"/>
      <c r="AJ108" s="78"/>
      <c r="AK108" s="79"/>
      <c r="AL108" s="78"/>
      <c r="AM108" s="79"/>
      <c r="AN108" s="78"/>
      <c r="AO108" s="78"/>
      <c r="AP108" s="78"/>
      <c r="AQ108" s="78"/>
      <c r="AR108" s="80"/>
      <c r="AS108" s="80"/>
      <c r="AT108" s="78"/>
      <c r="AU108" s="78"/>
      <c r="AV108" s="80"/>
      <c r="AW108" s="80"/>
      <c r="AX108" s="80"/>
      <c r="AY108" s="80"/>
      <c r="AZ108" s="80"/>
      <c r="BA108" s="78"/>
      <c r="BB108" s="78"/>
      <c r="BC108" s="79"/>
      <c r="BD108" s="78"/>
      <c r="BE108" s="79"/>
      <c r="BF108" s="78"/>
      <c r="BG108" s="78"/>
      <c r="BH108" s="78"/>
      <c r="BI108" s="78"/>
      <c r="BJ108" s="80"/>
      <c r="BK108" s="80"/>
      <c r="BL108" s="78"/>
      <c r="BM108" s="78"/>
      <c r="BN108" s="80"/>
      <c r="BO108" s="74"/>
      <c r="BP108" s="74"/>
      <c r="BQ108" s="74"/>
      <c r="BR108" s="74"/>
      <c r="BS108" s="74"/>
      <c r="BT108" s="74"/>
      <c r="BU108" s="60"/>
      <c r="BV108" s="81"/>
      <c r="BW108" s="60"/>
      <c r="BX108" s="60"/>
      <c r="BY108" s="49"/>
      <c r="BZ108" s="82" t="str">
        <f t="shared" si="179"/>
        <v/>
      </c>
      <c r="CA108" s="49" t="str">
        <f t="shared" si="180"/>
        <v/>
      </c>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row>
    <row r="109" spans="1:101" s="76" customFormat="1">
      <c r="A109" s="841" t="s">
        <v>549</v>
      </c>
      <c r="B109" s="842"/>
      <c r="C109" s="842"/>
      <c r="D109" s="842"/>
      <c r="E109" s="842"/>
      <c r="F109" s="842"/>
      <c r="G109" s="842"/>
      <c r="H109" s="842"/>
      <c r="I109" s="842"/>
      <c r="J109" s="842"/>
      <c r="K109" s="842"/>
      <c r="L109" s="842"/>
      <c r="M109" s="843"/>
      <c r="N109" s="165"/>
      <c r="O109" s="165"/>
      <c r="P109" s="165"/>
      <c r="Q109" s="165"/>
      <c r="R109" s="52"/>
      <c r="S109" s="1"/>
      <c r="T109" s="75"/>
      <c r="U109" s="75"/>
      <c r="V109" s="75"/>
      <c r="W109" s="75"/>
      <c r="X109" s="75"/>
      <c r="Y109" s="75"/>
      <c r="Z109" s="75"/>
      <c r="AA109" s="75"/>
      <c r="AB109" s="75"/>
      <c r="AC109" s="75"/>
      <c r="AD109" s="80"/>
      <c r="AE109" s="80"/>
      <c r="AF109" s="80"/>
      <c r="AG109" s="80"/>
      <c r="AH109" s="80"/>
      <c r="AI109" s="78"/>
      <c r="AJ109" s="78"/>
      <c r="AK109" s="79"/>
      <c r="AL109" s="78"/>
      <c r="AM109" s="79"/>
      <c r="AN109" s="78"/>
      <c r="AO109" s="78"/>
      <c r="AP109" s="78"/>
      <c r="AQ109" s="78"/>
      <c r="AR109" s="80"/>
      <c r="AS109" s="80"/>
      <c r="AT109" s="78"/>
      <c r="AU109" s="78"/>
      <c r="AV109" s="80"/>
      <c r="AW109" s="80"/>
      <c r="AX109" s="80"/>
      <c r="AY109" s="80"/>
      <c r="AZ109" s="80"/>
      <c r="BA109" s="78"/>
      <c r="BB109" s="78"/>
      <c r="BC109" s="79"/>
      <c r="BD109" s="78"/>
      <c r="BE109" s="79"/>
      <c r="BF109" s="78"/>
      <c r="BG109" s="78"/>
      <c r="BH109" s="78"/>
      <c r="BI109" s="78"/>
      <c r="BJ109" s="80"/>
      <c r="BK109" s="80"/>
      <c r="BL109" s="78"/>
      <c r="BM109" s="78"/>
      <c r="BN109" s="80"/>
      <c r="BO109" s="74"/>
      <c r="BP109" s="74"/>
      <c r="BQ109" s="74"/>
      <c r="BR109" s="74"/>
      <c r="BS109" s="74"/>
      <c r="BT109" s="74"/>
      <c r="BU109" s="60"/>
      <c r="BV109" s="81"/>
      <c r="BW109" s="60"/>
      <c r="BX109" s="60"/>
      <c r="BY109" s="49"/>
      <c r="BZ109" s="82" t="str">
        <f t="shared" si="179"/>
        <v/>
      </c>
      <c r="CA109" s="49" t="str">
        <f t="shared" si="180"/>
        <v/>
      </c>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row>
    <row r="110" spans="1:101" s="76" customFormat="1" ht="16.5" customHeight="1">
      <c r="A110" s="439">
        <v>1</v>
      </c>
      <c r="B110" s="410" t="str">
        <f>IF(ISNA(VLOOKUP(A110,Master!CE$60:CQ$107,3,FALSE)),"",VLOOKUP(A110,Master!CE$60:CQ$107,3,FALSE))</f>
        <v>Jh lq[kohjflag</v>
      </c>
      <c r="C110" s="440" t="str">
        <f>IF(ISNA(VLOOKUP(A110,Master!CE$60:CQ$107,7,FALSE)),"",VLOOKUP(A110,Master!CE$60:CQ$107,7,FALSE))</f>
        <v>RJAJ199506021728</v>
      </c>
      <c r="D110" s="441">
        <f>IF(ISNA(VLOOKUP(A110,Master!CE$60:CQ$107,8,FALSE)),"",VLOOKUP(A110,Master!CE$60:CQ$107,8,FALSE))</f>
        <v>1057886</v>
      </c>
      <c r="E110" s="442" t="str">
        <f>IF(ISNA(VLOOKUP(A110,Master!CE$60:CQ$107,4,FALSE)),"",VLOOKUP(A110,Master!CE$60:CQ$107,4,FALSE))</f>
        <v>TEACHER-III</v>
      </c>
      <c r="F110" s="134">
        <f>IF(ISNA(VLOOKUP(A110,Master!CE$60:CQ$107,5,FALSE)),"",VLOOKUP(A110,Master!CE$60:CQ$107,5,FALSE))</f>
        <v>10</v>
      </c>
      <c r="G110" s="443">
        <f>IF(ISNA(VLOOKUP(A110,Master!CE$60:CQ$107,6,FALSE)),"",VLOOKUP(A110,Master!CE$60:CQ$107,6,FALSE))</f>
        <v>34600</v>
      </c>
      <c r="H110" s="409">
        <f>IF(AND(F110=""),"",G110*12)</f>
        <v>415200</v>
      </c>
      <c r="I110" s="414" t="str">
        <f>IF(AND(F110=""),"","Not Applicable")</f>
        <v>Not Applicable</v>
      </c>
      <c r="J110" s="409" t="str">
        <f>IF(AND(F110=""),"","0")</f>
        <v>0</v>
      </c>
      <c r="K110" s="409">
        <f>IF(AND(F110=""),"",H110+J110)</f>
        <v>415200</v>
      </c>
      <c r="L110" s="409">
        <f>IF(AND(F110=""),"",K110)</f>
        <v>415200</v>
      </c>
      <c r="M110" s="409" t="str">
        <f>IF(AND(F110=""),"","SANVIDA")</f>
        <v>SANVIDA</v>
      </c>
      <c r="N110" s="184"/>
      <c r="O110" s="184"/>
      <c r="P110" s="184"/>
      <c r="Q110" s="184"/>
      <c r="R110" s="185"/>
      <c r="S110" s="67"/>
      <c r="T110" s="75"/>
      <c r="U110" s="75"/>
      <c r="V110" s="75"/>
      <c r="W110" s="75"/>
      <c r="X110" s="75"/>
      <c r="Y110" s="75"/>
      <c r="Z110" s="75"/>
      <c r="AA110" s="75"/>
      <c r="AB110" s="75"/>
      <c r="AC110" s="75"/>
      <c r="AD110" s="80">
        <f t="shared" ref="AD110:AD119" si="183">IF(AND(G110=""),"",(IF(M110="FIX PAY",0,(G110-ROUNDUP(ROUND((G110*3%)-(G110*3%)*3%,0),-1)))))</f>
        <v>33590</v>
      </c>
      <c r="AE110" s="80">
        <f t="shared" ref="AE110:AE119" si="184">IF(AND(G110=""),"",$K110*$BO110)</f>
        <v>0</v>
      </c>
      <c r="AF110" s="80">
        <f t="shared" ref="AF110:AF119" si="185">IF(AND(G110=""),"",$K110*$BP110)</f>
        <v>415200</v>
      </c>
      <c r="AG110" s="80">
        <f t="shared" ref="AG110:AG119" si="186">IF(AND(G110=""),"",$K110*$BQ110)</f>
        <v>0</v>
      </c>
      <c r="AH110" s="80">
        <f t="shared" ref="AH110:AH119" si="187">IF(AND(G110=""),"",$K110*$BR110)</f>
        <v>0</v>
      </c>
      <c r="AI110" s="78">
        <f t="shared" ref="AI110:AI119" si="188">IF(AND(G110=""),"",ROUND((AE110+AF110)*$AI$10,0)*BS110)</f>
        <v>0</v>
      </c>
      <c r="AJ110" s="78">
        <v>0</v>
      </c>
      <c r="AK110" s="79">
        <v>0</v>
      </c>
      <c r="AL110" s="78">
        <f t="shared" ref="AL110:AL119" si="189">IF(AND(G110=""),"",ROUND((AE110+AF110)*$AL$10,0)*BS110)</f>
        <v>0</v>
      </c>
      <c r="AM110" s="79">
        <f t="shared" ref="AM110:AM119" si="190">$E$81*BP110*BS110*(IF(G110&lt;=0,0,1))*(IF(F110&lt;=4800,1,0))</f>
        <v>0</v>
      </c>
      <c r="AN110" s="78">
        <f t="shared" ref="AN110:AN119" si="191">IF(AND(G110=""),0,ROUND((G110+ROUND(G110*$AI$10,0))/2,0)*(IF(M110="FIX PAY",0,1)))</f>
        <v>27507</v>
      </c>
      <c r="AO110" s="78">
        <f>IF(E110="CLERK GRADE I",1,IF(E110="CLERK GRADE II",1,0))*75*12*BS110*(IF(G110&lt;=0,0,1))*BT110</f>
        <v>0</v>
      </c>
      <c r="AP110" s="78"/>
      <c r="AQ110" s="78">
        <f>(IF(E110="LAB BOY",150,IF(E110="JAMADAR",150,IF(E110="PEON",150,0))))*12*BS110*(IF(G110&lt;=0,0,1))</f>
        <v>0</v>
      </c>
      <c r="AR110" s="80">
        <f t="shared" ref="AR110:AR119" si="192">IF(AND(G110=""),"",SUM(AI110:AQ110)+AE110+AF110)</f>
        <v>442707</v>
      </c>
      <c r="AS110" s="80">
        <f t="shared" ref="AS110:AS119" si="193">IF(AND(G110=""),"",AR110)</f>
        <v>442707</v>
      </c>
      <c r="AT110" s="78"/>
      <c r="AU110" s="78"/>
      <c r="AV110" s="80">
        <f t="shared" ref="AV110:AV119" si="194">IF(AND(G110=""),"",AS110+AT110+AU110)</f>
        <v>442707</v>
      </c>
      <c r="AW110" s="80">
        <f t="shared" ref="AW110:AW119" si="195">IF(AND(G110=""),"",L110*BO110)</f>
        <v>0</v>
      </c>
      <c r="AX110" s="80">
        <f t="shared" ref="AX110:AX119" si="196">IF(AND(G110=""),"",L110*BP110)</f>
        <v>415200</v>
      </c>
      <c r="AY110" s="80">
        <f t="shared" ref="AY110:AY119" si="197">IF(AND(G110=""),"",L110*BQ110)</f>
        <v>0</v>
      </c>
      <c r="AZ110" s="80">
        <f t="shared" ref="AZ110:AZ119" si="198">IF(AND(G110=""),"",L110*BR110)</f>
        <v>0</v>
      </c>
      <c r="BA110" s="78">
        <f t="shared" ref="BA110:BA119" si="199">IF(AND(G110=""),"",ROUND((AW110+AX110)*$BA$10,0)*BS110)</f>
        <v>0</v>
      </c>
      <c r="BB110" s="78"/>
      <c r="BC110" s="79">
        <v>4</v>
      </c>
      <c r="BD110" s="78">
        <f t="shared" ref="BD110:BD119" si="200">IF(AND(G110=""),"",ROUND((AW110+AX110)*$BD$10,0)*BS110)</f>
        <v>0</v>
      </c>
      <c r="BE110" s="79">
        <f t="shared" ref="BE110:BE119" si="201">3387*2*BP110*BS110*(IF(G110&lt;=0,0,1))*(IF(F110&lt;=4800,1,0))</f>
        <v>0</v>
      </c>
      <c r="BF110" s="78">
        <f t="shared" ref="BF110:BF119" si="202">IF(AND(G110=""),0,ROUND((AD110+ROUND(AD110*$AI$10,0))/2,0)*(IF(M110="FIX PAY",0,1)))</f>
        <v>26704</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f>IF(AND(G110=""),"",(IF(E110="LAB BOY",150,IF(E110="JAMADAR",150,IF(E110="PEON",150,0))))*12*BS110*(IF(G110&lt;=0,0,1)))</f>
        <v>0</v>
      </c>
      <c r="BJ110" s="80">
        <f t="shared" ref="BJ110:BJ119" si="203">IF(AND(G110=""),"",SUM(BA110:BI110)+AW110+AX110)</f>
        <v>441908</v>
      </c>
      <c r="BK110" s="80">
        <f t="shared" ref="BK110:BK119" si="204">IF(AND(G110=""),"",BJ110)</f>
        <v>441908</v>
      </c>
      <c r="BL110" s="78"/>
      <c r="BM110" s="78"/>
      <c r="BN110" s="80">
        <f t="shared" ref="BN110:BN119" si="205">IF(AND(G110=""),"",BK110+BL110+BM110)</f>
        <v>441908</v>
      </c>
      <c r="BO110" s="74">
        <f>(IF(E110="PRINCIPAL",1,IF(E110="H M",1,IF(E110="AGRICULTURE INST",1,IF(E110="TEACHER-1ST",1,IF(E110="PTI  I  (13)",1,IF(E110="AGRICULTURE TEACH",1,IF(E110="INSTRUCTOR",1,0))))))))+(IF(E110="JR TEACHER",1,IF(E110="LIBRARIAN I",1,0)))*(IF(M110="FIX PAY",0,1))</f>
        <v>0</v>
      </c>
      <c r="BP110" s="74">
        <f t="shared" ref="BP110:BP119" si="206">IF(BO110&lt;=0,1,0)*(IF(M110="FIX PAY",0,1))</f>
        <v>1</v>
      </c>
      <c r="BQ110" s="74">
        <f>(IF(E110="PRINCIPAL (16)",1,IF(E110="V P (14)",1,IF(E110="H M (14)",1,IF(E110="AGRICULTURE INST (13)",1,IF(E110="TEACHER-1ST (13)",1,IF(E110="PTI  I  (13)",1,IF(E110="AGRICULTURE TEACH (13)",1,IF(E110="INSTRUCTOR (13)",1,0))))))))+(IF(E110="JR TEACHER (13)",1,IF(E110="LIBRARIAN I (13)",1,0))))*(IF(M110="FIX PAY",1,0))</f>
        <v>0</v>
      </c>
      <c r="BR110" s="74">
        <f t="shared" ref="BR110:BR119" si="207">IF(BQ110&lt;=0,1,0)*(IF(M110="FIX PAY",1,0))</f>
        <v>0</v>
      </c>
      <c r="BS110" s="74">
        <f t="shared" si="121"/>
        <v>0</v>
      </c>
      <c r="BT110" s="74">
        <f t="shared" ref="BT110:BT119" si="208">IF(V110="No",0,1)</f>
        <v>1</v>
      </c>
      <c r="BU110" s="60">
        <f>IF((ROUND((SUMPRODUCT(MID(0&amp;C110,LARGE(INDEX(ISNUMBER(--MID(C110,ROW($1:$25),1))* ROW($1:$25),0),ROW($1:$25))+1,1)*10^ROW($1:$25)/10)),-8)/100000000)&gt;=2004,1,0)</f>
        <v>0</v>
      </c>
      <c r="BV110" s="81">
        <f t="shared" ref="BV110:BV119" si="209">IF(G110&lt;=0,0,1)</f>
        <v>1</v>
      </c>
      <c r="BW110" s="60">
        <f t="shared" si="125"/>
        <v>1</v>
      </c>
      <c r="BX110" s="60">
        <f t="shared" si="126"/>
        <v>34600</v>
      </c>
      <c r="BY110" s="49">
        <f>IF(AND(C110=""),"",IF(AND(C110&lt;=0),"",IF((ROUND((SUMPRODUCT(MID(0&amp;C110,LARGE(INDEX(ISNUMBER(--MID(C110,ROW($1:$71),1))* ROW($1:$71),0),ROW($1:$71))+1,1)*10^ROW($1:$71)/10)),-8)/100000000)&lt;2004,1,0)))</f>
        <v>1</v>
      </c>
      <c r="BZ110" s="82">
        <f t="shared" si="179"/>
        <v>138400</v>
      </c>
      <c r="CA110" s="49">
        <f t="shared" si="180"/>
        <v>284800</v>
      </c>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39">
        <v>2</v>
      </c>
      <c r="B111" s="410" t="str">
        <f>IF(ISNA(VLOOKUP(A111,Master!CE$60:CQ$107,3,FALSE)),"",VLOOKUP(A111,Master!CE$60:CQ$107,3,FALSE))</f>
        <v/>
      </c>
      <c r="C111" s="440" t="str">
        <f>IF(ISNA(VLOOKUP(A111,Master!CE$60:CQ$107,7,FALSE)),"",VLOOKUP(A111,Master!CE$60:CQ$107,7,FALSE))</f>
        <v/>
      </c>
      <c r="D111" s="441" t="str">
        <f>IF(ISNA(VLOOKUP(A111,Master!CE$60:CQ$107,8,FALSE)),"",VLOOKUP(A111,Master!CE$60:CQ$107,8,FALSE))</f>
        <v/>
      </c>
      <c r="E111" s="442" t="str">
        <f>IF(ISNA(VLOOKUP(A111,Master!CE$60:CQ$107,4,FALSE)),"",VLOOKUP(A111,Master!CE$60:CQ$107,4,FALSE))</f>
        <v/>
      </c>
      <c r="F111" s="134" t="str">
        <f>IF(ISNA(VLOOKUP(A111,Master!CE$60:CQ$107,5,FALSE)),"",VLOOKUP(A111,Master!CE$60:CQ$107,5,FALSE))</f>
        <v/>
      </c>
      <c r="G111" s="443" t="str">
        <f>IF(ISNA(VLOOKUP(A111,Master!CE$60:CQ$107,6,FALSE)),"",VLOOKUP(A111,Master!CE$60:CQ$107,6,FALSE))</f>
        <v/>
      </c>
      <c r="H111" s="409" t="str">
        <f t="shared" ref="H111:H113" si="210">IF(AND(F111=""),"",G111*12)</f>
        <v/>
      </c>
      <c r="I111" s="414" t="str">
        <f t="shared" ref="I111:I113" si="211">IF(AND(F111=""),"","Not Applicable")</f>
        <v/>
      </c>
      <c r="J111" s="409" t="str">
        <f t="shared" ref="J111:J113" si="212">IF(AND(F111=""),"","0")</f>
        <v/>
      </c>
      <c r="K111" s="409" t="str">
        <f t="shared" ref="K111:K113" si="213">IF(AND(F111=""),"",H111+J111)</f>
        <v/>
      </c>
      <c r="L111" s="409" t="str">
        <f t="shared" ref="L111:L113" si="214">IF(AND(F111=""),"",K111)</f>
        <v/>
      </c>
      <c r="M111" s="409" t="str">
        <f t="shared" ref="M111:M113" si="215">IF(AND(F111=""),"","SANVIDA")</f>
        <v/>
      </c>
      <c r="N111" s="184"/>
      <c r="O111" s="184"/>
      <c r="P111" s="184"/>
      <c r="Q111" s="184"/>
      <c r="R111" s="185"/>
      <c r="S111" s="67"/>
      <c r="T111" s="75"/>
      <c r="U111" s="75"/>
      <c r="V111" s="75"/>
      <c r="W111" s="75"/>
      <c r="X111" s="75"/>
      <c r="Y111" s="75"/>
      <c r="Z111" s="75"/>
      <c r="AA111" s="75"/>
      <c r="AB111" s="75"/>
      <c r="AC111" s="75"/>
      <c r="AD111" s="80" t="str">
        <f t="shared" si="183"/>
        <v/>
      </c>
      <c r="AE111" s="80" t="str">
        <f t="shared" si="184"/>
        <v/>
      </c>
      <c r="AF111" s="80" t="str">
        <f t="shared" si="185"/>
        <v/>
      </c>
      <c r="AG111" s="80" t="str">
        <f t="shared" si="186"/>
        <v/>
      </c>
      <c r="AH111" s="80" t="str">
        <f t="shared" si="187"/>
        <v/>
      </c>
      <c r="AI111" s="78" t="str">
        <f t="shared" si="188"/>
        <v/>
      </c>
      <c r="AJ111" s="78">
        <v>0</v>
      </c>
      <c r="AK111" s="79">
        <v>0</v>
      </c>
      <c r="AL111" s="78" t="str">
        <f t="shared" si="189"/>
        <v/>
      </c>
      <c r="AM111" s="79">
        <f t="shared" si="190"/>
        <v>0</v>
      </c>
      <c r="AN111" s="78">
        <f t="shared" si="191"/>
        <v>0</v>
      </c>
      <c r="AO111" s="78">
        <f>IF(E111="CLERK GRADE I",1,IF(E111="CLERK GRADE II",1,0))*75*12*BS111*(IF(G111&lt;=0,0,1))*BT111</f>
        <v>0</v>
      </c>
      <c r="AP111" s="78"/>
      <c r="AQ111" s="78">
        <f>(IF(E111="LAB BOY",150,IF(E111="JAMADAR",150,IF(E111="PEON",150,0))))*12*BS111*(IF(G111&lt;=0,0,1))</f>
        <v>0</v>
      </c>
      <c r="AR111" s="80" t="str">
        <f t="shared" si="192"/>
        <v/>
      </c>
      <c r="AS111" s="80" t="str">
        <f t="shared" si="193"/>
        <v/>
      </c>
      <c r="AT111" s="78"/>
      <c r="AU111" s="78"/>
      <c r="AV111" s="80" t="str">
        <f t="shared" si="194"/>
        <v/>
      </c>
      <c r="AW111" s="80" t="str">
        <f t="shared" si="195"/>
        <v/>
      </c>
      <c r="AX111" s="80" t="str">
        <f t="shared" si="196"/>
        <v/>
      </c>
      <c r="AY111" s="80" t="str">
        <f t="shared" si="197"/>
        <v/>
      </c>
      <c r="AZ111" s="80" t="str">
        <f t="shared" si="198"/>
        <v/>
      </c>
      <c r="BA111" s="78" t="str">
        <f t="shared" si="199"/>
        <v/>
      </c>
      <c r="BB111" s="78"/>
      <c r="BC111" s="79">
        <v>5</v>
      </c>
      <c r="BD111" s="78" t="str">
        <f t="shared" si="200"/>
        <v/>
      </c>
      <c r="BE111" s="79">
        <f t="shared" si="201"/>
        <v>0</v>
      </c>
      <c r="BF111" s="78">
        <f t="shared" si="202"/>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203"/>
        <v/>
      </c>
      <c r="BK111" s="80" t="str">
        <f t="shared" si="204"/>
        <v/>
      </c>
      <c r="BL111" s="78"/>
      <c r="BM111" s="78"/>
      <c r="BN111" s="80" t="str">
        <f t="shared" si="205"/>
        <v/>
      </c>
      <c r="BO111" s="74">
        <f>(IF(E111="PRINCIPAL",1,IF(E111="H M",1,IF(E111="AGRICULTURE INST",1,IF(E111="TEACHER-1ST",1,IF(E111="PTI  I  (13)",1,IF(E111="AGRICULTURE TEACH",1,IF(E111="INSTRUCTOR",1,0))))))))+(IF(E111="JR TEACHER",1,IF(E111="LIBRARIAN I",1,0)))*(IF(M111="FIX PAY",0,1))</f>
        <v>0</v>
      </c>
      <c r="BP111" s="74">
        <f t="shared" si="206"/>
        <v>1</v>
      </c>
      <c r="BQ111" s="74">
        <f>(IF(E111="PRINCIPAL (16)",1,IF(E111="V P (14)",1,IF(E111="H M (14)",1,IF(E111="AGRICULTURE INST (13)",1,IF(E111="TEACHER-1ST (13)",1,IF(E111="PTI  I  (13)",1,IF(E111="AGRICULTURE TEACH (13)",1,IF(E111="INSTRUCTOR (13)",1,0))))))))+(IF(E111="JR TEACHER (13)",1,IF(E111="LIBRARIAN I (13)",1,0))))*(IF(M111="FIX PAY",1,0))</f>
        <v>0</v>
      </c>
      <c r="BR111" s="74">
        <f t="shared" si="207"/>
        <v>0</v>
      </c>
      <c r="BS111" s="74">
        <f t="shared" si="121"/>
        <v>0</v>
      </c>
      <c r="BT111" s="74">
        <f t="shared" si="208"/>
        <v>1</v>
      </c>
      <c r="BU111" s="60">
        <f>IF((ROUND((SUMPRODUCT(MID(0&amp;C111,LARGE(INDEX(ISNUMBER(--MID(C111,ROW($1:$25),1))* ROW($1:$25),0),ROW($1:$25))+1,1)*10^ROW($1:$25)/10)),-8)/100000000)&gt;=2004,1,0)</f>
        <v>0</v>
      </c>
      <c r="BV111" s="81">
        <f t="shared" si="209"/>
        <v>1</v>
      </c>
      <c r="BW111" s="60">
        <f t="shared" si="125"/>
        <v>0</v>
      </c>
      <c r="BX111" s="60">
        <f t="shared" si="126"/>
        <v>0</v>
      </c>
      <c r="BY111" s="49" t="str">
        <f>IF(AND(C111=""),"",IF(AND(C111&lt;=0),"",IF((ROUND((SUMPRODUCT(MID(0&amp;C111,LARGE(INDEX(ISNUMBER(--MID(C111,ROW($1:$71),1))* ROW($1:$71),0),ROW($1:$71))+1,1)*10^ROW($1:$71)/10)),-8)/100000000)&lt;2004,1,0)))</f>
        <v/>
      </c>
      <c r="BZ111" s="82" t="str">
        <f t="shared" si="179"/>
        <v/>
      </c>
      <c r="CA111" s="49" t="str">
        <f t="shared" si="180"/>
        <v/>
      </c>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ht="16.5" customHeight="1">
      <c r="A112" s="439">
        <v>3</v>
      </c>
      <c r="B112" s="410" t="str">
        <f>IF(ISNA(VLOOKUP(A112,Master!CE$60:CQ$107,3,FALSE)),"",VLOOKUP(A112,Master!CE$60:CQ$107,3,FALSE))</f>
        <v/>
      </c>
      <c r="C112" s="440" t="str">
        <f>IF(ISNA(VLOOKUP(A112,Master!CE$60:CQ$107,7,FALSE)),"",VLOOKUP(A112,Master!CE$60:CQ$107,7,FALSE))</f>
        <v/>
      </c>
      <c r="D112" s="441" t="str">
        <f>IF(ISNA(VLOOKUP(A112,Master!CE$60:CQ$107,8,FALSE)),"",VLOOKUP(A112,Master!CE$60:CQ$107,8,FALSE))</f>
        <v/>
      </c>
      <c r="E112" s="442" t="str">
        <f>IF(ISNA(VLOOKUP(A112,Master!CE$60:CQ$107,4,FALSE)),"",VLOOKUP(A112,Master!CE$60:CQ$107,4,FALSE))</f>
        <v/>
      </c>
      <c r="F112" s="134" t="str">
        <f>IF(ISNA(VLOOKUP(A112,Master!CE$60:CQ$107,5,FALSE)),"",VLOOKUP(A112,Master!CE$60:CQ$107,5,FALSE))</f>
        <v/>
      </c>
      <c r="G112" s="443" t="str">
        <f>IF(ISNA(VLOOKUP(A112,Master!CE$60:CQ$107,6,FALSE)),"",VLOOKUP(A112,Master!CE$60:CQ$107,6,FALSE))</f>
        <v/>
      </c>
      <c r="H112" s="409" t="str">
        <f t="shared" si="210"/>
        <v/>
      </c>
      <c r="I112" s="414" t="str">
        <f t="shared" si="211"/>
        <v/>
      </c>
      <c r="J112" s="409" t="str">
        <f t="shared" si="212"/>
        <v/>
      </c>
      <c r="K112" s="409" t="str">
        <f t="shared" si="213"/>
        <v/>
      </c>
      <c r="L112" s="409" t="str">
        <f t="shared" si="214"/>
        <v/>
      </c>
      <c r="M112" s="409" t="str">
        <f t="shared" si="215"/>
        <v/>
      </c>
      <c r="N112" s="184"/>
      <c r="O112" s="184"/>
      <c r="P112" s="184"/>
      <c r="Q112" s="184"/>
      <c r="R112" s="185"/>
      <c r="S112" s="67"/>
      <c r="T112" s="75"/>
      <c r="U112" s="75"/>
      <c r="V112" s="75"/>
      <c r="W112" s="75"/>
      <c r="X112" s="75"/>
      <c r="Y112" s="75"/>
      <c r="Z112" s="75"/>
      <c r="AA112" s="75"/>
      <c r="AB112" s="75"/>
      <c r="AC112" s="75"/>
      <c r="AD112" s="80" t="str">
        <f t="shared" si="183"/>
        <v/>
      </c>
      <c r="AE112" s="80" t="str">
        <f t="shared" si="184"/>
        <v/>
      </c>
      <c r="AF112" s="80" t="str">
        <f t="shared" si="185"/>
        <v/>
      </c>
      <c r="AG112" s="80" t="str">
        <f t="shared" si="186"/>
        <v/>
      </c>
      <c r="AH112" s="80" t="str">
        <f t="shared" si="187"/>
        <v/>
      </c>
      <c r="AI112" s="78" t="str">
        <f t="shared" si="188"/>
        <v/>
      </c>
      <c r="AJ112" s="78">
        <v>0</v>
      </c>
      <c r="AK112" s="79">
        <v>0</v>
      </c>
      <c r="AL112" s="78" t="str">
        <f t="shared" si="189"/>
        <v/>
      </c>
      <c r="AM112" s="79">
        <f t="shared" si="190"/>
        <v>0</v>
      </c>
      <c r="AN112" s="78">
        <f t="shared" si="191"/>
        <v>0</v>
      </c>
      <c r="AO112" s="78">
        <f>IF(E112="CLERK GRADE I",1,IF(E112="CLERK GRADE II",1,0))*75*12*BS112*(IF(G112&lt;=0,0,1))*BT112</f>
        <v>0</v>
      </c>
      <c r="AP112" s="78"/>
      <c r="AQ112" s="78">
        <f>(IF(E112="LAB BOY",150,IF(E112="JAMADAR",150,IF(E112="PEON",150,0))))*12*BS112*(IF(G112&lt;=0,0,1))</f>
        <v>0</v>
      </c>
      <c r="AR112" s="80" t="str">
        <f t="shared" si="192"/>
        <v/>
      </c>
      <c r="AS112" s="80" t="str">
        <f t="shared" si="193"/>
        <v/>
      </c>
      <c r="AT112" s="78"/>
      <c r="AU112" s="78"/>
      <c r="AV112" s="80" t="str">
        <f t="shared" si="194"/>
        <v/>
      </c>
      <c r="AW112" s="80" t="str">
        <f t="shared" si="195"/>
        <v/>
      </c>
      <c r="AX112" s="80" t="str">
        <f t="shared" si="196"/>
        <v/>
      </c>
      <c r="AY112" s="80" t="str">
        <f t="shared" si="197"/>
        <v/>
      </c>
      <c r="AZ112" s="80" t="str">
        <f t="shared" si="198"/>
        <v/>
      </c>
      <c r="BA112" s="78" t="str">
        <f t="shared" si="199"/>
        <v/>
      </c>
      <c r="BB112" s="78"/>
      <c r="BC112" s="79">
        <v>6</v>
      </c>
      <c r="BD112" s="78" t="str">
        <f t="shared" si="200"/>
        <v/>
      </c>
      <c r="BE112" s="79">
        <f t="shared" si="201"/>
        <v>0</v>
      </c>
      <c r="BF112" s="78">
        <f t="shared" si="202"/>
        <v>0</v>
      </c>
      <c r="BG112" s="78">
        <f>IF(E112="CLERK GRADE I",1,IF(E112="CLERK GRADE II",1,0))*75*12*BS112*(IF(G112&lt;=0,0,1))*BT112</f>
        <v>0</v>
      </c>
      <c r="BH112" s="78">
        <f>IF(AND(E112=""),0,(IF(E112="ASSISTANT",12,IF(E112="CLERK GRADE I",12,IF(E112="CLERK GRADE II",12,IF(E112="FIELDMAN &amp; FIELD REC",12,IF(E112="LAB BOY",12,IF(E112="JAMADAR",12,IF(E112="PEON",12,10))))))))*(MINA(ROUND(AD112*6%,0),600))*(IF($S112="yes",1,)))</f>
        <v>0</v>
      </c>
      <c r="BI112" s="78" t="str">
        <f>IF(AND(G112=""),"",(IF(E112="LAB BOY",150,IF(E112="JAMADAR",150,IF(E112="PEON",150,0))))*12*BS112*(IF(G112&lt;=0,0,1)))</f>
        <v/>
      </c>
      <c r="BJ112" s="80" t="str">
        <f t="shared" si="203"/>
        <v/>
      </c>
      <c r="BK112" s="80" t="str">
        <f t="shared" si="204"/>
        <v/>
      </c>
      <c r="BL112" s="78"/>
      <c r="BM112" s="78"/>
      <c r="BN112" s="80" t="str">
        <f t="shared" si="205"/>
        <v/>
      </c>
      <c r="BO112" s="74">
        <f>(IF(E112="PRINCIPAL",1,IF(E112="H M",1,IF(E112="AGRICULTURE INST",1,IF(E112="TEACHER-1ST",1,IF(E112="PTI  I  (13)",1,IF(E112="AGRICULTURE TEACH",1,IF(E112="INSTRUCTOR",1,0))))))))+(IF(E112="JR TEACHER",1,IF(E112="LIBRARIAN I",1,0)))*(IF(M112="FIX PAY",0,1))</f>
        <v>0</v>
      </c>
      <c r="BP112" s="74">
        <f t="shared" si="206"/>
        <v>1</v>
      </c>
      <c r="BQ112" s="74">
        <f>(IF(E112="PRINCIPAL (16)",1,IF(E112="V P (14)",1,IF(E112="H M (14)",1,IF(E112="AGRICULTURE INST (13)",1,IF(E112="TEACHER-1ST (13)",1,IF(E112="PTI  I  (13)",1,IF(E112="AGRICULTURE TEACH (13)",1,IF(E112="INSTRUCTOR (13)",1,0))))))))+(IF(E112="JR TEACHER (13)",1,IF(E112="LIBRARIAN I (13)",1,0))))*(IF(M112="FIX PAY",1,0))</f>
        <v>0</v>
      </c>
      <c r="BR112" s="74">
        <f t="shared" si="207"/>
        <v>0</v>
      </c>
      <c r="BS112" s="74">
        <f t="shared" si="121"/>
        <v>0</v>
      </c>
      <c r="BT112" s="74">
        <f t="shared" si="208"/>
        <v>1</v>
      </c>
      <c r="BU112" s="60">
        <f>IF((ROUND((SUMPRODUCT(MID(0&amp;C112,LARGE(INDEX(ISNUMBER(--MID(C112,ROW($1:$25),1))* ROW($1:$25),0),ROW($1:$25))+1,1)*10^ROW($1:$25)/10)),-8)/100000000)&gt;=2004,1,0)</f>
        <v>0</v>
      </c>
      <c r="BV112" s="81">
        <f t="shared" si="209"/>
        <v>1</v>
      </c>
      <c r="BW112" s="60">
        <f t="shared" si="125"/>
        <v>0</v>
      </c>
      <c r="BX112" s="60">
        <f t="shared" si="126"/>
        <v>0</v>
      </c>
      <c r="BY112" s="49" t="str">
        <f>IF(AND(C112=""),"",IF(AND(C112&lt;=0),"",IF((ROUND((SUMPRODUCT(MID(0&amp;C112,LARGE(INDEX(ISNUMBER(--MID(C112,ROW($1:$71),1))* ROW($1:$71),0),ROW($1:$71))+1,1)*10^ROW($1:$71)/10)),-8)/100000000)&lt;2004,1,0)))</f>
        <v/>
      </c>
      <c r="BZ112" s="82" t="str">
        <f t="shared" si="179"/>
        <v/>
      </c>
      <c r="CA112" s="49" t="str">
        <f t="shared" si="180"/>
        <v/>
      </c>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row>
    <row r="113" spans="1:101" s="76" customFormat="1" ht="16.5" customHeight="1">
      <c r="A113" s="439">
        <v>4</v>
      </c>
      <c r="B113" s="410" t="str">
        <f>IF(ISNA(VLOOKUP(A113,Master!CE$60:CQ$107,3,FALSE)),"",VLOOKUP(A113,Master!CE$60:CQ$107,3,FALSE))</f>
        <v/>
      </c>
      <c r="C113" s="440" t="str">
        <f>IF(ISNA(VLOOKUP(A113,Master!CE$60:CQ$107,7,FALSE)),"",VLOOKUP(A113,Master!CE$60:CQ$107,7,FALSE))</f>
        <v/>
      </c>
      <c r="D113" s="441" t="str">
        <f>IF(ISNA(VLOOKUP(A113,Master!CE$60:CQ$107,8,FALSE)),"",VLOOKUP(A113,Master!CE$60:CQ$107,8,FALSE))</f>
        <v/>
      </c>
      <c r="E113" s="442" t="str">
        <f>IF(ISNA(VLOOKUP(A113,Master!CE$60:CQ$107,4,FALSE)),"",VLOOKUP(A113,Master!CE$60:CQ$107,4,FALSE))</f>
        <v/>
      </c>
      <c r="F113" s="134" t="str">
        <f>IF(ISNA(VLOOKUP(A113,Master!CE$60:CQ$107,5,FALSE)),"",VLOOKUP(A113,Master!CE$60:CQ$107,5,FALSE))</f>
        <v/>
      </c>
      <c r="G113" s="443" t="str">
        <f>IF(ISNA(VLOOKUP(A113,Master!CE$60:CQ$107,6,FALSE)),"",VLOOKUP(A113,Master!CE$60:CQ$107,6,FALSE))</f>
        <v/>
      </c>
      <c r="H113" s="409" t="str">
        <f t="shared" si="210"/>
        <v/>
      </c>
      <c r="I113" s="414" t="str">
        <f t="shared" si="211"/>
        <v/>
      </c>
      <c r="J113" s="409" t="str">
        <f t="shared" si="212"/>
        <v/>
      </c>
      <c r="K113" s="409" t="str">
        <f t="shared" si="213"/>
        <v/>
      </c>
      <c r="L113" s="409" t="str">
        <f t="shared" si="214"/>
        <v/>
      </c>
      <c r="M113" s="409" t="str">
        <f t="shared" si="215"/>
        <v/>
      </c>
      <c r="N113" s="184"/>
      <c r="O113" s="184"/>
      <c r="P113" s="184"/>
      <c r="Q113" s="184"/>
      <c r="R113" s="185"/>
      <c r="S113" s="67"/>
      <c r="T113" s="75"/>
      <c r="U113" s="75"/>
      <c r="V113" s="75"/>
      <c r="W113" s="75"/>
      <c r="X113" s="75"/>
      <c r="Y113" s="75"/>
      <c r="Z113" s="75"/>
      <c r="AA113" s="75"/>
      <c r="AB113" s="75"/>
      <c r="AC113" s="75"/>
      <c r="AD113" s="80" t="str">
        <f t="shared" si="183"/>
        <v/>
      </c>
      <c r="AE113" s="80" t="str">
        <f t="shared" si="184"/>
        <v/>
      </c>
      <c r="AF113" s="80" t="str">
        <f t="shared" si="185"/>
        <v/>
      </c>
      <c r="AG113" s="80" t="str">
        <f t="shared" si="186"/>
        <v/>
      </c>
      <c r="AH113" s="80" t="str">
        <f t="shared" si="187"/>
        <v/>
      </c>
      <c r="AI113" s="78" t="str">
        <f t="shared" si="188"/>
        <v/>
      </c>
      <c r="AJ113" s="78">
        <v>0</v>
      </c>
      <c r="AK113" s="79">
        <v>0</v>
      </c>
      <c r="AL113" s="78" t="str">
        <f t="shared" si="189"/>
        <v/>
      </c>
      <c r="AM113" s="79">
        <f t="shared" si="190"/>
        <v>0</v>
      </c>
      <c r="AN113" s="78">
        <f t="shared" si="191"/>
        <v>0</v>
      </c>
      <c r="AO113" s="78">
        <f>IF(E113="CLERK GRADE I",1,IF(E113="CLERK GRADE II",1,0))*75*12*BS113*(IF(G113&lt;=0,0,1))*BT113</f>
        <v>0</v>
      </c>
      <c r="AP113" s="78"/>
      <c r="AQ113" s="78">
        <f>(IF(E113="LAB BOY",150,IF(E113="JAMADAR",150,IF(E113="PEON",150,0))))*12*BS113*(IF(G113&lt;=0,0,1))</f>
        <v>0</v>
      </c>
      <c r="AR113" s="80" t="str">
        <f t="shared" si="192"/>
        <v/>
      </c>
      <c r="AS113" s="80" t="str">
        <f t="shared" si="193"/>
        <v/>
      </c>
      <c r="AT113" s="78"/>
      <c r="AU113" s="78"/>
      <c r="AV113" s="80" t="str">
        <f t="shared" si="194"/>
        <v/>
      </c>
      <c r="AW113" s="80" t="str">
        <f t="shared" si="195"/>
        <v/>
      </c>
      <c r="AX113" s="80" t="str">
        <f t="shared" si="196"/>
        <v/>
      </c>
      <c r="AY113" s="80" t="str">
        <f t="shared" si="197"/>
        <v/>
      </c>
      <c r="AZ113" s="80" t="str">
        <f t="shared" si="198"/>
        <v/>
      </c>
      <c r="BA113" s="78" t="str">
        <f t="shared" si="199"/>
        <v/>
      </c>
      <c r="BB113" s="78"/>
      <c r="BC113" s="79">
        <v>7</v>
      </c>
      <c r="BD113" s="78" t="str">
        <f t="shared" si="200"/>
        <v/>
      </c>
      <c r="BE113" s="79">
        <f t="shared" si="201"/>
        <v>0</v>
      </c>
      <c r="BF113" s="78">
        <f t="shared" si="202"/>
        <v>0</v>
      </c>
      <c r="BG113" s="78">
        <f>IF(E113="CLERK GRADE I",1,IF(E113="CLERK GRADE II",1,0))*75*12*BS113*(IF(G113&lt;=0,0,1))*BT113</f>
        <v>0</v>
      </c>
      <c r="BH113" s="78">
        <f>IF(AND(E113=""),0,(IF(E113="ASSISTANT",12,IF(E113="CLERK GRADE I",12,IF(E113="CLERK GRADE II",12,IF(E113="FIELDMAN &amp; FIELD REC",12,IF(E113="LAB BOY",12,IF(E113="JAMADAR",12,IF(E113="PEON",12,10))))))))*(MINA(ROUND(AD113*6%,0),600))*(IF($S113="yes",1,)))</f>
        <v>0</v>
      </c>
      <c r="BI113" s="78" t="str">
        <f>IF(AND(G113=""),"",(IF(E113="LAB BOY",150,IF(E113="JAMADAR",150,IF(E113="PEON",150,0))))*12*BS113*(IF(G113&lt;=0,0,1)))</f>
        <v/>
      </c>
      <c r="BJ113" s="80" t="str">
        <f t="shared" si="203"/>
        <v/>
      </c>
      <c r="BK113" s="80" t="str">
        <f t="shared" si="204"/>
        <v/>
      </c>
      <c r="BL113" s="78"/>
      <c r="BM113" s="78"/>
      <c r="BN113" s="80" t="str">
        <f t="shared" si="205"/>
        <v/>
      </c>
      <c r="BO113" s="74">
        <f>(IF(E113="PRINCIPAL",1,IF(E113="H M",1,IF(E113="AGRICULTURE INST",1,IF(E113="TEACHER-1ST",1,IF(E113="PTI  I  (13)",1,IF(E113="AGRICULTURE TEACH",1,IF(E113="INSTRUCTOR",1,0))))))))+(IF(E113="JR TEACHER",1,IF(E113="LIBRARIAN I",1,0)))*(IF(M113="FIX PAY",0,1))</f>
        <v>0</v>
      </c>
      <c r="BP113" s="74">
        <f t="shared" si="206"/>
        <v>1</v>
      </c>
      <c r="BQ113" s="74">
        <f>(IF(E113="PRINCIPAL (16)",1,IF(E113="V P (14)",1,IF(E113="H M (14)",1,IF(E113="AGRICULTURE INST (13)",1,IF(E113="TEACHER-1ST (13)",1,IF(E113="PTI  I  (13)",1,IF(E113="AGRICULTURE TEACH (13)",1,IF(E113="INSTRUCTOR (13)",1,0))))))))+(IF(E113="JR TEACHER (13)",1,IF(E113="LIBRARIAN I (13)",1,0))))*(IF(M113="FIX PAY",1,0))</f>
        <v>0</v>
      </c>
      <c r="BR113" s="74">
        <f t="shared" si="207"/>
        <v>0</v>
      </c>
      <c r="BS113" s="74">
        <f t="shared" si="121"/>
        <v>0</v>
      </c>
      <c r="BT113" s="74">
        <f t="shared" si="208"/>
        <v>1</v>
      </c>
      <c r="BU113" s="60">
        <f>IF((ROUND((SUMPRODUCT(MID(0&amp;C113,LARGE(INDEX(ISNUMBER(--MID(C113,ROW($1:$25),1))* ROW($1:$25),0),ROW($1:$25))+1,1)*10^ROW($1:$25)/10)),-8)/100000000)&gt;=2004,1,0)</f>
        <v>0</v>
      </c>
      <c r="BV113" s="81">
        <f t="shared" si="209"/>
        <v>1</v>
      </c>
      <c r="BW113" s="60">
        <f t="shared" si="125"/>
        <v>0</v>
      </c>
      <c r="BX113" s="60">
        <f t="shared" si="126"/>
        <v>0</v>
      </c>
      <c r="BY113" s="49" t="str">
        <f>IF(AND(C113=""),"",IF(AND(C113&lt;=0),"",IF((ROUND((SUMPRODUCT(MID(0&amp;C113,LARGE(INDEX(ISNUMBER(--MID(C113,ROW($1:$71),1))* ROW($1:$71),0),ROW($1:$71))+1,1)*10^ROW($1:$71)/10)),-8)/100000000)&lt;2004,1,0)))</f>
        <v/>
      </c>
      <c r="BZ113" s="82" t="str">
        <f t="shared" si="179"/>
        <v/>
      </c>
      <c r="CA113" s="49" t="str">
        <f t="shared" si="180"/>
        <v/>
      </c>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row>
    <row r="114" spans="1:101" s="76" customFormat="1">
      <c r="A114" s="668"/>
      <c r="B114" s="643"/>
      <c r="C114" s="643"/>
      <c r="D114" s="643"/>
      <c r="E114" s="127" t="s">
        <v>348</v>
      </c>
      <c r="F114" s="129"/>
      <c r="G114" s="129"/>
      <c r="H114" s="170">
        <f>SUM(H110:H113)</f>
        <v>415200</v>
      </c>
      <c r="I114" s="170"/>
      <c r="J114" s="170">
        <f t="shared" ref="J114:L114" si="216">SUM(J110:J113)</f>
        <v>0</v>
      </c>
      <c r="K114" s="170">
        <f t="shared" si="216"/>
        <v>415200</v>
      </c>
      <c r="L114" s="170">
        <f t="shared" si="216"/>
        <v>415200</v>
      </c>
      <c r="M114" s="131"/>
      <c r="N114" s="165"/>
      <c r="O114" s="165"/>
      <c r="P114" s="165"/>
      <c r="Q114" s="165"/>
      <c r="R114" s="52"/>
      <c r="S114" s="1"/>
      <c r="T114" s="75"/>
      <c r="U114" s="75"/>
      <c r="V114" s="75"/>
      <c r="W114" s="75"/>
      <c r="X114" s="75"/>
      <c r="Y114" s="75"/>
      <c r="Z114" s="75"/>
      <c r="AA114" s="75"/>
      <c r="AB114" s="75"/>
      <c r="AC114" s="75"/>
      <c r="AD114" s="80"/>
      <c r="AE114" s="80"/>
      <c r="AF114" s="80"/>
      <c r="AG114" s="80"/>
      <c r="AH114" s="80"/>
      <c r="AI114" s="78"/>
      <c r="AJ114" s="78"/>
      <c r="AK114" s="79"/>
      <c r="AL114" s="78"/>
      <c r="AM114" s="79"/>
      <c r="AN114" s="78"/>
      <c r="AO114" s="78"/>
      <c r="AP114" s="78"/>
      <c r="AQ114" s="78"/>
      <c r="AR114" s="80"/>
      <c r="AS114" s="80"/>
      <c r="AT114" s="78"/>
      <c r="AU114" s="78"/>
      <c r="AV114" s="80"/>
      <c r="AW114" s="80"/>
      <c r="AX114" s="80"/>
      <c r="AY114" s="80"/>
      <c r="AZ114" s="80"/>
      <c r="BA114" s="78"/>
      <c r="BB114" s="78"/>
      <c r="BC114" s="79"/>
      <c r="BD114" s="78"/>
      <c r="BE114" s="79"/>
      <c r="BF114" s="78"/>
      <c r="BG114" s="78"/>
      <c r="BH114" s="78"/>
      <c r="BI114" s="78"/>
      <c r="BJ114" s="80"/>
      <c r="BK114" s="80"/>
      <c r="BL114" s="78"/>
      <c r="BM114" s="78"/>
      <c r="BN114" s="80"/>
      <c r="BO114" s="74"/>
      <c r="BP114" s="74"/>
      <c r="BQ114" s="74"/>
      <c r="BR114" s="74"/>
      <c r="BS114" s="74"/>
      <c r="BT114" s="74"/>
      <c r="BU114" s="60"/>
      <c r="BV114" s="81"/>
      <c r="BW114" s="60"/>
      <c r="BX114" s="60"/>
      <c r="BY114" s="49"/>
      <c r="BZ114" s="82" t="str">
        <f t="shared" si="179"/>
        <v/>
      </c>
      <c r="CA114" s="49" t="str">
        <f t="shared" si="180"/>
        <v/>
      </c>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c r="A115" s="841" t="s">
        <v>349</v>
      </c>
      <c r="B115" s="842"/>
      <c r="C115" s="842"/>
      <c r="D115" s="842"/>
      <c r="E115" s="842"/>
      <c r="F115" s="842"/>
      <c r="G115" s="842"/>
      <c r="H115" s="842"/>
      <c r="I115" s="842"/>
      <c r="J115" s="842"/>
      <c r="K115" s="842"/>
      <c r="L115" s="842"/>
      <c r="M115" s="843"/>
      <c r="N115" s="165"/>
      <c r="O115" s="165"/>
      <c r="P115" s="165"/>
      <c r="Q115" s="165"/>
      <c r="R115" s="52"/>
      <c r="S115" s="1"/>
      <c r="T115" s="75"/>
      <c r="U115" s="75"/>
      <c r="V115" s="75"/>
      <c r="W115" s="75"/>
      <c r="X115" s="75"/>
      <c r="Y115" s="75"/>
      <c r="Z115" s="75"/>
      <c r="AA115" s="75"/>
      <c r="AB115" s="75"/>
      <c r="AC115" s="75"/>
      <c r="AD115" s="80"/>
      <c r="AE115" s="80"/>
      <c r="AF115" s="80"/>
      <c r="AG115" s="80"/>
      <c r="AH115" s="80"/>
      <c r="AI115" s="78"/>
      <c r="AJ115" s="78"/>
      <c r="AK115" s="79"/>
      <c r="AL115" s="78"/>
      <c r="AM115" s="79"/>
      <c r="AN115" s="78"/>
      <c r="AO115" s="78"/>
      <c r="AP115" s="78"/>
      <c r="AQ115" s="78"/>
      <c r="AR115" s="80"/>
      <c r="AS115" s="80"/>
      <c r="AT115" s="78"/>
      <c r="AU115" s="78"/>
      <c r="AV115" s="80"/>
      <c r="AW115" s="80"/>
      <c r="AX115" s="80"/>
      <c r="AY115" s="80"/>
      <c r="AZ115" s="80"/>
      <c r="BA115" s="78"/>
      <c r="BB115" s="78"/>
      <c r="BC115" s="79"/>
      <c r="BD115" s="78"/>
      <c r="BE115" s="79"/>
      <c r="BF115" s="78"/>
      <c r="BG115" s="78"/>
      <c r="BH115" s="78"/>
      <c r="BI115" s="78"/>
      <c r="BJ115" s="80"/>
      <c r="BK115" s="80"/>
      <c r="BL115" s="78"/>
      <c r="BM115" s="78"/>
      <c r="BN115" s="80"/>
      <c r="BO115" s="74"/>
      <c r="BP115" s="74"/>
      <c r="BQ115" s="74"/>
      <c r="BR115" s="74"/>
      <c r="BS115" s="74"/>
      <c r="BT115" s="74"/>
      <c r="BU115" s="60"/>
      <c r="BV115" s="81"/>
      <c r="BW115" s="60"/>
      <c r="BX115" s="60"/>
      <c r="BY115" s="49"/>
      <c r="BZ115" s="82" t="str">
        <f t="shared" si="179"/>
        <v/>
      </c>
      <c r="CA115" s="49" t="str">
        <f t="shared" si="180"/>
        <v/>
      </c>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39">
        <v>1</v>
      </c>
      <c r="B116" s="410" t="str">
        <f>IF(ISNA(VLOOKUP(A116,Master!CR$60:DD$107,3,FALSE)),"",VLOOKUP(A116,Master!CR$60:DD$107,3,FALSE))</f>
        <v>Jh izoh.k lksyadh</v>
      </c>
      <c r="C116" s="440" t="str">
        <f>IF(ISNA(VLOOKUP(A116,Master!CR$60:DD$107,7,FALSE)),"",VLOOKUP(A116,Master!CR$60:DD$107,7,FALSE))</f>
        <v>RJAJ199506021728</v>
      </c>
      <c r="D116" s="441">
        <f>IF(ISNA(VLOOKUP(A116,Master!CR$60:DD$107,8,FALSE)),"",VLOOKUP(A116,Master!CR$60:DD$107,8,FALSE))</f>
        <v>1057886</v>
      </c>
      <c r="E116" s="444" t="str">
        <f>IF(ISNA(VLOOKUP(A116,Master!CR$60:DD$107,4,FALSE)),"",VLOOKUP(A116,Master!CR$60:DD$107,4,FALSE))</f>
        <v>LIBRARIAN III</v>
      </c>
      <c r="F116" s="134">
        <f>IF(ISNA(VLOOKUP(A116,Master!CR$60:DD$107,5,FALSE)),"",VLOOKUP(A116,Master!CR$60:DD$107,5,FALSE))</f>
        <v>10</v>
      </c>
      <c r="G116" s="443">
        <f>IF(ISNA(VLOOKUP(A116,Master!CR$60:DD$107,6,FALSE)),"",VLOOKUP(A116,Master!CR$60:DD$107,6,FALSE))</f>
        <v>34600</v>
      </c>
      <c r="H116" s="409">
        <f>IF(AND(F116=""),"",G116*12)</f>
        <v>415200</v>
      </c>
      <c r="I116" s="414" t="str">
        <f>IF(AND(F116=""),"","Not Applicable")</f>
        <v>Not Applicable</v>
      </c>
      <c r="J116" s="409" t="str">
        <f>IF(AND(F116=""),"","0")</f>
        <v>0</v>
      </c>
      <c r="K116" s="409">
        <f>IF(AND(F116=""),"",H116+J116)</f>
        <v>415200</v>
      </c>
      <c r="L116" s="409">
        <f>IF(AND(F116=""),"",K116)</f>
        <v>415200</v>
      </c>
      <c r="M116" s="409" t="str">
        <f>IF(AND(F116=""),"","SANVIDA")</f>
        <v>SANVIDA</v>
      </c>
      <c r="N116" s="165"/>
      <c r="O116" s="165"/>
      <c r="P116" s="165"/>
      <c r="Q116" s="165"/>
      <c r="R116" s="52"/>
      <c r="S116" s="1"/>
      <c r="T116" s="75"/>
      <c r="U116" s="75"/>
      <c r="V116" s="75"/>
      <c r="W116" s="75"/>
      <c r="X116" s="75"/>
      <c r="Y116" s="75"/>
      <c r="Z116" s="75"/>
      <c r="AA116" s="75"/>
      <c r="AB116" s="75"/>
      <c r="AC116" s="75"/>
      <c r="AD116" s="80">
        <f t="shared" si="183"/>
        <v>33590</v>
      </c>
      <c r="AE116" s="80">
        <f t="shared" si="184"/>
        <v>0</v>
      </c>
      <c r="AF116" s="80">
        <f t="shared" si="185"/>
        <v>415200</v>
      </c>
      <c r="AG116" s="80">
        <f t="shared" si="186"/>
        <v>0</v>
      </c>
      <c r="AH116" s="80">
        <f t="shared" si="187"/>
        <v>0</v>
      </c>
      <c r="AI116" s="78">
        <f t="shared" si="188"/>
        <v>0</v>
      </c>
      <c r="AJ116" s="78">
        <v>0</v>
      </c>
      <c r="AK116" s="79">
        <v>0</v>
      </c>
      <c r="AL116" s="78">
        <f t="shared" si="189"/>
        <v>0</v>
      </c>
      <c r="AM116" s="79">
        <f t="shared" si="190"/>
        <v>0</v>
      </c>
      <c r="AN116" s="78">
        <f t="shared" si="191"/>
        <v>27507</v>
      </c>
      <c r="AO116" s="78">
        <f>IF(E116="CLERK GRADE I",1,IF(E116="CLERK GRADE II",1,0))*75*12*BS116*(IF(G116&lt;=0,0,1))*BT116</f>
        <v>0</v>
      </c>
      <c r="AP116" s="78"/>
      <c r="AQ116" s="78">
        <f>(IF(E116="LAB BOY",150,IF(E116="JAMADAR",150,IF(E116="PEON",150,0))))*12*BS116*(IF(G116&lt;=0,0,1))</f>
        <v>0</v>
      </c>
      <c r="AR116" s="80">
        <f t="shared" si="192"/>
        <v>442707</v>
      </c>
      <c r="AS116" s="80">
        <f t="shared" si="193"/>
        <v>442707</v>
      </c>
      <c r="AT116" s="78"/>
      <c r="AU116" s="78"/>
      <c r="AV116" s="80">
        <f t="shared" si="194"/>
        <v>442707</v>
      </c>
      <c r="AW116" s="80">
        <f t="shared" si="195"/>
        <v>0</v>
      </c>
      <c r="AX116" s="80">
        <f t="shared" si="196"/>
        <v>415200</v>
      </c>
      <c r="AY116" s="80">
        <f t="shared" si="197"/>
        <v>0</v>
      </c>
      <c r="AZ116" s="80">
        <f t="shared" si="198"/>
        <v>0</v>
      </c>
      <c r="BA116" s="78">
        <f t="shared" si="199"/>
        <v>0</v>
      </c>
      <c r="BB116" s="78"/>
      <c r="BC116" s="79">
        <v>10</v>
      </c>
      <c r="BD116" s="78">
        <f t="shared" si="200"/>
        <v>0</v>
      </c>
      <c r="BE116" s="79">
        <f t="shared" si="201"/>
        <v>0</v>
      </c>
      <c r="BF116" s="78">
        <f t="shared" si="202"/>
        <v>26704</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f>IF(AND(G116=""),"",(IF(E116="LAB BOY",150,IF(E116="JAMADAR",150,IF(E116="PEON",150,0))))*12*BS116*(IF(G116&lt;=0,0,1)))</f>
        <v>0</v>
      </c>
      <c r="BJ116" s="80">
        <f t="shared" si="203"/>
        <v>441914</v>
      </c>
      <c r="BK116" s="80">
        <f t="shared" si="204"/>
        <v>441914</v>
      </c>
      <c r="BL116" s="78"/>
      <c r="BM116" s="78"/>
      <c r="BN116" s="80">
        <f t="shared" si="205"/>
        <v>441914</v>
      </c>
      <c r="BO116" s="74">
        <f>(IF(E116="PRINCIPAL",1,IF(E116="H M",1,IF(E116="AGRICULTURE INST",1,IF(E116="TEACHER-1ST",1,IF(E116="PTI  I  (13)",1,IF(E116="AGRICULTURE TEACH",1,IF(E116="INSTRUCTOR",1,0))))))))+(IF(E116="JR TEACHER",1,IF(E116="LIBRARIAN I",1,0)))*(IF(M116="FIX PAY",0,1))</f>
        <v>0</v>
      </c>
      <c r="BP116" s="74">
        <f t="shared" si="206"/>
        <v>1</v>
      </c>
      <c r="BQ116" s="74">
        <f>(IF(E116="PRINCIPAL (16)",1,IF(E116="V P (14)",1,IF(E116="H M (14)",1,IF(E116="AGRICULTURE INST (13)",1,IF(E116="TEACHER-1ST (13)",1,IF(E116="PTI  I  (13)",1,IF(E116="AGRICULTURE TEACH (13)",1,IF(E116="INSTRUCTOR (13)",1,0))))))))+(IF(E116="JR TEACHER (13)",1,IF(E116="LIBRARIAN I (13)",1,0))))*(IF(M116="FIX PAY",1,0))</f>
        <v>0</v>
      </c>
      <c r="BR116" s="74">
        <f t="shared" si="207"/>
        <v>0</v>
      </c>
      <c r="BS116" s="74">
        <f t="shared" si="121"/>
        <v>0</v>
      </c>
      <c r="BT116" s="74">
        <f t="shared" si="208"/>
        <v>1</v>
      </c>
      <c r="BU116" s="60">
        <f>IF((ROUND((SUMPRODUCT(MID(0&amp;C116,LARGE(INDEX(ISNUMBER(--MID(C116,ROW($1:$25),1))* ROW($1:$25),0),ROW($1:$25))+1,1)*10^ROW($1:$25)/10)),-8)/100000000)&gt;=2004,1,0)</f>
        <v>0</v>
      </c>
      <c r="BV116" s="81">
        <f t="shared" si="209"/>
        <v>1</v>
      </c>
      <c r="BW116" s="60">
        <f t="shared" si="125"/>
        <v>1</v>
      </c>
      <c r="BX116" s="60">
        <f t="shared" si="126"/>
        <v>34600</v>
      </c>
      <c r="BY116" s="49">
        <f>IF(AND(C116=""),"",IF(AND(C116&lt;=0),"",IF((ROUND((SUMPRODUCT(MID(0&amp;C116,LARGE(INDEX(ISNUMBER(--MID(C116,ROW($1:$71),1))* ROW($1:$71),0),ROW($1:$71))+1,1)*10^ROW($1:$71)/10)),-8)/100000000)&lt;2004,1,0)))</f>
        <v>1</v>
      </c>
      <c r="BZ116" s="82">
        <f t="shared" si="179"/>
        <v>138400</v>
      </c>
      <c r="CA116" s="49">
        <f t="shared" si="180"/>
        <v>284800</v>
      </c>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39">
        <v>2</v>
      </c>
      <c r="B117" s="410" t="str">
        <f>IF(ISNA(VLOOKUP(A117,Master!CR$60:DD$107,3,FALSE)),"",VLOOKUP(A117,Master!CR$60:DD$107,3,FALSE))</f>
        <v/>
      </c>
      <c r="C117" s="440" t="str">
        <f>IF(ISNA(VLOOKUP(A117,Master!CR$60:DD$107,7,FALSE)),"",VLOOKUP(A117,Master!CR$60:DD$107,7,FALSE))</f>
        <v/>
      </c>
      <c r="D117" s="441" t="str">
        <f>IF(ISNA(VLOOKUP(A117,Master!CR$60:DD$107,8,FALSE)),"",VLOOKUP(A117,Master!CR$60:DD$107,8,FALSE))</f>
        <v/>
      </c>
      <c r="E117" s="444" t="str">
        <f>IF(ISNA(VLOOKUP(A117,Master!CR$60:DD$107,4,FALSE)),"",VLOOKUP(A117,Master!CR$60:DD$107,4,FALSE))</f>
        <v/>
      </c>
      <c r="F117" s="134" t="str">
        <f>IF(ISNA(VLOOKUP(A117,Master!CR$60:DD$107,5,FALSE)),"",VLOOKUP(A117,Master!CR$60:DD$107,5,FALSE))</f>
        <v/>
      </c>
      <c r="G117" s="443" t="str">
        <f>IF(ISNA(VLOOKUP(A117,Master!CR$60:DD$107,6,FALSE)),"",VLOOKUP(A117,Master!CR$60:DD$107,6,FALSE))</f>
        <v/>
      </c>
      <c r="H117" s="409" t="str">
        <f t="shared" ref="H117:H119" si="217">IF(AND(F117=""),"",G117*12)</f>
        <v/>
      </c>
      <c r="I117" s="414" t="str">
        <f t="shared" ref="I117:I119" si="218">IF(AND(F117=""),"","Not Applicable")</f>
        <v/>
      </c>
      <c r="J117" s="409" t="str">
        <f t="shared" ref="J117:J119" si="219">IF(AND(F117=""),"","0")</f>
        <v/>
      </c>
      <c r="K117" s="409" t="str">
        <f t="shared" ref="K117:K119" si="220">IF(AND(F117=""),"",H117+J117)</f>
        <v/>
      </c>
      <c r="L117" s="409" t="str">
        <f t="shared" ref="L117:L119" si="221">IF(AND(F117=""),"",K117)</f>
        <v/>
      </c>
      <c r="M117" s="409" t="str">
        <f t="shared" ref="M117:M119" si="222">IF(AND(F117=""),"","SANVIDA")</f>
        <v/>
      </c>
      <c r="N117" s="165"/>
      <c r="O117" s="165"/>
      <c r="P117" s="165"/>
      <c r="Q117" s="165"/>
      <c r="R117" s="52"/>
      <c r="S117" s="1"/>
      <c r="T117" s="75"/>
      <c r="U117" s="75"/>
      <c r="V117" s="75"/>
      <c r="W117" s="75"/>
      <c r="X117" s="75"/>
      <c r="Y117" s="75"/>
      <c r="Z117" s="75"/>
      <c r="AA117" s="75"/>
      <c r="AB117" s="75"/>
      <c r="AC117" s="75"/>
      <c r="AD117" s="80" t="str">
        <f t="shared" si="183"/>
        <v/>
      </c>
      <c r="AE117" s="80" t="str">
        <f t="shared" si="184"/>
        <v/>
      </c>
      <c r="AF117" s="80" t="str">
        <f t="shared" si="185"/>
        <v/>
      </c>
      <c r="AG117" s="80" t="str">
        <f t="shared" si="186"/>
        <v/>
      </c>
      <c r="AH117" s="80" t="str">
        <f t="shared" si="187"/>
        <v/>
      </c>
      <c r="AI117" s="78" t="str">
        <f t="shared" si="188"/>
        <v/>
      </c>
      <c r="AJ117" s="78">
        <v>0</v>
      </c>
      <c r="AK117" s="79">
        <v>0</v>
      </c>
      <c r="AL117" s="78" t="str">
        <f t="shared" si="189"/>
        <v/>
      </c>
      <c r="AM117" s="79">
        <f t="shared" si="190"/>
        <v>0</v>
      </c>
      <c r="AN117" s="78">
        <f t="shared" si="191"/>
        <v>0</v>
      </c>
      <c r="AO117" s="78">
        <f>IF(E117="CLERK GRADE I",1,IF(E117="CLERK GRADE II",1,0))*75*12*BS117*(IF(G117&lt;=0,0,1))*BT117</f>
        <v>0</v>
      </c>
      <c r="AP117" s="78"/>
      <c r="AQ117" s="78">
        <f>(IF(E117="LAB BOY",150,IF(E117="JAMADAR",150,IF(E117="PEON",150,0))))*12*BS117*(IF(G117&lt;=0,0,1))</f>
        <v>0</v>
      </c>
      <c r="AR117" s="80" t="str">
        <f t="shared" si="192"/>
        <v/>
      </c>
      <c r="AS117" s="80" t="str">
        <f t="shared" si="193"/>
        <v/>
      </c>
      <c r="AT117" s="78"/>
      <c r="AU117" s="78"/>
      <c r="AV117" s="80" t="str">
        <f t="shared" si="194"/>
        <v/>
      </c>
      <c r="AW117" s="80" t="str">
        <f t="shared" si="195"/>
        <v/>
      </c>
      <c r="AX117" s="80" t="str">
        <f t="shared" si="196"/>
        <v/>
      </c>
      <c r="AY117" s="80" t="str">
        <f t="shared" si="197"/>
        <v/>
      </c>
      <c r="AZ117" s="80" t="str">
        <f t="shared" si="198"/>
        <v/>
      </c>
      <c r="BA117" s="78" t="str">
        <f t="shared" si="199"/>
        <v/>
      </c>
      <c r="BB117" s="78"/>
      <c r="BC117" s="79">
        <v>11</v>
      </c>
      <c r="BD117" s="78" t="str">
        <f t="shared" si="200"/>
        <v/>
      </c>
      <c r="BE117" s="79">
        <f t="shared" si="201"/>
        <v>0</v>
      </c>
      <c r="BF117" s="78">
        <f t="shared" si="202"/>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203"/>
        <v/>
      </c>
      <c r="BK117" s="80" t="str">
        <f t="shared" si="204"/>
        <v/>
      </c>
      <c r="BL117" s="78"/>
      <c r="BM117" s="78"/>
      <c r="BN117" s="80" t="str">
        <f t="shared" si="205"/>
        <v/>
      </c>
      <c r="BO117" s="74">
        <f>(IF(E117="PRINCIPAL",1,IF(E117="H M",1,IF(E117="AGRICULTURE INST",1,IF(E117="TEACHER-1ST",1,IF(E117="PTI  I  (13)",1,IF(E117="AGRICULTURE TEACH",1,IF(E117="INSTRUCTOR",1,0))))))))+(IF(E117="JR TEACHER",1,IF(E117="LIBRARIAN I",1,0)))*(IF(M117="FIX PAY",0,1))</f>
        <v>0</v>
      </c>
      <c r="BP117" s="74">
        <f t="shared" si="206"/>
        <v>1</v>
      </c>
      <c r="BQ117" s="74">
        <f>(IF(E117="PRINCIPAL (16)",1,IF(E117="V P (14)",1,IF(E117="H M (14)",1,IF(E117="AGRICULTURE INST (13)",1,IF(E117="TEACHER-1ST (13)",1,IF(E117="PTI  I  (13)",1,IF(E117="AGRICULTURE TEACH (13)",1,IF(E117="INSTRUCTOR (13)",1,0))))))))+(IF(E117="JR TEACHER (13)",1,IF(E117="LIBRARIAN I (13)",1,0))))*(IF(M117="FIX PAY",1,0))</f>
        <v>0</v>
      </c>
      <c r="BR117" s="74">
        <f t="shared" si="207"/>
        <v>0</v>
      </c>
      <c r="BS117" s="74">
        <f t="shared" si="121"/>
        <v>0</v>
      </c>
      <c r="BT117" s="74">
        <f t="shared" si="208"/>
        <v>1</v>
      </c>
      <c r="BU117" s="60">
        <f>IF((ROUND((SUMPRODUCT(MID(0&amp;C117,LARGE(INDEX(ISNUMBER(--MID(C117,ROW($1:$25),1))* ROW($1:$25),0),ROW($1:$25))+1,1)*10^ROW($1:$25)/10)),-8)/100000000)&gt;=2004,1,0)</f>
        <v>0</v>
      </c>
      <c r="BV117" s="81">
        <f t="shared" si="209"/>
        <v>1</v>
      </c>
      <c r="BW117" s="60">
        <f t="shared" si="125"/>
        <v>0</v>
      </c>
      <c r="BX117" s="60">
        <f t="shared" si="126"/>
        <v>0</v>
      </c>
      <c r="BY117" s="49" t="str">
        <f>IF(AND(C117=""),"",IF(AND(C117&lt;=0),"",IF((ROUND((SUMPRODUCT(MID(0&amp;C117,LARGE(INDEX(ISNUMBER(--MID(C117,ROW($1:$71),1))* ROW($1:$71),0),ROW($1:$71))+1,1)*10^ROW($1:$71)/10)),-8)/100000000)&lt;2004,1,0)))</f>
        <v/>
      </c>
      <c r="BZ117" s="82" t="str">
        <f t="shared" si="179"/>
        <v/>
      </c>
      <c r="CA117" s="49" t="str">
        <f t="shared" si="180"/>
        <v/>
      </c>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ht="16.5" customHeight="1">
      <c r="A118" s="439">
        <v>3</v>
      </c>
      <c r="B118" s="410" t="str">
        <f>IF(ISNA(VLOOKUP(A118,Master!CR$60:DD$107,3,FALSE)),"",VLOOKUP(A118,Master!CR$60:DD$107,3,FALSE))</f>
        <v/>
      </c>
      <c r="C118" s="440" t="str">
        <f>IF(ISNA(VLOOKUP(A118,Master!CR$60:DD$107,7,FALSE)),"",VLOOKUP(A118,Master!CR$60:DD$107,7,FALSE))</f>
        <v/>
      </c>
      <c r="D118" s="441" t="str">
        <f>IF(ISNA(VLOOKUP(A118,Master!CR$60:DD$107,8,FALSE)),"",VLOOKUP(A118,Master!CR$60:DD$107,8,FALSE))</f>
        <v/>
      </c>
      <c r="E118" s="444" t="str">
        <f>IF(ISNA(VLOOKUP(A118,Master!CR$60:DD$107,4,FALSE)),"",VLOOKUP(A118,Master!CR$60:DD$107,4,FALSE))</f>
        <v/>
      </c>
      <c r="F118" s="134" t="str">
        <f>IF(ISNA(VLOOKUP(A118,Master!CR$60:DD$107,5,FALSE)),"",VLOOKUP(A118,Master!CR$60:DD$107,5,FALSE))</f>
        <v/>
      </c>
      <c r="G118" s="443" t="str">
        <f>IF(ISNA(VLOOKUP(A118,Master!CR$60:DD$107,6,FALSE)),"",VLOOKUP(A118,Master!CR$60:DD$107,6,FALSE))</f>
        <v/>
      </c>
      <c r="H118" s="409" t="str">
        <f t="shared" si="217"/>
        <v/>
      </c>
      <c r="I118" s="414" t="str">
        <f t="shared" si="218"/>
        <v/>
      </c>
      <c r="J118" s="409" t="str">
        <f t="shared" si="219"/>
        <v/>
      </c>
      <c r="K118" s="409" t="str">
        <f t="shared" si="220"/>
        <v/>
      </c>
      <c r="L118" s="409" t="str">
        <f t="shared" si="221"/>
        <v/>
      </c>
      <c r="M118" s="409" t="str">
        <f t="shared" si="222"/>
        <v/>
      </c>
      <c r="N118" s="165"/>
      <c r="O118" s="165"/>
      <c r="P118" s="165"/>
      <c r="Q118" s="165"/>
      <c r="R118" s="52"/>
      <c r="S118" s="1"/>
      <c r="T118" s="75"/>
      <c r="U118" s="75"/>
      <c r="V118" s="75"/>
      <c r="W118" s="75"/>
      <c r="X118" s="75"/>
      <c r="Y118" s="75"/>
      <c r="Z118" s="75"/>
      <c r="AA118" s="75"/>
      <c r="AB118" s="75"/>
      <c r="AC118" s="75"/>
      <c r="AD118" s="80" t="str">
        <f t="shared" si="183"/>
        <v/>
      </c>
      <c r="AE118" s="80" t="str">
        <f t="shared" si="184"/>
        <v/>
      </c>
      <c r="AF118" s="80" t="str">
        <f t="shared" si="185"/>
        <v/>
      </c>
      <c r="AG118" s="80" t="str">
        <f t="shared" si="186"/>
        <v/>
      </c>
      <c r="AH118" s="80" t="str">
        <f t="shared" si="187"/>
        <v/>
      </c>
      <c r="AI118" s="78" t="str">
        <f t="shared" si="188"/>
        <v/>
      </c>
      <c r="AJ118" s="78">
        <v>0</v>
      </c>
      <c r="AK118" s="79">
        <v>0</v>
      </c>
      <c r="AL118" s="78" t="str">
        <f t="shared" si="189"/>
        <v/>
      </c>
      <c r="AM118" s="79">
        <f t="shared" si="190"/>
        <v>0</v>
      </c>
      <c r="AN118" s="78">
        <f t="shared" si="191"/>
        <v>0</v>
      </c>
      <c r="AO118" s="78">
        <f>IF(E118="CLERK GRADE I",1,IF(E118="CLERK GRADE II",1,0))*75*12*BS118*(IF(G118&lt;=0,0,1))*BT118</f>
        <v>0</v>
      </c>
      <c r="AP118" s="78"/>
      <c r="AQ118" s="78">
        <f>(IF(E118="LAB BOY",150,IF(E118="JAMADAR",150,IF(E118="PEON",150,0))))*12*BS118*(IF(G118&lt;=0,0,1))</f>
        <v>0</v>
      </c>
      <c r="AR118" s="80" t="str">
        <f t="shared" si="192"/>
        <v/>
      </c>
      <c r="AS118" s="80" t="str">
        <f t="shared" si="193"/>
        <v/>
      </c>
      <c r="AT118" s="78"/>
      <c r="AU118" s="78"/>
      <c r="AV118" s="80" t="str">
        <f t="shared" si="194"/>
        <v/>
      </c>
      <c r="AW118" s="80" t="str">
        <f t="shared" si="195"/>
        <v/>
      </c>
      <c r="AX118" s="80" t="str">
        <f t="shared" si="196"/>
        <v/>
      </c>
      <c r="AY118" s="80" t="str">
        <f t="shared" si="197"/>
        <v/>
      </c>
      <c r="AZ118" s="80" t="str">
        <f t="shared" si="198"/>
        <v/>
      </c>
      <c r="BA118" s="78" t="str">
        <f t="shared" si="199"/>
        <v/>
      </c>
      <c r="BB118" s="78"/>
      <c r="BC118" s="79">
        <v>12</v>
      </c>
      <c r="BD118" s="78" t="str">
        <f t="shared" si="200"/>
        <v/>
      </c>
      <c r="BE118" s="79">
        <f t="shared" si="201"/>
        <v>0</v>
      </c>
      <c r="BF118" s="78">
        <f t="shared" si="202"/>
        <v>0</v>
      </c>
      <c r="BG118" s="78">
        <f>IF(E118="CLERK GRADE I",1,IF(E118="CLERK GRADE II",1,0))*75*12*BS118*(IF(G118&lt;=0,0,1))*BT118</f>
        <v>0</v>
      </c>
      <c r="BH118" s="78">
        <f>IF(AND(E118=""),0,(IF(E118="ASSISTANT",12,IF(E118="CLERK GRADE I",12,IF(E118="CLERK GRADE II",12,IF(E118="FIELDMAN &amp; FIELD REC",12,IF(E118="LAB BOY",12,IF(E118="JAMADAR",12,IF(E118="PEON",12,10))))))))*(MINA(ROUND(AD118*6%,0),600))*(IF($S118="yes",1,)))</f>
        <v>0</v>
      </c>
      <c r="BI118" s="78" t="str">
        <f>IF(AND(G118=""),"",(IF(E118="LAB BOY",150,IF(E118="JAMADAR",150,IF(E118="PEON",150,0))))*12*BS118*(IF(G118&lt;=0,0,1)))</f>
        <v/>
      </c>
      <c r="BJ118" s="80" t="str">
        <f t="shared" si="203"/>
        <v/>
      </c>
      <c r="BK118" s="80" t="str">
        <f t="shared" si="204"/>
        <v/>
      </c>
      <c r="BL118" s="78"/>
      <c r="BM118" s="78"/>
      <c r="BN118" s="80" t="str">
        <f t="shared" si="205"/>
        <v/>
      </c>
      <c r="BO118" s="74">
        <f>(IF(E118="PRINCIPAL",1,IF(E118="H M",1,IF(E118="AGRICULTURE INST",1,IF(E118="TEACHER-1ST",1,IF(E118="PTI  I  (13)",1,IF(E118="AGRICULTURE TEACH",1,IF(E118="INSTRUCTOR",1,0))))))))+(IF(E118="JR TEACHER",1,IF(E118="LIBRARIAN I",1,0)))*(IF(M118="FIX PAY",0,1))</f>
        <v>0</v>
      </c>
      <c r="BP118" s="74">
        <f t="shared" si="206"/>
        <v>1</v>
      </c>
      <c r="BQ118" s="74">
        <f>(IF(E118="PRINCIPAL (16)",1,IF(E118="V P (14)",1,IF(E118="H M (14)",1,IF(E118="AGRICULTURE INST (13)",1,IF(E118="TEACHER-1ST (13)",1,IF(E118="PTI  I  (13)",1,IF(E118="AGRICULTURE TEACH (13)",1,IF(E118="INSTRUCTOR (13)",1,0))))))))+(IF(E118="JR TEACHER (13)",1,IF(E118="LIBRARIAN I (13)",1,0))))*(IF(M118="FIX PAY",1,0))</f>
        <v>0</v>
      </c>
      <c r="BR118" s="74">
        <f t="shared" si="207"/>
        <v>0</v>
      </c>
      <c r="BS118" s="74">
        <f t="shared" si="121"/>
        <v>0</v>
      </c>
      <c r="BT118" s="74">
        <f t="shared" si="208"/>
        <v>1</v>
      </c>
      <c r="BU118" s="60">
        <f>IF((ROUND((SUMPRODUCT(MID(0&amp;C118,LARGE(INDEX(ISNUMBER(--MID(C118,ROW($1:$25),1))* ROW($1:$25),0),ROW($1:$25))+1,1)*10^ROW($1:$25)/10)),-8)/100000000)&gt;=2004,1,0)</f>
        <v>0</v>
      </c>
      <c r="BV118" s="81">
        <f t="shared" si="209"/>
        <v>1</v>
      </c>
      <c r="BW118" s="60">
        <f t="shared" si="125"/>
        <v>0</v>
      </c>
      <c r="BX118" s="60">
        <f t="shared" si="126"/>
        <v>0</v>
      </c>
      <c r="BY118" s="49" t="str">
        <f>IF(AND(C118=""),"",IF(AND(C118&lt;=0),"",IF((ROUND((SUMPRODUCT(MID(0&amp;C118,LARGE(INDEX(ISNUMBER(--MID(C118,ROW($1:$71),1))* ROW($1:$71),0),ROW($1:$71))+1,1)*10^ROW($1:$71)/10)),-8)/100000000)&lt;2004,1,0)))</f>
        <v/>
      </c>
      <c r="BZ118" s="82" t="str">
        <f t="shared" si="179"/>
        <v/>
      </c>
      <c r="CA118" s="49" t="str">
        <f t="shared" si="180"/>
        <v/>
      </c>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ht="16.5" customHeight="1">
      <c r="A119" s="439">
        <v>4</v>
      </c>
      <c r="B119" s="410" t="str">
        <f>IF(ISNA(VLOOKUP(A119,Master!CR$60:DD$107,3,FALSE)),"",VLOOKUP(A119,Master!CR$60:DD$107,3,FALSE))</f>
        <v/>
      </c>
      <c r="C119" s="440" t="str">
        <f>IF(ISNA(VLOOKUP(A119,Master!CR$60:DD$107,7,FALSE)),"",VLOOKUP(A119,Master!CR$60:DD$107,7,FALSE))</f>
        <v/>
      </c>
      <c r="D119" s="441" t="str">
        <f>IF(ISNA(VLOOKUP(A119,Master!CR$60:DD$107,8,FALSE)),"",VLOOKUP(A119,Master!CR$60:DD$107,8,FALSE))</f>
        <v/>
      </c>
      <c r="E119" s="444" t="str">
        <f>IF(ISNA(VLOOKUP(A119,Master!CR$60:DD$107,4,FALSE)),"",VLOOKUP(A119,Master!CR$60:DD$107,4,FALSE))</f>
        <v/>
      </c>
      <c r="F119" s="134" t="str">
        <f>IF(ISNA(VLOOKUP(A119,Master!CR$60:DD$107,5,FALSE)),"",VLOOKUP(A119,Master!CR$60:DD$107,5,FALSE))</f>
        <v/>
      </c>
      <c r="G119" s="443" t="str">
        <f>IF(ISNA(VLOOKUP(A119,Master!CR$60:DD$107,6,FALSE)),"",VLOOKUP(A119,Master!CR$60:DD$107,6,FALSE))</f>
        <v/>
      </c>
      <c r="H119" s="409" t="str">
        <f t="shared" si="217"/>
        <v/>
      </c>
      <c r="I119" s="414" t="str">
        <f t="shared" si="218"/>
        <v/>
      </c>
      <c r="J119" s="409" t="str">
        <f t="shared" si="219"/>
        <v/>
      </c>
      <c r="K119" s="409" t="str">
        <f t="shared" si="220"/>
        <v/>
      </c>
      <c r="L119" s="409" t="str">
        <f t="shared" si="221"/>
        <v/>
      </c>
      <c r="M119" s="409" t="str">
        <f t="shared" si="222"/>
        <v/>
      </c>
      <c r="N119" s="165"/>
      <c r="O119" s="165"/>
      <c r="P119" s="165"/>
      <c r="Q119" s="165"/>
      <c r="R119" s="52"/>
      <c r="S119" s="1"/>
      <c r="T119" s="75"/>
      <c r="U119" s="75"/>
      <c r="V119" s="75"/>
      <c r="W119" s="75"/>
      <c r="X119" s="75"/>
      <c r="Y119" s="75"/>
      <c r="Z119" s="75"/>
      <c r="AA119" s="75"/>
      <c r="AB119" s="75"/>
      <c r="AC119" s="75"/>
      <c r="AD119" s="80" t="str">
        <f t="shared" si="183"/>
        <v/>
      </c>
      <c r="AE119" s="80" t="str">
        <f t="shared" si="184"/>
        <v/>
      </c>
      <c r="AF119" s="80" t="str">
        <f t="shared" si="185"/>
        <v/>
      </c>
      <c r="AG119" s="80" t="str">
        <f t="shared" si="186"/>
        <v/>
      </c>
      <c r="AH119" s="80" t="str">
        <f t="shared" si="187"/>
        <v/>
      </c>
      <c r="AI119" s="78" t="str">
        <f t="shared" si="188"/>
        <v/>
      </c>
      <c r="AJ119" s="78">
        <v>0</v>
      </c>
      <c r="AK119" s="79">
        <v>0</v>
      </c>
      <c r="AL119" s="78" t="str">
        <f t="shared" si="189"/>
        <v/>
      </c>
      <c r="AM119" s="79">
        <f t="shared" si="190"/>
        <v>0</v>
      </c>
      <c r="AN119" s="78">
        <f t="shared" si="191"/>
        <v>0</v>
      </c>
      <c r="AO119" s="78">
        <f>IF(E119="CLERK GRADE I",1,IF(E119="CLERK GRADE II",1,0))*75*12*BS119*(IF(G119&lt;=0,0,1))*BT119</f>
        <v>0</v>
      </c>
      <c r="AP119" s="78"/>
      <c r="AQ119" s="78">
        <f>(IF(E119="LAB BOY",150,IF(E119="JAMADAR",150,IF(E119="PEON",150,0))))*12*BS119*(IF(G119&lt;=0,0,1))</f>
        <v>0</v>
      </c>
      <c r="AR119" s="80" t="str">
        <f t="shared" si="192"/>
        <v/>
      </c>
      <c r="AS119" s="80" t="str">
        <f t="shared" si="193"/>
        <v/>
      </c>
      <c r="AT119" s="78"/>
      <c r="AU119" s="78"/>
      <c r="AV119" s="80" t="str">
        <f t="shared" si="194"/>
        <v/>
      </c>
      <c r="AW119" s="80" t="str">
        <f t="shared" si="195"/>
        <v/>
      </c>
      <c r="AX119" s="80" t="str">
        <f t="shared" si="196"/>
        <v/>
      </c>
      <c r="AY119" s="80" t="str">
        <f t="shared" si="197"/>
        <v/>
      </c>
      <c r="AZ119" s="80" t="str">
        <f t="shared" si="198"/>
        <v/>
      </c>
      <c r="BA119" s="78" t="str">
        <f t="shared" si="199"/>
        <v/>
      </c>
      <c r="BB119" s="78"/>
      <c r="BC119" s="79">
        <v>13</v>
      </c>
      <c r="BD119" s="78" t="str">
        <f t="shared" si="200"/>
        <v/>
      </c>
      <c r="BE119" s="79">
        <f t="shared" si="201"/>
        <v>0</v>
      </c>
      <c r="BF119" s="78">
        <f t="shared" si="202"/>
        <v>0</v>
      </c>
      <c r="BG119" s="78">
        <f>IF(E119="CLERK GRADE I",1,IF(E119="CLERK GRADE II",1,0))*75*12*BS119*(IF(G119&lt;=0,0,1))*BT119</f>
        <v>0</v>
      </c>
      <c r="BH119" s="78">
        <f>IF(AND(E119=""),0,(IF(E119="ASSISTANT",12,IF(E119="CLERK GRADE I",12,IF(E119="CLERK GRADE II",12,IF(E119="FIELDMAN &amp; FIELD REC",12,IF(E119="LAB BOY",12,IF(E119="JAMADAR",12,IF(E119="PEON",12,10))))))))*(MINA(ROUND(AD119*6%,0),600))*(IF($S119="yes",1,)))</f>
        <v>0</v>
      </c>
      <c r="BI119" s="78" t="str">
        <f>IF(AND(G119=""),"",(IF(E119="LAB BOY",150,IF(E119="JAMADAR",150,IF(E119="PEON",150,0))))*12*BS119*(IF(G119&lt;=0,0,1)))</f>
        <v/>
      </c>
      <c r="BJ119" s="80" t="str">
        <f t="shared" si="203"/>
        <v/>
      </c>
      <c r="BK119" s="80" t="str">
        <f t="shared" si="204"/>
        <v/>
      </c>
      <c r="BL119" s="78"/>
      <c r="BM119" s="78"/>
      <c r="BN119" s="80" t="str">
        <f t="shared" si="205"/>
        <v/>
      </c>
      <c r="BO119" s="74">
        <f>(IF(E119="PRINCIPAL",1,IF(E119="H M",1,IF(E119="AGRICULTURE INST",1,IF(E119="TEACHER-1ST",1,IF(E119="PTI  I  (13)",1,IF(E119="AGRICULTURE TEACH",1,IF(E119="INSTRUCTOR",1,0))))))))+(IF(E119="JR TEACHER",1,IF(E119="LIBRARIAN I",1,0)))*(IF(M119="FIX PAY",0,1))</f>
        <v>0</v>
      </c>
      <c r="BP119" s="74">
        <f t="shared" si="206"/>
        <v>1</v>
      </c>
      <c r="BQ119" s="74">
        <f>(IF(E119="PRINCIPAL (16)",1,IF(E119="V P (14)",1,IF(E119="H M (14)",1,IF(E119="AGRICULTURE INST (13)",1,IF(E119="TEACHER-1ST (13)",1,IF(E119="PTI  I  (13)",1,IF(E119="AGRICULTURE TEACH (13)",1,IF(E119="INSTRUCTOR (13)",1,0))))))))+(IF(E119="JR TEACHER (13)",1,IF(E119="LIBRARIAN I (13)",1,0))))*(IF(M119="FIX PAY",1,0))</f>
        <v>0</v>
      </c>
      <c r="BR119" s="74">
        <f t="shared" si="207"/>
        <v>0</v>
      </c>
      <c r="BS119" s="74">
        <f t="shared" si="121"/>
        <v>0</v>
      </c>
      <c r="BT119" s="74">
        <f t="shared" si="208"/>
        <v>1</v>
      </c>
      <c r="BU119" s="60">
        <f>IF((ROUND((SUMPRODUCT(MID(0&amp;C119,LARGE(INDEX(ISNUMBER(--MID(C119,ROW($1:$25),1))* ROW($1:$25),0),ROW($1:$25))+1,1)*10^ROW($1:$25)/10)),-8)/100000000)&gt;=2004,1,0)</f>
        <v>0</v>
      </c>
      <c r="BV119" s="81">
        <f t="shared" si="209"/>
        <v>1</v>
      </c>
      <c r="BW119" s="60">
        <f t="shared" si="125"/>
        <v>0</v>
      </c>
      <c r="BX119" s="60">
        <f t="shared" si="126"/>
        <v>0</v>
      </c>
      <c r="BY119" s="49" t="str">
        <f>IF(AND(C119=""),"",IF(AND(C119&lt;=0),"",IF((ROUND((SUMPRODUCT(MID(0&amp;C119,LARGE(INDEX(ISNUMBER(--MID(C119,ROW($1:$71),1))* ROW($1:$71),0),ROW($1:$71))+1,1)*10^ROW($1:$71)/10)),-8)/100000000)&lt;2004,1,0)))</f>
        <v/>
      </c>
      <c r="BZ119" s="82" t="str">
        <f t="shared" si="179"/>
        <v/>
      </c>
      <c r="CA119" s="49" t="str">
        <f t="shared" si="180"/>
        <v/>
      </c>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c r="A120" s="668"/>
      <c r="B120" s="643"/>
      <c r="C120" s="418"/>
      <c r="D120" s="418"/>
      <c r="E120" s="438" t="s">
        <v>350</v>
      </c>
      <c r="F120" s="128"/>
      <c r="G120" s="129"/>
      <c r="H120" s="129">
        <f>SUM(H116:H119)</f>
        <v>415200</v>
      </c>
      <c r="I120" s="129"/>
      <c r="J120" s="129">
        <f t="shared" ref="J120:L120" si="223">SUM(J116:J119)</f>
        <v>0</v>
      </c>
      <c r="K120" s="129">
        <f t="shared" si="223"/>
        <v>415200</v>
      </c>
      <c r="L120" s="129">
        <f t="shared" si="223"/>
        <v>415200</v>
      </c>
      <c r="M120" s="130"/>
      <c r="N120" s="165"/>
      <c r="O120" s="165"/>
      <c r="P120" s="165"/>
      <c r="Q120" s="165"/>
      <c r="R120" s="52"/>
      <c r="S120" s="1"/>
      <c r="T120" s="75"/>
      <c r="U120" s="75"/>
      <c r="V120" s="75"/>
      <c r="W120" s="75"/>
      <c r="X120" s="75"/>
      <c r="Y120" s="75"/>
      <c r="Z120" s="75"/>
      <c r="AA120" s="75"/>
      <c r="AB120" s="75"/>
      <c r="AC120" s="75"/>
      <c r="AD120" s="75"/>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60"/>
      <c r="BX120" s="60"/>
      <c r="BZ120" s="82" t="str">
        <f t="shared" si="179"/>
        <v/>
      </c>
      <c r="CA120" s="49" t="str">
        <f t="shared" si="180"/>
        <v/>
      </c>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c r="A121" s="668"/>
      <c r="B121" s="643"/>
      <c r="C121" s="418"/>
      <c r="D121" s="418"/>
      <c r="E121" s="438" t="s">
        <v>351</v>
      </c>
      <c r="F121" s="128"/>
      <c r="G121" s="129"/>
      <c r="H121" s="170">
        <f>H114+H120</f>
        <v>830400</v>
      </c>
      <c r="I121" s="170"/>
      <c r="J121" s="170">
        <f t="shared" ref="J121:L121" si="224">J114+J120</f>
        <v>0</v>
      </c>
      <c r="K121" s="170">
        <f t="shared" si="224"/>
        <v>830400</v>
      </c>
      <c r="L121" s="170">
        <f t="shared" si="224"/>
        <v>830400</v>
      </c>
      <c r="M121" s="130"/>
      <c r="N121" s="165"/>
      <c r="O121" s="165"/>
      <c r="P121" s="165"/>
      <c r="Q121" s="165"/>
      <c r="R121" s="52"/>
      <c r="S121" s="1"/>
      <c r="T121" s="75"/>
      <c r="U121" s="75"/>
      <c r="V121" s="75"/>
      <c r="W121" s="75"/>
      <c r="X121" s="75"/>
      <c r="Y121" s="75"/>
      <c r="Z121" s="75"/>
      <c r="AA121" s="75"/>
      <c r="AB121" s="75"/>
      <c r="AC121" s="75"/>
      <c r="AD121" s="75"/>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60"/>
      <c r="BX121" s="60"/>
      <c r="BZ121" s="82" t="str">
        <f t="shared" si="179"/>
        <v/>
      </c>
      <c r="CA121" s="49" t="str">
        <f t="shared" si="180"/>
        <v/>
      </c>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69"/>
      <c r="B122" s="445"/>
      <c r="C122" s="446"/>
      <c r="D122" s="447"/>
      <c r="E122" s="448" t="s">
        <v>352</v>
      </c>
      <c r="F122" s="449"/>
      <c r="G122" s="451"/>
      <c r="H122" s="452">
        <f>H86+H108+H121</f>
        <v>23949589</v>
      </c>
      <c r="I122" s="452"/>
      <c r="J122" s="452">
        <f t="shared" ref="J122:L122" si="225">J86+J108+J121</f>
        <v>214400</v>
      </c>
      <c r="K122" s="452">
        <f t="shared" si="225"/>
        <v>21245781</v>
      </c>
      <c r="L122" s="452">
        <f t="shared" si="225"/>
        <v>18440104</v>
      </c>
      <c r="M122" s="453"/>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82" t="str">
        <f t="shared" si="179"/>
        <v/>
      </c>
      <c r="CA122" s="49" t="str">
        <f t="shared" si="180"/>
        <v/>
      </c>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69"/>
      <c r="B123" s="445"/>
      <c r="C123" s="446"/>
      <c r="D123" s="447"/>
      <c r="E123" s="448" t="s">
        <v>192</v>
      </c>
      <c r="F123" s="449"/>
      <c r="G123" s="451"/>
      <c r="H123" s="455"/>
      <c r="I123" s="456"/>
      <c r="J123" s="455"/>
      <c r="K123" s="455">
        <f>Master!K12</f>
        <v>0</v>
      </c>
      <c r="L123" s="455">
        <f>'Pending TA-Med List'!I30+Master!I12+Master!J12</f>
        <v>4500</v>
      </c>
      <c r="M123" s="453"/>
      <c r="N123" s="167"/>
      <c r="O123" s="167"/>
      <c r="P123" s="167"/>
      <c r="Q123" s="167">
        <v>0</v>
      </c>
      <c r="R123" s="52"/>
      <c r="S123" s="1"/>
      <c r="T123" s="75"/>
      <c r="U123" s="75"/>
      <c r="V123" s="75"/>
      <c r="W123" s="75"/>
      <c r="X123" s="75"/>
      <c r="Y123" s="75"/>
      <c r="Z123" s="75"/>
      <c r="AA123" s="75"/>
      <c r="AB123" s="75"/>
      <c r="AC123" s="75"/>
      <c r="AD123" s="60"/>
      <c r="AE123" s="75"/>
      <c r="AF123" s="75"/>
      <c r="AG123" s="75"/>
      <c r="AH123" s="75"/>
      <c r="AI123" s="75"/>
      <c r="AJ123" s="75"/>
      <c r="AK123" s="75"/>
      <c r="AL123" s="75"/>
      <c r="AM123" s="75"/>
      <c r="AN123" s="78"/>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60"/>
      <c r="BV123" s="60"/>
      <c r="BW123" s="60"/>
      <c r="BX123" s="60"/>
      <c r="BY123" s="49"/>
      <c r="BZ123" s="82" t="str">
        <f t="shared" si="179"/>
        <v/>
      </c>
      <c r="CA123" s="49" t="str">
        <f t="shared" si="180"/>
        <v/>
      </c>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s="76" customFormat="1" ht="15.75">
      <c r="A124" s="669"/>
      <c r="B124" s="445"/>
      <c r="C124" s="446"/>
      <c r="D124" s="447"/>
      <c r="E124" s="448" t="s">
        <v>193</v>
      </c>
      <c r="F124" s="449"/>
      <c r="G124" s="451"/>
      <c r="H124" s="455"/>
      <c r="I124" s="456"/>
      <c r="J124" s="455"/>
      <c r="K124" s="455">
        <f>Master!K13</f>
        <v>0</v>
      </c>
      <c r="L124" s="455">
        <f>'Pending TA-Med List'!R30+Master!I13+Master!J13</f>
        <v>1000</v>
      </c>
      <c r="M124" s="453"/>
      <c r="N124" s="167"/>
      <c r="O124" s="167"/>
      <c r="P124" s="167"/>
      <c r="Q124" s="167">
        <v>0</v>
      </c>
      <c r="R124" s="52"/>
      <c r="S124" s="1"/>
      <c r="T124" s="75"/>
      <c r="U124" s="75"/>
      <c r="V124" s="75"/>
      <c r="W124" s="75"/>
      <c r="X124" s="75"/>
      <c r="Y124" s="75"/>
      <c r="Z124" s="75"/>
      <c r="AA124" s="75"/>
      <c r="AB124" s="75"/>
      <c r="AC124" s="75"/>
      <c r="AD124" s="60"/>
      <c r="AE124" s="75"/>
      <c r="AF124" s="75"/>
      <c r="AG124" s="75"/>
      <c r="AH124" s="75"/>
      <c r="AI124" s="75"/>
      <c r="AJ124" s="75"/>
      <c r="AK124" s="75"/>
      <c r="AL124" s="75"/>
      <c r="AM124" s="75"/>
      <c r="AN124" s="78"/>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60"/>
      <c r="BV124" s="60"/>
      <c r="BW124" s="60"/>
      <c r="BX124" s="60"/>
      <c r="BY124" s="49"/>
      <c r="BZ124" s="82" t="str">
        <f t="shared" si="179"/>
        <v/>
      </c>
      <c r="CA124" s="49" t="str">
        <f t="shared" si="180"/>
        <v/>
      </c>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row>
    <row r="125" spans="1:101" s="76" customFormat="1" ht="15.75">
      <c r="A125" s="670"/>
      <c r="B125" s="450"/>
      <c r="C125" s="457"/>
      <c r="D125" s="457"/>
      <c r="E125" s="458" t="s">
        <v>194</v>
      </c>
      <c r="F125" s="449"/>
      <c r="G125" s="451"/>
      <c r="H125" s="452">
        <f>SUM(H122:H124)</f>
        <v>23949589</v>
      </c>
      <c r="I125" s="452"/>
      <c r="J125" s="452">
        <f>SUM(J122:J124)</f>
        <v>214400</v>
      </c>
      <c r="K125" s="452">
        <f>SUM(K122:K124)</f>
        <v>21245781</v>
      </c>
      <c r="L125" s="452">
        <f>SUM(L122:L124)</f>
        <v>18445604</v>
      </c>
      <c r="M125" s="454"/>
      <c r="N125" s="165"/>
      <c r="O125" s="165"/>
      <c r="P125" s="165"/>
      <c r="Q125" s="165">
        <f>SUM(Q12:Q124)</f>
        <v>101610</v>
      </c>
      <c r="R125" s="84"/>
      <c r="S125" s="85"/>
      <c r="T125" s="86"/>
      <c r="U125" s="86"/>
      <c r="V125" s="86"/>
      <c r="W125" s="86"/>
      <c r="X125" s="86">
        <f t="shared" ref="X125:AC125" si="226">SUM(X12:X124)</f>
        <v>0</v>
      </c>
      <c r="Y125" s="86">
        <f t="shared" si="226"/>
        <v>0</v>
      </c>
      <c r="Z125" s="86">
        <f t="shared" si="226"/>
        <v>0</v>
      </c>
      <c r="AA125" s="86">
        <f t="shared" si="226"/>
        <v>0</v>
      </c>
      <c r="AB125" s="86">
        <f t="shared" si="226"/>
        <v>0</v>
      </c>
      <c r="AC125" s="86">
        <f t="shared" si="226"/>
        <v>0</v>
      </c>
      <c r="AD125" s="78">
        <f t="shared" ref="AD125:AL125" si="227">SUM(AD12:AD106)</f>
        <v>1763200</v>
      </c>
      <c r="AE125" s="78">
        <f t="shared" si="227"/>
        <v>889200</v>
      </c>
      <c r="AF125" s="78">
        <f t="shared" si="227"/>
        <v>10435600</v>
      </c>
      <c r="AG125" s="78">
        <f t="shared" si="227"/>
        <v>0</v>
      </c>
      <c r="AH125" s="78">
        <f t="shared" si="227"/>
        <v>0</v>
      </c>
      <c r="AI125" s="78">
        <f t="shared" si="227"/>
        <v>0</v>
      </c>
      <c r="AJ125" s="78">
        <f t="shared" si="227"/>
        <v>0</v>
      </c>
      <c r="AK125" s="78">
        <f t="shared" si="227"/>
        <v>0</v>
      </c>
      <c r="AL125" s="78">
        <f t="shared" si="227"/>
        <v>0</v>
      </c>
      <c r="AM125" s="78" t="e">
        <f>SUM(AM28:AM106)</f>
        <v>#VALUE!</v>
      </c>
      <c r="AN125" s="78">
        <f t="shared" ref="AN125:BD125" si="228">SUM(AN12:AN106)</f>
        <v>721867</v>
      </c>
      <c r="AO125" s="78">
        <f t="shared" si="228"/>
        <v>0</v>
      </c>
      <c r="AP125" s="78">
        <f t="shared" si="228"/>
        <v>0</v>
      </c>
      <c r="AQ125" s="78">
        <f t="shared" si="228"/>
        <v>0</v>
      </c>
      <c r="AR125" s="78">
        <f t="shared" si="228"/>
        <v>12046667</v>
      </c>
      <c r="AS125" s="78">
        <f t="shared" si="228"/>
        <v>12046667</v>
      </c>
      <c r="AT125" s="78">
        <f t="shared" si="228"/>
        <v>0</v>
      </c>
      <c r="AU125" s="78">
        <f t="shared" si="228"/>
        <v>0</v>
      </c>
      <c r="AV125" s="78">
        <f t="shared" si="228"/>
        <v>12046667</v>
      </c>
      <c r="AW125" s="78">
        <f t="shared" si="228"/>
        <v>847200</v>
      </c>
      <c r="AX125" s="78">
        <f t="shared" si="228"/>
        <v>9943200</v>
      </c>
      <c r="AY125" s="78">
        <f t="shared" si="228"/>
        <v>0</v>
      </c>
      <c r="AZ125" s="78">
        <f t="shared" si="228"/>
        <v>0</v>
      </c>
      <c r="BA125" s="78">
        <f t="shared" si="228"/>
        <v>0</v>
      </c>
      <c r="BB125" s="78">
        <f t="shared" si="228"/>
        <v>0</v>
      </c>
      <c r="BC125" s="78">
        <f t="shared" si="228"/>
        <v>0</v>
      </c>
      <c r="BD125" s="78">
        <f t="shared" si="228"/>
        <v>0</v>
      </c>
      <c r="BE125" s="78" t="e">
        <f>SUM(BE28:BE106)</f>
        <v>#VALUE!</v>
      </c>
      <c r="BF125" s="78">
        <f t="shared" ref="BF125:BW125" si="229">SUM(BF12:BF106)</f>
        <v>700878</v>
      </c>
      <c r="BG125" s="78">
        <f t="shared" si="229"/>
        <v>0</v>
      </c>
      <c r="BH125" s="78">
        <f t="shared" si="229"/>
        <v>0</v>
      </c>
      <c r="BI125" s="78">
        <f t="shared" si="229"/>
        <v>0</v>
      </c>
      <c r="BJ125" s="78">
        <f t="shared" si="229"/>
        <v>11491278</v>
      </c>
      <c r="BK125" s="78">
        <f t="shared" si="229"/>
        <v>11491278</v>
      </c>
      <c r="BL125" s="78">
        <f t="shared" si="229"/>
        <v>0</v>
      </c>
      <c r="BM125" s="78">
        <f t="shared" si="229"/>
        <v>0</v>
      </c>
      <c r="BN125" s="78">
        <f t="shared" si="229"/>
        <v>11491278</v>
      </c>
      <c r="BO125" s="78">
        <f t="shared" si="229"/>
        <v>1</v>
      </c>
      <c r="BP125" s="78">
        <f t="shared" si="229"/>
        <v>73</v>
      </c>
      <c r="BQ125" s="78">
        <f t="shared" si="229"/>
        <v>0</v>
      </c>
      <c r="BR125" s="78">
        <f t="shared" si="229"/>
        <v>0</v>
      </c>
      <c r="BS125" s="78">
        <f t="shared" si="229"/>
        <v>0</v>
      </c>
      <c r="BT125" s="78">
        <f t="shared" si="229"/>
        <v>56</v>
      </c>
      <c r="BU125" s="78">
        <f t="shared" si="229"/>
        <v>0</v>
      </c>
      <c r="BV125" s="78">
        <f t="shared" si="229"/>
        <v>75</v>
      </c>
      <c r="BW125" s="78">
        <f t="shared" si="229"/>
        <v>0</v>
      </c>
      <c r="BX125" s="78"/>
      <c r="BZ125" s="82" t="str">
        <f t="shared" si="179"/>
        <v/>
      </c>
      <c r="CA125" s="49" t="str">
        <f t="shared" si="180"/>
        <v/>
      </c>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row>
    <row r="126" spans="1:101" ht="18.75">
      <c r="A126" s="47"/>
      <c r="B126" s="853" t="s">
        <v>550</v>
      </c>
      <c r="C126" s="853"/>
      <c r="D126" s="853"/>
      <c r="E126" s="853"/>
      <c r="F126" s="853"/>
      <c r="G126" s="853"/>
      <c r="H126" s="853"/>
      <c r="I126" s="853"/>
      <c r="J126" s="853"/>
      <c r="K126" s="47"/>
      <c r="L126" s="47"/>
      <c r="M126" s="47"/>
      <c r="N126" s="47"/>
      <c r="O126" s="47"/>
      <c r="P126" s="47"/>
      <c r="Q126" s="47"/>
      <c r="S126" s="2"/>
    </row>
    <row r="127" spans="1:101">
      <c r="A127" s="47"/>
      <c r="B127" s="47"/>
      <c r="C127" s="47"/>
      <c r="D127" s="47"/>
      <c r="E127" s="47"/>
      <c r="F127" s="47"/>
      <c r="G127" s="47"/>
      <c r="H127" s="47"/>
      <c r="I127" s="48"/>
      <c r="J127" s="47"/>
      <c r="K127" s="47"/>
      <c r="L127" s="854"/>
      <c r="M127" s="854"/>
      <c r="N127" s="47"/>
      <c r="O127" s="47"/>
      <c r="P127" s="47"/>
      <c r="Q127" s="47"/>
      <c r="S127" s="2"/>
    </row>
    <row r="128" spans="1:101" ht="18.75">
      <c r="A128" s="47"/>
      <c r="B128" s="87"/>
      <c r="C128" s="87"/>
      <c r="D128" s="87"/>
      <c r="E128" s="87"/>
      <c r="F128" s="47"/>
      <c r="G128" s="47"/>
      <c r="H128" s="47"/>
      <c r="I128" s="48"/>
      <c r="J128" s="47"/>
      <c r="K128" s="848" t="str">
        <f>Master!C2</f>
        <v>iz/kkukpk;Z</v>
      </c>
      <c r="L128" s="848"/>
      <c r="M128" s="848"/>
      <c r="N128" s="135"/>
      <c r="O128" s="135"/>
      <c r="P128" s="135"/>
      <c r="Q128" s="135"/>
      <c r="S128" s="88"/>
    </row>
    <row r="129" spans="1:19" ht="18.75">
      <c r="A129" s="47"/>
      <c r="B129" s="87"/>
      <c r="C129" s="87"/>
      <c r="D129" s="87"/>
      <c r="E129" s="87"/>
      <c r="F129" s="47"/>
      <c r="G129" s="47"/>
      <c r="H129" s="47"/>
      <c r="I129" s="48"/>
      <c r="J129" s="47"/>
      <c r="K129" s="849" t="str">
        <f>Master!D2</f>
        <v>egkRek xka/kh jktdh; fo|ky; ¼vaxzsth ek/;e½ cj ] C;koj</v>
      </c>
      <c r="L129" s="849"/>
      <c r="M129" s="849"/>
      <c r="N129" s="136"/>
      <c r="O129" s="136"/>
      <c r="P129" s="136"/>
      <c r="Q129" s="136"/>
      <c r="S129" s="89"/>
    </row>
    <row r="130" spans="1:19" ht="18.75">
      <c r="A130" s="47"/>
      <c r="B130" s="87"/>
      <c r="C130" s="87"/>
      <c r="D130" s="87"/>
      <c r="E130" s="87"/>
      <c r="F130" s="47"/>
      <c r="G130" s="47"/>
      <c r="H130" s="47"/>
      <c r="I130" s="48"/>
      <c r="J130" s="47"/>
      <c r="K130" s="849"/>
      <c r="L130" s="849"/>
      <c r="M130" s="849"/>
      <c r="N130" s="136"/>
      <c r="O130" s="136"/>
      <c r="P130" s="136"/>
      <c r="Q130" s="136"/>
      <c r="S130" s="89"/>
    </row>
    <row r="131" spans="1:19" ht="18.75">
      <c r="A131" s="47"/>
      <c r="B131" s="87"/>
      <c r="C131" s="87"/>
      <c r="D131" s="87"/>
      <c r="E131" s="87"/>
      <c r="F131" s="47"/>
      <c r="G131" s="47"/>
      <c r="H131" s="47"/>
      <c r="I131" s="48"/>
      <c r="J131" s="47"/>
      <c r="K131" s="849"/>
      <c r="L131" s="849"/>
      <c r="M131" s="849"/>
      <c r="N131" s="136"/>
      <c r="O131" s="136"/>
      <c r="P131" s="136"/>
      <c r="Q131" s="136"/>
      <c r="S131" s="89"/>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144" spans="1:19">
      <c r="B144" s="51"/>
      <c r="C144" s="51"/>
      <c r="D144" s="51"/>
      <c r="E144" s="51"/>
    </row>
    <row r="145" spans="2:5">
      <c r="B145" s="51"/>
      <c r="C145" s="51"/>
      <c r="D145" s="51"/>
      <c r="E145" s="51"/>
    </row>
    <row r="471" spans="4:4" ht="15.75">
      <c r="D471" s="90"/>
    </row>
    <row r="481" spans="3:5" ht="15.75">
      <c r="C481" s="90" t="s">
        <v>195</v>
      </c>
      <c r="D481" s="91" t="s">
        <v>53</v>
      </c>
      <c r="E481" s="92">
        <v>6600</v>
      </c>
    </row>
    <row r="482" spans="3:5" ht="15.75">
      <c r="C482" s="90" t="s">
        <v>696</v>
      </c>
      <c r="D482" s="91" t="s">
        <v>695</v>
      </c>
      <c r="E482" s="92">
        <v>5400</v>
      </c>
    </row>
    <row r="483" spans="3:5" ht="15.75">
      <c r="C483" s="90" t="s">
        <v>196</v>
      </c>
      <c r="D483" s="91" t="s">
        <v>197</v>
      </c>
      <c r="E483" s="92">
        <v>5400</v>
      </c>
    </row>
    <row r="484" spans="3:5" ht="15.75">
      <c r="C484" s="90" t="s">
        <v>198</v>
      </c>
      <c r="D484" s="91" t="s">
        <v>199</v>
      </c>
      <c r="E484" s="92">
        <v>4800</v>
      </c>
    </row>
    <row r="485" spans="3:5" ht="15.75">
      <c r="C485" s="90" t="s">
        <v>200</v>
      </c>
      <c r="D485" s="91" t="s">
        <v>201</v>
      </c>
      <c r="E485" s="92">
        <v>4800</v>
      </c>
    </row>
    <row r="486" spans="3:5" ht="15.75">
      <c r="C486" s="90" t="s">
        <v>202</v>
      </c>
      <c r="D486" s="91" t="s">
        <v>203</v>
      </c>
      <c r="E486" s="92">
        <v>4800</v>
      </c>
    </row>
    <row r="487" spans="3:5" ht="15.75">
      <c r="C487" s="90" t="s">
        <v>204</v>
      </c>
      <c r="D487" s="91" t="s">
        <v>58</v>
      </c>
      <c r="E487" s="92">
        <v>4800</v>
      </c>
    </row>
    <row r="488" spans="3:5" ht="15.75">
      <c r="C488" s="90" t="s">
        <v>205</v>
      </c>
      <c r="D488" s="91" t="s">
        <v>206</v>
      </c>
      <c r="E488" s="92">
        <v>4800</v>
      </c>
    </row>
    <row r="489" spans="3:5" ht="15.75">
      <c r="C489" s="90" t="s">
        <v>207</v>
      </c>
      <c r="D489" s="91" t="s">
        <v>208</v>
      </c>
      <c r="E489" s="92">
        <v>4800</v>
      </c>
    </row>
    <row r="490" spans="3:5" ht="15.75">
      <c r="C490" s="90" t="s">
        <v>209</v>
      </c>
      <c r="D490" s="91" t="s">
        <v>60</v>
      </c>
      <c r="E490" s="92">
        <v>4200</v>
      </c>
    </row>
    <row r="491" spans="3:5" ht="15.75">
      <c r="C491" s="90" t="s">
        <v>210</v>
      </c>
      <c r="D491" s="93" t="s">
        <v>211</v>
      </c>
      <c r="E491" s="92">
        <v>4200</v>
      </c>
    </row>
    <row r="492" spans="3:5" ht="15.75">
      <c r="C492" s="90" t="s">
        <v>212</v>
      </c>
      <c r="D492" s="91" t="s">
        <v>63</v>
      </c>
      <c r="E492" s="92">
        <v>4200</v>
      </c>
    </row>
    <row r="493" spans="3:5" ht="15.75">
      <c r="C493" s="90" t="s">
        <v>213</v>
      </c>
      <c r="D493" s="91" t="s">
        <v>214</v>
      </c>
      <c r="E493" s="92">
        <v>3600</v>
      </c>
    </row>
    <row r="494" spans="3:5" ht="15.75">
      <c r="C494" s="90" t="s">
        <v>215</v>
      </c>
      <c r="D494" s="91" t="s">
        <v>62</v>
      </c>
      <c r="E494" s="92">
        <v>3600</v>
      </c>
    </row>
    <row r="495" spans="3:5" ht="15.75">
      <c r="C495" s="90" t="s">
        <v>216</v>
      </c>
      <c r="D495" s="91" t="s">
        <v>217</v>
      </c>
      <c r="E495" s="92">
        <v>3600</v>
      </c>
    </row>
    <row r="496" spans="3:5" ht="15.75">
      <c r="C496" s="90" t="s">
        <v>218</v>
      </c>
      <c r="D496" s="91" t="s">
        <v>219</v>
      </c>
      <c r="E496" s="92">
        <v>3600</v>
      </c>
    </row>
    <row r="497" spans="3:5" ht="15.75">
      <c r="C497" s="90" t="s">
        <v>220</v>
      </c>
      <c r="D497" s="91" t="s">
        <v>221</v>
      </c>
      <c r="E497" s="92">
        <v>2800</v>
      </c>
    </row>
    <row r="498" spans="3:5" ht="15.75">
      <c r="C498" s="90" t="s">
        <v>222</v>
      </c>
      <c r="D498" s="91" t="s">
        <v>223</v>
      </c>
      <c r="E498" s="92">
        <v>2800</v>
      </c>
    </row>
    <row r="499" spans="3:5" ht="15.75">
      <c r="C499" s="90" t="s">
        <v>224</v>
      </c>
      <c r="D499" s="91" t="s">
        <v>225</v>
      </c>
      <c r="E499" s="92">
        <v>2400</v>
      </c>
    </row>
    <row r="500" spans="3:5" ht="15.75">
      <c r="C500" s="90" t="s">
        <v>226</v>
      </c>
      <c r="D500" s="91" t="s">
        <v>64</v>
      </c>
      <c r="E500" s="92">
        <v>2400</v>
      </c>
    </row>
    <row r="501" spans="3:5" ht="15.75">
      <c r="C501" s="90" t="s">
        <v>227</v>
      </c>
      <c r="D501" s="91" t="s">
        <v>65</v>
      </c>
      <c r="E501" s="92">
        <v>1700</v>
      </c>
    </row>
    <row r="502" spans="3:5" ht="15.75">
      <c r="C502" s="90" t="s">
        <v>228</v>
      </c>
      <c r="D502" s="91" t="s">
        <v>229</v>
      </c>
      <c r="E502" s="92">
        <v>1700</v>
      </c>
    </row>
    <row r="503" spans="3:5" ht="15.75">
      <c r="C503" s="90" t="s">
        <v>230</v>
      </c>
      <c r="D503" s="91" t="s">
        <v>231</v>
      </c>
      <c r="E503" s="92">
        <v>1700</v>
      </c>
    </row>
  </sheetData>
  <protectedRanges>
    <protectedRange sqref="E12:E25 E28:E71 T12:W25 V28:W71 E88:E95 E98:E106" name="Range1_3"/>
    <protectedRange sqref="F88:F95 F98:F106" name="Range1"/>
    <protectedRange sqref="F12:G25 F28:G71" name="Range1_3_1"/>
    <protectedRange sqref="F110:F113" name="Range1_1"/>
    <protectedRange sqref="F116:F119" name="Range1_2"/>
  </protectedRanges>
  <mergeCells count="39">
    <mergeCell ref="X9:Y9"/>
    <mergeCell ref="Z9:AA9"/>
    <mergeCell ref="AB9:AC9"/>
    <mergeCell ref="A26:C26"/>
    <mergeCell ref="C77:E77"/>
    <mergeCell ref="M9:M10"/>
    <mergeCell ref="S9:S10"/>
    <mergeCell ref="T9:T10"/>
    <mergeCell ref="U9:U10"/>
    <mergeCell ref="V9:V10"/>
    <mergeCell ref="W9:W10"/>
    <mergeCell ref="G9:G10"/>
    <mergeCell ref="H9:H10"/>
    <mergeCell ref="I9:J9"/>
    <mergeCell ref="K9:K10"/>
    <mergeCell ref="K128:M128"/>
    <mergeCell ref="K129:M131"/>
    <mergeCell ref="L9:L10"/>
    <mergeCell ref="A9:A10"/>
    <mergeCell ref="B9:B10"/>
    <mergeCell ref="C9:C10"/>
    <mergeCell ref="D9:D10"/>
    <mergeCell ref="E9:E10"/>
    <mergeCell ref="A97:M97"/>
    <mergeCell ref="A87:M87"/>
    <mergeCell ref="A109:M109"/>
    <mergeCell ref="A115:M115"/>
    <mergeCell ref="B126:J126"/>
    <mergeCell ref="L127:M127"/>
    <mergeCell ref="A7:L7"/>
    <mergeCell ref="M7:M8"/>
    <mergeCell ref="K1:M1"/>
    <mergeCell ref="A27:M27"/>
    <mergeCell ref="F9:F10"/>
    <mergeCell ref="A2:M2"/>
    <mergeCell ref="A3:M3"/>
    <mergeCell ref="A4:M4"/>
    <mergeCell ref="A5:M5"/>
    <mergeCell ref="A6:M6"/>
  </mergeCells>
  <conditionalFormatting sqref="B1:B6 B88:B96 B98:B108 B110:B114 B9:B26 B116:B1048576 B28:B74 B76:B85">
    <cfRule type="containsText" dxfId="39" priority="3" operator="containsText" text="in fjDr">
      <formula>NOT(ISERROR(SEARCH("in fjDr",B1)))</formula>
    </cfRule>
  </conditionalFormatting>
  <pageMargins left="0.7" right="0.32" top="0.25" bottom="0.25" header="0.3" footer="0.3"/>
  <pageSetup paperSize="9" scale="77" fitToHeight="3" orientation="landscape" blackAndWhite="1" horizontalDpi="300" verticalDpi="300" r:id="rId1"/>
</worksheet>
</file>

<file path=xl/worksheets/sheet30.xml><?xml version="1.0" encoding="utf-8"?>
<worksheet xmlns="http://schemas.openxmlformats.org/spreadsheetml/2006/main" xmlns:r="http://schemas.openxmlformats.org/officeDocument/2006/relationships">
  <sheetPr codeName="Sheet28">
    <tabColor rgb="FF00B050"/>
  </sheetPr>
  <dimension ref="A1:L46"/>
  <sheetViews>
    <sheetView view="pageBreakPreview" topLeftCell="A6" zoomScale="110" zoomScaleSheetLayoutView="110" workbookViewId="0">
      <selection activeCell="G21" sqref="G21"/>
    </sheetView>
  </sheetViews>
  <sheetFormatPr defaultRowHeight="15"/>
  <cols>
    <col min="2" max="2" width="49" customWidth="1"/>
    <col min="3" max="3" width="27.875" customWidth="1"/>
  </cols>
  <sheetData>
    <row r="1" spans="1:12" ht="23.25">
      <c r="A1" s="1149" t="str">
        <f>Summary!A2</f>
        <v>iz/kkukpk;Z egkRek xka/kh jktdh; fo|ky; ¼vaxzsth ek/;e½ cj ] C;koj</v>
      </c>
      <c r="B1" s="1149"/>
      <c r="C1" s="1149"/>
      <c r="D1" s="320"/>
      <c r="E1" s="320"/>
      <c r="F1" s="320"/>
      <c r="G1" s="320"/>
      <c r="H1" s="320"/>
      <c r="I1" s="320"/>
      <c r="J1" s="320"/>
      <c r="K1" s="320"/>
      <c r="L1" s="320"/>
    </row>
    <row r="2" spans="1:12" ht="18.75">
      <c r="A2" s="1153" t="s">
        <v>820</v>
      </c>
      <c r="B2" s="1153"/>
      <c r="C2" s="322" t="s">
        <v>481</v>
      </c>
      <c r="D2" s="320"/>
      <c r="E2" s="320"/>
      <c r="F2" s="320"/>
      <c r="H2" s="320"/>
      <c r="I2" s="320"/>
      <c r="J2" s="320"/>
      <c r="K2" s="320"/>
      <c r="L2" s="320"/>
    </row>
    <row r="3" spans="1:12" ht="18.75">
      <c r="A3" s="321"/>
      <c r="B3" s="321"/>
      <c r="C3" s="321"/>
      <c r="D3" s="320"/>
      <c r="E3" s="320"/>
      <c r="F3" s="320"/>
      <c r="G3" s="320"/>
      <c r="H3" s="320"/>
      <c r="I3" s="320"/>
      <c r="J3" s="320"/>
      <c r="K3" s="320"/>
      <c r="L3" s="320"/>
    </row>
    <row r="4" spans="1:12" ht="18.75">
      <c r="A4" s="321" t="s">
        <v>482</v>
      </c>
      <c r="B4" s="321"/>
      <c r="C4" s="321"/>
      <c r="D4" s="320"/>
      <c r="E4" s="320"/>
      <c r="F4" s="320"/>
      <c r="G4" s="320"/>
      <c r="H4" s="320"/>
      <c r="I4" s="320"/>
      <c r="J4" s="320"/>
      <c r="K4" s="320"/>
      <c r="L4" s="320"/>
    </row>
    <row r="5" spans="1:12" ht="18.75">
      <c r="A5" s="321"/>
      <c r="B5" s="321" t="s">
        <v>612</v>
      </c>
      <c r="C5" s="36"/>
      <c r="D5" s="320"/>
      <c r="E5" s="320"/>
      <c r="F5" s="320"/>
      <c r="G5" s="320"/>
      <c r="H5" s="320"/>
      <c r="I5" s="320"/>
      <c r="J5" s="320"/>
      <c r="K5" s="320"/>
      <c r="L5" s="320"/>
    </row>
    <row r="6" spans="1:12" ht="18.75">
      <c r="A6" s="321"/>
      <c r="B6" s="321" t="s">
        <v>613</v>
      </c>
      <c r="C6" s="36"/>
      <c r="D6" s="320"/>
      <c r="E6" s="320"/>
      <c r="F6" s="320"/>
      <c r="G6" s="320"/>
      <c r="H6" s="320"/>
      <c r="I6" s="320"/>
      <c r="J6" s="320"/>
      <c r="K6" s="320"/>
      <c r="L6" s="320"/>
    </row>
    <row r="7" spans="1:12" ht="18.75">
      <c r="A7" s="321"/>
      <c r="B7" s="321" t="s">
        <v>611</v>
      </c>
      <c r="C7" s="36"/>
      <c r="D7" s="320"/>
      <c r="E7" s="320"/>
      <c r="F7" s="320"/>
      <c r="G7" s="320"/>
      <c r="H7" s="320"/>
      <c r="I7" s="320"/>
      <c r="J7" s="320"/>
      <c r="K7" s="320"/>
      <c r="L7" s="320"/>
    </row>
    <row r="8" spans="1:12" ht="18.75">
      <c r="A8" s="321"/>
      <c r="B8" s="321"/>
      <c r="C8" s="36"/>
      <c r="D8" s="320"/>
      <c r="E8" s="320"/>
      <c r="F8" s="320"/>
      <c r="G8" s="320"/>
      <c r="H8" s="320"/>
      <c r="I8" s="320"/>
      <c r="J8" s="320"/>
      <c r="K8" s="320"/>
      <c r="L8" s="320"/>
    </row>
    <row r="9" spans="1:12" ht="18.75" customHeight="1">
      <c r="A9" s="1150" t="s">
        <v>483</v>
      </c>
      <c r="B9" s="1151" t="s">
        <v>821</v>
      </c>
      <c r="C9" s="1151"/>
      <c r="E9" s="320"/>
      <c r="F9" s="320"/>
      <c r="G9" s="320"/>
      <c r="H9" s="320"/>
      <c r="I9" s="320"/>
      <c r="J9" s="320"/>
      <c r="K9" s="320"/>
      <c r="L9" s="320"/>
    </row>
    <row r="10" spans="1:12" ht="18.75">
      <c r="A10" s="1150"/>
      <c r="B10" s="1151"/>
      <c r="C10" s="1151"/>
      <c r="D10" s="320"/>
      <c r="E10" s="320"/>
      <c r="F10" s="320"/>
      <c r="G10" s="320"/>
      <c r="H10" s="320"/>
      <c r="I10" s="320"/>
      <c r="J10" s="320"/>
      <c r="K10" s="320"/>
      <c r="L10" s="320"/>
    </row>
    <row r="11" spans="1:12" ht="18.75">
      <c r="A11" s="323"/>
      <c r="B11" s="324"/>
      <c r="C11" s="36"/>
      <c r="D11" s="320"/>
      <c r="E11" s="320"/>
      <c r="F11" s="320"/>
      <c r="G11" s="320"/>
      <c r="H11" s="320"/>
      <c r="I11" s="320"/>
      <c r="J11" s="320"/>
      <c r="K11" s="320"/>
      <c r="L11" s="320"/>
    </row>
    <row r="12" spans="1:12" ht="18.75">
      <c r="A12" s="321" t="s">
        <v>484</v>
      </c>
      <c r="B12" s="321"/>
      <c r="C12" s="321"/>
      <c r="D12" s="320"/>
      <c r="E12" s="320"/>
      <c r="F12" s="320"/>
      <c r="G12" s="320"/>
      <c r="H12" s="320"/>
      <c r="I12" s="320"/>
      <c r="J12" s="320"/>
      <c r="K12" s="320"/>
      <c r="L12" s="320"/>
    </row>
    <row r="13" spans="1:12" ht="18.75">
      <c r="A13" s="1152" t="s">
        <v>822</v>
      </c>
      <c r="B13" s="1152"/>
      <c r="C13" s="1152"/>
      <c r="D13" s="320"/>
      <c r="E13" s="320"/>
      <c r="F13" s="320"/>
      <c r="G13" s="320"/>
      <c r="H13" s="320"/>
      <c r="I13" s="320"/>
      <c r="J13" s="320"/>
      <c r="K13" s="320"/>
      <c r="L13" s="320"/>
    </row>
    <row r="14" spans="1:12" ht="18.75">
      <c r="A14" s="1152"/>
      <c r="B14" s="1152"/>
      <c r="C14" s="1152"/>
      <c r="D14" s="320"/>
      <c r="E14" s="320"/>
      <c r="F14" s="320"/>
      <c r="G14" s="320"/>
      <c r="H14" s="320"/>
      <c r="I14" s="320"/>
      <c r="J14" s="320"/>
      <c r="K14" s="320"/>
      <c r="L14" s="320"/>
    </row>
    <row r="15" spans="1:12" ht="18.75">
      <c r="A15" s="1152"/>
      <c r="B15" s="1152"/>
      <c r="C15" s="1152"/>
      <c r="D15" s="320"/>
      <c r="E15" s="320"/>
      <c r="F15" s="320"/>
      <c r="G15" s="320"/>
      <c r="H15" s="320"/>
      <c r="I15" s="320"/>
      <c r="J15" s="320"/>
      <c r="K15" s="320"/>
      <c r="L15" s="320"/>
    </row>
    <row r="16" spans="1:12" ht="18.75">
      <c r="A16" s="321" t="s">
        <v>485</v>
      </c>
      <c r="B16" s="321"/>
      <c r="C16" s="321"/>
      <c r="D16" s="320"/>
      <c r="E16" s="320"/>
      <c r="F16" s="320"/>
      <c r="G16" s="320"/>
      <c r="H16" s="320"/>
      <c r="I16" s="320"/>
      <c r="J16" s="320"/>
      <c r="K16" s="320"/>
      <c r="L16" s="320"/>
    </row>
    <row r="17" spans="1:12" s="326" customFormat="1" ht="18.75">
      <c r="A17" s="321" t="s">
        <v>564</v>
      </c>
      <c r="B17" s="321"/>
      <c r="C17" s="321"/>
      <c r="D17" s="320"/>
      <c r="E17" s="320"/>
      <c r="F17" s="320"/>
      <c r="G17" s="320"/>
      <c r="H17" s="320"/>
      <c r="I17" s="320"/>
      <c r="J17" s="320"/>
      <c r="K17" s="320"/>
      <c r="L17" s="320"/>
    </row>
    <row r="18" spans="1:12" s="326" customFormat="1" ht="18.75">
      <c r="A18" s="321" t="s">
        <v>565</v>
      </c>
      <c r="B18" s="321"/>
      <c r="C18" s="321"/>
      <c r="D18" s="320"/>
      <c r="E18" s="320"/>
      <c r="F18" s="320"/>
      <c r="G18" s="320"/>
      <c r="H18" s="320"/>
      <c r="I18" s="320"/>
      <c r="J18" s="320"/>
      <c r="K18" s="320"/>
      <c r="L18" s="320"/>
    </row>
    <row r="19" spans="1:12" ht="18.75">
      <c r="A19" s="321" t="s">
        <v>566</v>
      </c>
      <c r="B19" s="321"/>
      <c r="C19" s="321"/>
      <c r="D19" s="320"/>
      <c r="E19" s="320"/>
      <c r="F19" s="320"/>
      <c r="G19" s="320"/>
      <c r="H19" s="320"/>
      <c r="I19" s="320"/>
      <c r="J19" s="320"/>
      <c r="K19" s="320"/>
      <c r="L19" s="320"/>
    </row>
    <row r="20" spans="1:12" ht="18.75">
      <c r="A20" s="321" t="s">
        <v>567</v>
      </c>
      <c r="B20" s="321"/>
      <c r="C20" s="321"/>
      <c r="D20" s="320"/>
      <c r="E20" s="320"/>
      <c r="F20" s="320"/>
      <c r="G20" s="320"/>
      <c r="H20" s="320"/>
      <c r="I20" s="320"/>
      <c r="J20" s="320"/>
      <c r="K20" s="320"/>
      <c r="L20" s="320"/>
    </row>
    <row r="21" spans="1:12" ht="18.75">
      <c r="A21" s="321" t="s">
        <v>568</v>
      </c>
      <c r="B21" s="321"/>
      <c r="C21" s="321"/>
      <c r="D21" s="320"/>
      <c r="E21" s="320"/>
      <c r="F21" s="320"/>
      <c r="G21" s="320"/>
      <c r="H21" s="320"/>
      <c r="I21" s="320"/>
      <c r="J21" s="320"/>
      <c r="K21" s="320"/>
      <c r="L21" s="320"/>
    </row>
    <row r="22" spans="1:12" ht="18.75">
      <c r="A22" s="321" t="s">
        <v>486</v>
      </c>
      <c r="B22" s="321"/>
      <c r="C22" s="321"/>
      <c r="D22" s="320"/>
      <c r="E22" s="320"/>
      <c r="F22" s="320"/>
      <c r="G22" s="320"/>
      <c r="H22" s="320"/>
      <c r="I22" s="320"/>
      <c r="J22" s="320"/>
      <c r="K22" s="320"/>
      <c r="L22" s="320"/>
    </row>
    <row r="23" spans="1:12" ht="18.75">
      <c r="A23" s="321" t="s">
        <v>487</v>
      </c>
      <c r="B23" s="321"/>
      <c r="C23" s="321"/>
      <c r="D23" s="320"/>
      <c r="E23" s="320"/>
      <c r="F23" s="320"/>
      <c r="G23" s="320"/>
      <c r="H23" s="320"/>
      <c r="I23" s="320"/>
      <c r="J23" s="320"/>
      <c r="K23" s="320"/>
      <c r="L23" s="320"/>
    </row>
    <row r="24" spans="1:12" ht="18.75">
      <c r="A24" s="321" t="s">
        <v>823</v>
      </c>
      <c r="B24" s="321"/>
      <c r="C24" s="321"/>
      <c r="D24" s="320"/>
      <c r="E24" s="320"/>
      <c r="F24" s="320"/>
      <c r="G24" s="320"/>
      <c r="H24" s="320"/>
      <c r="I24" s="320"/>
      <c r="J24" s="320"/>
      <c r="K24" s="320"/>
      <c r="L24" s="320"/>
    </row>
    <row r="25" spans="1:12" ht="18.75">
      <c r="A25" s="321" t="s">
        <v>488</v>
      </c>
      <c r="B25" s="321"/>
      <c r="C25" s="321"/>
      <c r="D25" s="320"/>
      <c r="E25" s="320"/>
      <c r="F25" s="320"/>
      <c r="G25" s="320"/>
      <c r="H25" s="320"/>
      <c r="I25" s="320"/>
      <c r="J25" s="320"/>
      <c r="K25" s="320"/>
      <c r="L25" s="320"/>
    </row>
    <row r="26" spans="1:12" ht="18.75">
      <c r="A26" s="321" t="s">
        <v>489</v>
      </c>
      <c r="B26" s="321"/>
      <c r="C26" s="321"/>
      <c r="D26" s="320"/>
      <c r="E26" s="320"/>
      <c r="F26" s="320"/>
      <c r="G26" s="320"/>
      <c r="H26" s="320"/>
      <c r="I26" s="320"/>
      <c r="J26" s="320"/>
      <c r="K26" s="320"/>
      <c r="L26" s="320"/>
    </row>
    <row r="27" spans="1:12" s="326" customFormat="1" ht="18.75">
      <c r="A27" s="321" t="s">
        <v>664</v>
      </c>
      <c r="B27" s="321"/>
      <c r="C27" s="321"/>
      <c r="D27" s="320"/>
      <c r="E27" s="320"/>
      <c r="F27" s="320"/>
      <c r="G27" s="320"/>
      <c r="H27" s="320"/>
      <c r="I27" s="320"/>
      <c r="J27" s="320"/>
      <c r="K27" s="320"/>
      <c r="L27" s="320"/>
    </row>
    <row r="28" spans="1:12" s="326" customFormat="1" ht="18.75">
      <c r="A28" s="321" t="s">
        <v>569</v>
      </c>
      <c r="B28" s="321"/>
      <c r="C28" s="321"/>
      <c r="D28" s="320"/>
      <c r="E28" s="320"/>
      <c r="F28" s="320"/>
      <c r="G28" s="320"/>
      <c r="H28" s="320"/>
      <c r="I28" s="320"/>
      <c r="J28" s="320"/>
      <c r="K28" s="320"/>
      <c r="L28" s="320"/>
    </row>
    <row r="29" spans="1:12" s="326" customFormat="1" ht="18.75">
      <c r="A29" s="321" t="s">
        <v>570</v>
      </c>
      <c r="B29" s="321"/>
      <c r="C29" s="321"/>
      <c r="D29" s="320"/>
      <c r="E29" s="320"/>
      <c r="F29" s="320"/>
      <c r="G29" s="320"/>
      <c r="H29" s="320"/>
      <c r="I29" s="320"/>
      <c r="J29" s="320"/>
      <c r="K29" s="320"/>
      <c r="L29" s="320"/>
    </row>
    <row r="30" spans="1:12" s="326" customFormat="1" ht="18.75">
      <c r="A30" s="321" t="s">
        <v>571</v>
      </c>
      <c r="B30" s="321"/>
      <c r="C30" s="321"/>
      <c r="D30" s="320"/>
      <c r="E30" s="320"/>
      <c r="F30" s="320"/>
      <c r="G30" s="320"/>
      <c r="H30" s="320"/>
      <c r="I30" s="320"/>
      <c r="J30" s="320"/>
      <c r="K30" s="320"/>
      <c r="L30" s="320"/>
    </row>
    <row r="31" spans="1:12" s="326" customFormat="1" ht="18.75">
      <c r="A31" s="321"/>
      <c r="B31" s="321"/>
      <c r="C31" s="321"/>
      <c r="D31" s="320"/>
      <c r="E31" s="320"/>
      <c r="F31" s="320"/>
      <c r="G31" s="320"/>
      <c r="H31" s="320"/>
      <c r="I31" s="320"/>
      <c r="J31" s="320"/>
      <c r="K31" s="320"/>
      <c r="L31" s="320"/>
    </row>
    <row r="32" spans="1:12" s="326" customFormat="1" ht="18.75">
      <c r="A32" s="321"/>
      <c r="B32" s="321"/>
      <c r="C32" s="321"/>
      <c r="D32" s="320"/>
      <c r="E32" s="320"/>
      <c r="F32" s="320"/>
      <c r="G32" s="320"/>
      <c r="H32" s="320"/>
      <c r="I32" s="320"/>
      <c r="J32" s="320"/>
      <c r="K32" s="320"/>
      <c r="L32" s="320"/>
    </row>
    <row r="33" spans="1:12" s="326" customFormat="1" ht="18.75">
      <c r="A33" s="321"/>
      <c r="B33" s="321"/>
      <c r="C33" s="321"/>
      <c r="D33" s="320"/>
      <c r="E33" s="320"/>
      <c r="F33" s="320"/>
      <c r="G33" s="320"/>
      <c r="H33" s="320"/>
      <c r="I33" s="320"/>
      <c r="J33" s="320"/>
      <c r="K33" s="320"/>
      <c r="L33" s="320"/>
    </row>
    <row r="34" spans="1:12" ht="18.75">
      <c r="A34" s="321"/>
      <c r="B34" s="321"/>
      <c r="C34" s="575" t="str">
        <f>CONCATENATE("¼ ",Master!G3,"½")</f>
        <v>¼ m"kk ikfy;k½</v>
      </c>
      <c r="D34" s="320"/>
      <c r="E34" s="320"/>
      <c r="F34" s="320"/>
      <c r="G34" s="320"/>
      <c r="H34" s="320"/>
      <c r="I34" s="320"/>
      <c r="J34" s="320"/>
      <c r="K34" s="320"/>
      <c r="L34" s="320"/>
    </row>
    <row r="35" spans="1:12" ht="18.75">
      <c r="A35" s="321"/>
      <c r="B35" s="321"/>
      <c r="C35" s="572" t="str">
        <f>Master!C2</f>
        <v>iz/kkukpk;Z</v>
      </c>
      <c r="D35" s="320"/>
      <c r="E35" s="320"/>
      <c r="F35" s="320"/>
      <c r="G35" s="320"/>
      <c r="H35" s="320"/>
      <c r="I35" s="320"/>
      <c r="J35" s="320"/>
      <c r="K35" s="320"/>
      <c r="L35" s="320"/>
    </row>
    <row r="36" spans="1:12" ht="31.5">
      <c r="A36" s="321"/>
      <c r="B36" s="321"/>
      <c r="C36" s="573" t="str">
        <f>Master!D2</f>
        <v>egkRek xka/kh jktdh; fo|ky; ¼vaxzsth ek/;e½ cj ] C;koj</v>
      </c>
      <c r="D36" s="320"/>
      <c r="E36" s="320"/>
      <c r="F36" s="320"/>
      <c r="G36" s="320"/>
      <c r="H36" s="320"/>
      <c r="I36" s="320"/>
      <c r="J36" s="320"/>
      <c r="K36" s="320"/>
      <c r="L36" s="320"/>
    </row>
    <row r="37" spans="1:12" ht="29.25" customHeight="1">
      <c r="A37" s="320"/>
      <c r="B37" s="320"/>
      <c r="C37" s="574">
        <f>Summary!$C$1</f>
        <v>30695</v>
      </c>
      <c r="D37" s="320"/>
      <c r="E37" s="320"/>
      <c r="F37" s="320"/>
      <c r="G37" s="320"/>
      <c r="H37" s="320"/>
      <c r="I37" s="320"/>
      <c r="J37" s="320"/>
      <c r="K37" s="320"/>
      <c r="L37" s="320"/>
    </row>
    <row r="38" spans="1:12" ht="18.75">
      <c r="A38" s="320"/>
      <c r="B38" s="320"/>
      <c r="C38" s="320"/>
      <c r="D38" s="320"/>
      <c r="E38" s="320"/>
      <c r="F38" s="320"/>
      <c r="G38" s="320"/>
      <c r="H38" s="320"/>
      <c r="I38" s="320"/>
      <c r="J38" s="320"/>
      <c r="K38" s="320"/>
      <c r="L38" s="320"/>
    </row>
    <row r="39" spans="1:12" ht="18.75">
      <c r="A39" s="320"/>
      <c r="B39" s="320"/>
      <c r="C39" s="320"/>
      <c r="D39" s="320"/>
      <c r="E39" s="320"/>
      <c r="F39" s="320"/>
      <c r="G39" s="320"/>
      <c r="H39" s="320"/>
      <c r="I39" s="320"/>
      <c r="J39" s="320"/>
      <c r="K39" s="320"/>
      <c r="L39" s="320"/>
    </row>
    <row r="40" spans="1:12" ht="18.75">
      <c r="A40" s="320"/>
      <c r="B40" s="320"/>
      <c r="C40" s="320"/>
      <c r="D40" s="320"/>
      <c r="E40" s="320"/>
      <c r="F40" s="320"/>
      <c r="G40" s="320"/>
      <c r="H40" s="320"/>
      <c r="I40" s="320"/>
      <c r="J40" s="320"/>
      <c r="K40" s="320"/>
      <c r="L40" s="320"/>
    </row>
    <row r="41" spans="1:12" ht="18.75">
      <c r="A41" s="320"/>
      <c r="B41" s="320"/>
      <c r="C41" s="320"/>
      <c r="D41" s="320"/>
      <c r="E41" s="320"/>
      <c r="F41" s="320"/>
      <c r="G41" s="320"/>
      <c r="H41" s="320"/>
      <c r="I41" s="320"/>
      <c r="J41" s="320"/>
      <c r="K41" s="320"/>
      <c r="L41" s="320"/>
    </row>
    <row r="42" spans="1:12" ht="18.75">
      <c r="A42" s="320"/>
      <c r="B42" s="320"/>
      <c r="C42" s="320"/>
      <c r="D42" s="320"/>
      <c r="E42" s="320"/>
      <c r="F42" s="320"/>
      <c r="G42" s="320"/>
      <c r="H42" s="320"/>
      <c r="I42" s="320"/>
      <c r="J42" s="320"/>
      <c r="K42" s="320"/>
      <c r="L42" s="320"/>
    </row>
    <row r="43" spans="1:12" ht="18.75">
      <c r="A43" s="320"/>
      <c r="B43" s="320"/>
      <c r="C43" s="320"/>
      <c r="D43" s="320"/>
      <c r="E43" s="320"/>
      <c r="F43" s="320"/>
      <c r="G43" s="320"/>
      <c r="H43" s="320"/>
      <c r="I43" s="320"/>
      <c r="J43" s="320"/>
      <c r="K43" s="320"/>
      <c r="L43" s="320"/>
    </row>
    <row r="44" spans="1:12" ht="18.75">
      <c r="A44" s="320"/>
      <c r="B44" s="320"/>
      <c r="C44" s="320"/>
      <c r="D44" s="320"/>
      <c r="E44" s="320"/>
      <c r="F44" s="320"/>
      <c r="G44" s="320"/>
      <c r="H44" s="320"/>
      <c r="I44" s="320"/>
      <c r="J44" s="320"/>
      <c r="K44" s="320"/>
      <c r="L44" s="320"/>
    </row>
    <row r="45" spans="1:12" ht="18.75">
      <c r="A45" s="320"/>
      <c r="B45" s="320"/>
      <c r="C45" s="320"/>
      <c r="D45" s="320"/>
      <c r="E45" s="320"/>
      <c r="F45" s="320"/>
      <c r="G45" s="320"/>
      <c r="H45" s="320"/>
      <c r="I45" s="320"/>
      <c r="J45" s="320"/>
      <c r="K45" s="320"/>
      <c r="L45" s="320"/>
    </row>
    <row r="46" spans="1:12" ht="18.75">
      <c r="A46" s="320"/>
      <c r="B46" s="320"/>
      <c r="C46" s="320"/>
      <c r="D46" s="320"/>
      <c r="E46" s="320"/>
      <c r="F46" s="320"/>
      <c r="G46" s="320"/>
      <c r="H46" s="320"/>
      <c r="I46" s="320"/>
      <c r="J46" s="320"/>
      <c r="K46" s="320"/>
      <c r="L46" s="320"/>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zoomScale="110" zoomScaleSheetLayoutView="110" workbookViewId="0">
      <selection activeCell="M8" sqref="M8:O8"/>
    </sheetView>
  </sheetViews>
  <sheetFormatPr defaultRowHeight="15"/>
  <cols>
    <col min="1" max="1" width="5.625" customWidth="1"/>
    <col min="2" max="2" width="34" customWidth="1"/>
    <col min="3" max="15" width="10.125" customWidth="1"/>
  </cols>
  <sheetData>
    <row r="1" spans="1:16" ht="18.75">
      <c r="A1" s="137"/>
      <c r="B1" s="137"/>
      <c r="C1" s="137"/>
      <c r="D1" s="137"/>
      <c r="E1" s="137"/>
      <c r="F1" s="137"/>
      <c r="G1" s="137"/>
      <c r="H1" s="137"/>
      <c r="I1" s="137"/>
      <c r="J1" s="137"/>
      <c r="K1" s="137"/>
      <c r="L1" s="137"/>
      <c r="M1" s="869">
        <f>Summary!$C$1</f>
        <v>30695</v>
      </c>
      <c r="N1" s="869"/>
      <c r="O1" s="869"/>
    </row>
    <row r="2" spans="1:16" ht="23.25">
      <c r="A2" s="870" t="str">
        <f>Summary!$A$2</f>
        <v>iz/kkukpk;Z egkRek xka/kh jktdh; fo|ky; ¼vaxzsth ek/;e½ cj ] C;koj</v>
      </c>
      <c r="B2" s="870"/>
      <c r="C2" s="870"/>
      <c r="D2" s="870"/>
      <c r="E2" s="870"/>
      <c r="F2" s="870"/>
      <c r="G2" s="870"/>
      <c r="H2" s="870"/>
      <c r="I2" s="870"/>
      <c r="J2" s="870"/>
      <c r="K2" s="870"/>
      <c r="L2" s="870"/>
      <c r="M2" s="870"/>
      <c r="N2" s="870"/>
      <c r="O2" s="870"/>
    </row>
    <row r="3" spans="1:16" ht="20.25">
      <c r="A3" s="871" t="s">
        <v>268</v>
      </c>
      <c r="B3" s="871"/>
      <c r="C3" s="871"/>
      <c r="D3" s="871"/>
      <c r="E3" s="871"/>
      <c r="F3" s="871"/>
      <c r="G3" s="871"/>
      <c r="H3" s="871"/>
      <c r="I3" s="871"/>
      <c r="J3" s="871"/>
      <c r="K3" s="871"/>
      <c r="L3" s="871"/>
      <c r="M3" s="871"/>
      <c r="N3" s="871"/>
      <c r="O3" s="871"/>
    </row>
    <row r="4" spans="1:16" ht="20.25">
      <c r="A4" s="871" t="s">
        <v>269</v>
      </c>
      <c r="B4" s="871"/>
      <c r="C4" s="871"/>
      <c r="D4" s="871"/>
      <c r="E4" s="871"/>
      <c r="F4" s="871"/>
      <c r="G4" s="871"/>
      <c r="H4" s="871"/>
      <c r="I4" s="871"/>
      <c r="J4" s="871"/>
      <c r="K4" s="871"/>
      <c r="L4" s="871"/>
      <c r="M4" s="871"/>
      <c r="N4" s="871"/>
      <c r="O4" s="871"/>
    </row>
    <row r="5" spans="1:16" ht="20.25">
      <c r="A5" s="138"/>
      <c r="B5" s="665"/>
      <c r="C5" s="665"/>
      <c r="D5" s="665"/>
      <c r="E5" s="665"/>
      <c r="F5" s="665"/>
      <c r="G5" s="876" t="s">
        <v>270</v>
      </c>
      <c r="H5" s="876"/>
      <c r="I5" s="140" t="str">
        <f>F9</f>
        <v>2025-26</v>
      </c>
      <c r="J5" s="677" t="s">
        <v>76</v>
      </c>
      <c r="K5" s="677"/>
      <c r="L5" s="677"/>
      <c r="M5" s="665"/>
      <c r="N5" s="139"/>
      <c r="O5" s="139"/>
    </row>
    <row r="6" spans="1:16" ht="20.25">
      <c r="A6" s="138"/>
      <c r="B6" s="138"/>
      <c r="C6" s="677"/>
      <c r="D6" s="677"/>
      <c r="E6" s="677"/>
      <c r="F6" s="677"/>
      <c r="G6" s="677"/>
      <c r="H6" s="677"/>
      <c r="I6" s="677"/>
      <c r="J6" s="677"/>
      <c r="K6" s="871" t="s">
        <v>271</v>
      </c>
      <c r="L6" s="871"/>
      <c r="M6" s="871"/>
      <c r="N6" s="871"/>
      <c r="O6" s="871"/>
    </row>
    <row r="7" spans="1:16" ht="15.75">
      <c r="A7" s="874" t="str">
        <f>Summary!A5</f>
        <v>BUDGET HEAD : 2202-GENERAL EDUCATION, 02-SECONDARY EDUCATION, 109-GOVT. SEC. SCHOOL, (02)-GIRLS SCHOOL (STATE FUND)</v>
      </c>
      <c r="B7" s="874"/>
      <c r="C7" s="874"/>
      <c r="D7" s="874"/>
      <c r="E7" s="874"/>
      <c r="F7" s="874"/>
      <c r="G7" s="874"/>
      <c r="H7" s="874"/>
      <c r="I7" s="874"/>
      <c r="J7" s="874"/>
      <c r="K7" s="874"/>
      <c r="L7" s="874"/>
      <c r="M7" s="874"/>
      <c r="N7" s="874"/>
      <c r="O7" s="874"/>
      <c r="P7" s="98"/>
    </row>
    <row r="8" spans="1:16" ht="47.25">
      <c r="A8" s="872" t="s">
        <v>6</v>
      </c>
      <c r="B8" s="872" t="s">
        <v>7</v>
      </c>
      <c r="C8" s="872" t="s">
        <v>272</v>
      </c>
      <c r="D8" s="872"/>
      <c r="E8" s="872"/>
      <c r="F8" s="461" t="s">
        <v>79</v>
      </c>
      <c r="G8" s="872" t="s">
        <v>273</v>
      </c>
      <c r="H8" s="872"/>
      <c r="I8" s="872"/>
      <c r="J8" s="873" t="s">
        <v>761</v>
      </c>
      <c r="K8" s="873" t="s">
        <v>762</v>
      </c>
      <c r="L8" s="881" t="s">
        <v>763</v>
      </c>
      <c r="M8" s="872" t="s">
        <v>81</v>
      </c>
      <c r="N8" s="872"/>
      <c r="O8" s="872"/>
    </row>
    <row r="9" spans="1:16" ht="57.75" customHeight="1">
      <c r="A9" s="872"/>
      <c r="B9" s="872"/>
      <c r="C9" s="178" t="str">
        <f>CONCATENATE((MID(Master!C4,1,4)-4),"-",(MID(Master!C4,6,2)-4))</f>
        <v>2022-23</v>
      </c>
      <c r="D9" s="178" t="str">
        <f>CONCATENATE((MID(Master!C4,1,4)-3),"-",(MID(Master!C4,6,2)-3))</f>
        <v>2023-24</v>
      </c>
      <c r="E9" s="178" t="str">
        <f>CONCATENATE((MID(Master!C4,1,4)-2),"-",(MID(Master!C4,6,2)-2))</f>
        <v>2024-25</v>
      </c>
      <c r="F9" s="178" t="str">
        <f>CONCATENATE((MID(Master!C4,1,4)-1),"-",(MID(Master!C4,6,2)-1))</f>
        <v>2025-26</v>
      </c>
      <c r="G9" s="706" t="s">
        <v>744</v>
      </c>
      <c r="H9" s="706" t="s">
        <v>745</v>
      </c>
      <c r="I9" s="666" t="s">
        <v>274</v>
      </c>
      <c r="J9" s="873"/>
      <c r="K9" s="873"/>
      <c r="L9" s="882"/>
      <c r="M9" s="666" t="s">
        <v>83</v>
      </c>
      <c r="N9" s="666" t="s">
        <v>84</v>
      </c>
      <c r="O9" s="666" t="s">
        <v>85</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65" t="s">
        <v>275</v>
      </c>
      <c r="C11" s="463">
        <f>Master!D11</f>
        <v>8513603</v>
      </c>
      <c r="D11" s="463">
        <f>Master!E11</f>
        <v>7033738</v>
      </c>
      <c r="E11" s="463">
        <f>Master!H11</f>
        <v>9348604</v>
      </c>
      <c r="F11" s="463">
        <f>Master!C11</f>
        <v>9820000</v>
      </c>
      <c r="G11" s="463">
        <f>Master!G11</f>
        <v>6705337</v>
      </c>
      <c r="H11" s="463">
        <f>Master!I11</f>
        <v>3407270</v>
      </c>
      <c r="I11" s="463">
        <f>G11+H11</f>
        <v>10112607</v>
      </c>
      <c r="J11" s="464">
        <f>Master!J11</f>
        <v>6407270</v>
      </c>
      <c r="K11" s="463">
        <f>'Formet 8'!L122</f>
        <v>18440104</v>
      </c>
      <c r="L11" s="463">
        <f>'Formet 8'!K122</f>
        <v>21245781</v>
      </c>
      <c r="M11" s="463">
        <f>K11-F11</f>
        <v>8620104</v>
      </c>
      <c r="N11" s="463">
        <f>K11-I11</f>
        <v>8327497</v>
      </c>
      <c r="O11" s="463">
        <f>L11-K11</f>
        <v>2805677</v>
      </c>
    </row>
    <row r="12" spans="1:16" ht="16.5">
      <c r="A12" s="178">
        <v>2</v>
      </c>
      <c r="B12" s="466" t="s">
        <v>276</v>
      </c>
      <c r="C12" s="463">
        <f>Master!D12</f>
        <v>0</v>
      </c>
      <c r="D12" s="463">
        <f>Master!E12</f>
        <v>0</v>
      </c>
      <c r="E12" s="463">
        <f>Master!H12</f>
        <v>0</v>
      </c>
      <c r="F12" s="463">
        <f>Master!C12</f>
        <v>0</v>
      </c>
      <c r="G12" s="463">
        <f>Master!G12</f>
        <v>0</v>
      </c>
      <c r="H12" s="463">
        <f>Master!I12</f>
        <v>0</v>
      </c>
      <c r="I12" s="463">
        <f t="shared" ref="I12:I13" si="0">G12+H12</f>
        <v>0</v>
      </c>
      <c r="J12" s="464">
        <f>Master!J12</f>
        <v>0</v>
      </c>
      <c r="K12" s="463">
        <f>'Formet 8'!L123</f>
        <v>4500</v>
      </c>
      <c r="L12" s="463">
        <f>'Formet 8'!K123</f>
        <v>0</v>
      </c>
      <c r="M12" s="463">
        <f t="shared" ref="M12:M13" si="1">K12-F12</f>
        <v>4500</v>
      </c>
      <c r="N12" s="463">
        <f t="shared" ref="N12:N13" si="2">K12-I12</f>
        <v>4500</v>
      </c>
      <c r="O12" s="463">
        <f t="shared" ref="O12:O13" si="3">L12-K12</f>
        <v>-4500</v>
      </c>
    </row>
    <row r="13" spans="1:16" ht="16.5">
      <c r="A13" s="178">
        <v>3</v>
      </c>
      <c r="B13" s="466" t="s">
        <v>277</v>
      </c>
      <c r="C13" s="463">
        <f>Master!D13</f>
        <v>0</v>
      </c>
      <c r="D13" s="463">
        <f>Master!E13</f>
        <v>201175</v>
      </c>
      <c r="E13" s="463">
        <f>Master!H13</f>
        <v>0</v>
      </c>
      <c r="F13" s="463">
        <f>Master!C13</f>
        <v>0</v>
      </c>
      <c r="G13" s="463">
        <f>Master!G13</f>
        <v>0</v>
      </c>
      <c r="H13" s="463">
        <f>Master!I13</f>
        <v>0</v>
      </c>
      <c r="I13" s="463">
        <f t="shared" si="0"/>
        <v>0</v>
      </c>
      <c r="J13" s="464">
        <f>Master!J13</f>
        <v>0</v>
      </c>
      <c r="K13" s="463">
        <f>'Formet 8'!L124</f>
        <v>1000</v>
      </c>
      <c r="L13" s="463">
        <f>'Formet 8'!K124</f>
        <v>0</v>
      </c>
      <c r="M13" s="463">
        <f t="shared" si="1"/>
        <v>1000</v>
      </c>
      <c r="N13" s="463">
        <f t="shared" si="2"/>
        <v>1000</v>
      </c>
      <c r="O13" s="463">
        <f t="shared" si="3"/>
        <v>-1000</v>
      </c>
    </row>
    <row r="14" spans="1:16" ht="16.5">
      <c r="A14" s="144"/>
      <c r="B14" s="465" t="s">
        <v>13</v>
      </c>
      <c r="C14" s="468">
        <f>Master!D14</f>
        <v>8513603</v>
      </c>
      <c r="D14" s="468">
        <f>Master!E14</f>
        <v>7234913</v>
      </c>
      <c r="E14" s="468">
        <f>Master!H14</f>
        <v>9348604</v>
      </c>
      <c r="F14" s="468">
        <f>Master!C14</f>
        <v>9820000</v>
      </c>
      <c r="G14" s="468">
        <f>Master!G14</f>
        <v>6705337</v>
      </c>
      <c r="H14" s="468">
        <f>Master!I14</f>
        <v>3407270</v>
      </c>
      <c r="I14" s="468">
        <f t="shared" ref="I14:O14" si="4">SUM(I11:I13)</f>
        <v>10112607</v>
      </c>
      <c r="J14" s="468">
        <f t="shared" si="4"/>
        <v>6407270</v>
      </c>
      <c r="K14" s="468">
        <f t="shared" si="4"/>
        <v>18445604</v>
      </c>
      <c r="L14" s="468">
        <f t="shared" si="4"/>
        <v>21245781</v>
      </c>
      <c r="M14" s="468">
        <f t="shared" si="4"/>
        <v>8625604</v>
      </c>
      <c r="N14" s="468">
        <f t="shared" si="4"/>
        <v>8332997</v>
      </c>
      <c r="O14" s="468">
        <f t="shared" si="4"/>
        <v>2800177</v>
      </c>
    </row>
    <row r="15" spans="1:16" ht="16.5">
      <c r="A15" s="144"/>
      <c r="B15" s="465" t="s">
        <v>278</v>
      </c>
      <c r="C15" s="879"/>
      <c r="D15" s="880"/>
      <c r="E15" s="880"/>
      <c r="F15" s="880"/>
      <c r="G15" s="880"/>
      <c r="H15" s="880"/>
      <c r="I15" s="880"/>
      <c r="J15" s="880"/>
      <c r="K15" s="880"/>
      <c r="L15" s="880"/>
      <c r="M15" s="880"/>
      <c r="N15" s="880"/>
      <c r="O15" s="880"/>
    </row>
    <row r="16" spans="1:16" ht="16.5">
      <c r="A16" s="144">
        <v>1</v>
      </c>
      <c r="B16" s="467" t="s">
        <v>15</v>
      </c>
      <c r="C16" s="472">
        <f>Master!D16</f>
        <v>0</v>
      </c>
      <c r="D16" s="463">
        <f>Master!E16</f>
        <v>0</v>
      </c>
      <c r="E16" s="463">
        <f>Master!H16</f>
        <v>0</v>
      </c>
      <c r="F16" s="463">
        <f>Master!C16</f>
        <v>0</v>
      </c>
      <c r="G16" s="463">
        <f>Master!G16</f>
        <v>0</v>
      </c>
      <c r="H16" s="463">
        <f>Master!I16</f>
        <v>0</v>
      </c>
      <c r="I16" s="464">
        <f>SUM(G16:H16)</f>
        <v>0</v>
      </c>
      <c r="J16" s="464">
        <f>Master!J16</f>
        <v>0</v>
      </c>
      <c r="K16" s="463">
        <f>H16+J16</f>
        <v>0</v>
      </c>
      <c r="L16" s="472">
        <f>Master!K16</f>
        <v>0</v>
      </c>
      <c r="M16" s="463">
        <f t="shared" ref="M16" si="5">K16-F16</f>
        <v>0</v>
      </c>
      <c r="N16" s="463">
        <f t="shared" ref="N16" si="6">K16-I16</f>
        <v>0</v>
      </c>
      <c r="O16" s="463">
        <f t="shared" ref="O16" si="7">L16-K16</f>
        <v>0</v>
      </c>
    </row>
    <row r="17" spans="1:15" ht="16.5">
      <c r="A17" s="144">
        <v>2</v>
      </c>
      <c r="B17" s="467" t="s">
        <v>16</v>
      </c>
      <c r="C17" s="472">
        <f>Master!D17</f>
        <v>0</v>
      </c>
      <c r="D17" s="463">
        <f>Master!E17</f>
        <v>0</v>
      </c>
      <c r="E17" s="463">
        <f>Master!H17</f>
        <v>0</v>
      </c>
      <c r="F17" s="463">
        <f>Master!C17</f>
        <v>0</v>
      </c>
      <c r="G17" s="463">
        <f>Master!G17</f>
        <v>0</v>
      </c>
      <c r="H17" s="463">
        <f>Master!I17</f>
        <v>0</v>
      </c>
      <c r="I17" s="464">
        <f t="shared" ref="I17:I23" si="8">SUM(G17:H17)</f>
        <v>0</v>
      </c>
      <c r="J17" s="464">
        <f>Master!J17</f>
        <v>0</v>
      </c>
      <c r="K17" s="463">
        <f t="shared" ref="K17:K25" si="9">H17+J17</f>
        <v>0</v>
      </c>
      <c r="L17" s="472">
        <f>Master!K17</f>
        <v>0</v>
      </c>
      <c r="M17" s="463">
        <f t="shared" ref="M17:M25" si="10">K17-F17</f>
        <v>0</v>
      </c>
      <c r="N17" s="463">
        <f t="shared" ref="N17:N25" si="11">K17-I17</f>
        <v>0</v>
      </c>
      <c r="O17" s="463">
        <f t="shared" ref="O17:O25" si="12">L17-K17</f>
        <v>0</v>
      </c>
    </row>
    <row r="18" spans="1:15" ht="16.5">
      <c r="A18" s="144">
        <v>3</v>
      </c>
      <c r="B18" s="467" t="s">
        <v>17</v>
      </c>
      <c r="C18" s="472">
        <f>Master!D18</f>
        <v>0</v>
      </c>
      <c r="D18" s="463">
        <f>Master!E18</f>
        <v>0</v>
      </c>
      <c r="E18" s="463">
        <f>Master!H18</f>
        <v>0</v>
      </c>
      <c r="F18" s="463">
        <f>Master!C18</f>
        <v>0</v>
      </c>
      <c r="G18" s="463">
        <f>Master!G18</f>
        <v>0</v>
      </c>
      <c r="H18" s="463">
        <f>Master!I18</f>
        <v>0</v>
      </c>
      <c r="I18" s="464">
        <f t="shared" si="8"/>
        <v>0</v>
      </c>
      <c r="J18" s="464">
        <f>Master!J18</f>
        <v>0</v>
      </c>
      <c r="K18" s="463">
        <f t="shared" si="9"/>
        <v>0</v>
      </c>
      <c r="L18" s="472">
        <f>Master!K18</f>
        <v>0</v>
      </c>
      <c r="M18" s="463">
        <f t="shared" si="10"/>
        <v>0</v>
      </c>
      <c r="N18" s="463">
        <f t="shared" si="11"/>
        <v>0</v>
      </c>
      <c r="O18" s="463">
        <f t="shared" si="12"/>
        <v>0</v>
      </c>
    </row>
    <row r="19" spans="1:15" ht="16.5">
      <c r="A19" s="144">
        <v>4</v>
      </c>
      <c r="B19" s="467" t="s">
        <v>18</v>
      </c>
      <c r="C19" s="472">
        <f>Master!D19</f>
        <v>0</v>
      </c>
      <c r="D19" s="463">
        <f>Master!E19</f>
        <v>0</v>
      </c>
      <c r="E19" s="463">
        <f>Master!H19</f>
        <v>0</v>
      </c>
      <c r="F19" s="463">
        <f>Master!C19</f>
        <v>0</v>
      </c>
      <c r="G19" s="463">
        <f>Master!G19</f>
        <v>0</v>
      </c>
      <c r="H19" s="463">
        <f>Master!I19</f>
        <v>0</v>
      </c>
      <c r="I19" s="464">
        <f t="shared" si="8"/>
        <v>0</v>
      </c>
      <c r="J19" s="464">
        <f>Master!J19</f>
        <v>0</v>
      </c>
      <c r="K19" s="463">
        <f t="shared" si="9"/>
        <v>0</v>
      </c>
      <c r="L19" s="472">
        <f>Master!K19</f>
        <v>0</v>
      </c>
      <c r="M19" s="463">
        <f t="shared" si="10"/>
        <v>0</v>
      </c>
      <c r="N19" s="463">
        <f t="shared" si="11"/>
        <v>0</v>
      </c>
      <c r="O19" s="463">
        <f t="shared" si="12"/>
        <v>0</v>
      </c>
    </row>
    <row r="20" spans="1:15" ht="16.5">
      <c r="A20" s="144">
        <v>5</v>
      </c>
      <c r="B20" s="467" t="s">
        <v>19</v>
      </c>
      <c r="C20" s="472">
        <f>Master!D20</f>
        <v>0</v>
      </c>
      <c r="D20" s="463">
        <f>Master!E20</f>
        <v>0</v>
      </c>
      <c r="E20" s="463">
        <f>Master!H20</f>
        <v>0</v>
      </c>
      <c r="F20" s="463">
        <f>Master!C20</f>
        <v>0</v>
      </c>
      <c r="G20" s="463">
        <f>Master!G20</f>
        <v>0</v>
      </c>
      <c r="H20" s="463">
        <f>Master!I20</f>
        <v>0</v>
      </c>
      <c r="I20" s="464">
        <f t="shared" si="8"/>
        <v>0</v>
      </c>
      <c r="J20" s="464">
        <f>Master!J20</f>
        <v>0</v>
      </c>
      <c r="K20" s="463">
        <f t="shared" si="9"/>
        <v>0</v>
      </c>
      <c r="L20" s="472">
        <f>Master!K20</f>
        <v>0</v>
      </c>
      <c r="M20" s="463">
        <f t="shared" si="10"/>
        <v>0</v>
      </c>
      <c r="N20" s="463">
        <f t="shared" si="11"/>
        <v>0</v>
      </c>
      <c r="O20" s="463">
        <f t="shared" si="12"/>
        <v>0</v>
      </c>
    </row>
    <row r="21" spans="1:15" ht="16.5">
      <c r="A21" s="144">
        <v>6</v>
      </c>
      <c r="B21" s="467" t="s">
        <v>20</v>
      </c>
      <c r="C21" s="472">
        <f>Master!D21</f>
        <v>2485</v>
      </c>
      <c r="D21" s="463">
        <f>Master!E21</f>
        <v>2500</v>
      </c>
      <c r="E21" s="463">
        <f>Master!H21</f>
        <v>2500</v>
      </c>
      <c r="F21" s="463">
        <f>Master!C21</f>
        <v>2500</v>
      </c>
      <c r="G21" s="463">
        <f>Master!G21</f>
        <v>2500</v>
      </c>
      <c r="H21" s="463">
        <f>Master!I21</f>
        <v>0</v>
      </c>
      <c r="I21" s="464">
        <f t="shared" si="8"/>
        <v>2500</v>
      </c>
      <c r="J21" s="464">
        <f>Master!J21</f>
        <v>0</v>
      </c>
      <c r="K21" s="463">
        <f t="shared" si="9"/>
        <v>0</v>
      </c>
      <c r="L21" s="472">
        <f>Master!K21</f>
        <v>0</v>
      </c>
      <c r="M21" s="463">
        <f t="shared" si="10"/>
        <v>-2500</v>
      </c>
      <c r="N21" s="463">
        <f t="shared" si="11"/>
        <v>-2500</v>
      </c>
      <c r="O21" s="463">
        <f t="shared" si="12"/>
        <v>0</v>
      </c>
    </row>
    <row r="22" spans="1:15" ht="16.5">
      <c r="A22" s="144">
        <v>7</v>
      </c>
      <c r="B22" s="467" t="s">
        <v>21</v>
      </c>
      <c r="C22" s="472">
        <f>Master!D22</f>
        <v>0</v>
      </c>
      <c r="D22" s="463">
        <f>Master!E22</f>
        <v>0</v>
      </c>
      <c r="E22" s="463">
        <f>Master!H22</f>
        <v>0</v>
      </c>
      <c r="F22" s="463">
        <f>Master!C22</f>
        <v>0</v>
      </c>
      <c r="G22" s="463">
        <f>Master!G22</f>
        <v>0</v>
      </c>
      <c r="H22" s="463">
        <f>Master!I22</f>
        <v>0</v>
      </c>
      <c r="I22" s="464">
        <f t="shared" si="8"/>
        <v>0</v>
      </c>
      <c r="J22" s="464">
        <f>Master!J22</f>
        <v>0</v>
      </c>
      <c r="K22" s="463">
        <f t="shared" si="9"/>
        <v>0</v>
      </c>
      <c r="L22" s="472">
        <f>Master!K22</f>
        <v>0</v>
      </c>
      <c r="M22" s="463">
        <f t="shared" si="10"/>
        <v>0</v>
      </c>
      <c r="N22" s="463">
        <f t="shared" si="11"/>
        <v>0</v>
      </c>
      <c r="O22" s="463">
        <f t="shared" si="12"/>
        <v>0</v>
      </c>
    </row>
    <row r="23" spans="1:15" ht="16.5">
      <c r="A23" s="144">
        <v>8</v>
      </c>
      <c r="B23" s="467" t="s">
        <v>22</v>
      </c>
      <c r="C23" s="472">
        <f>Master!D23</f>
        <v>0</v>
      </c>
      <c r="D23" s="463">
        <f>Master!E23</f>
        <v>0</v>
      </c>
      <c r="E23" s="463">
        <f>Master!H23</f>
        <v>0</v>
      </c>
      <c r="F23" s="463">
        <f>Master!C23</f>
        <v>0</v>
      </c>
      <c r="G23" s="463">
        <f>Master!G23</f>
        <v>0</v>
      </c>
      <c r="H23" s="463">
        <f>Master!I23</f>
        <v>0</v>
      </c>
      <c r="I23" s="464">
        <f t="shared" si="8"/>
        <v>0</v>
      </c>
      <c r="J23" s="464">
        <f>Master!J23</f>
        <v>0</v>
      </c>
      <c r="K23" s="463">
        <f t="shared" si="9"/>
        <v>0</v>
      </c>
      <c r="L23" s="472">
        <f>Master!K23</f>
        <v>0</v>
      </c>
      <c r="M23" s="463">
        <f t="shared" si="10"/>
        <v>0</v>
      </c>
      <c r="N23" s="463">
        <f t="shared" si="11"/>
        <v>0</v>
      </c>
      <c r="O23" s="463">
        <f t="shared" si="12"/>
        <v>0</v>
      </c>
    </row>
    <row r="24" spans="1:15">
      <c r="A24" s="144"/>
      <c r="B24" s="462" t="s">
        <v>23</v>
      </c>
      <c r="C24" s="469">
        <f>SUM(C16:C23)</f>
        <v>2485</v>
      </c>
      <c r="D24" s="469">
        <f t="shared" ref="D24:O24" si="13">SUM(D16:D23)</f>
        <v>2500</v>
      </c>
      <c r="E24" s="469">
        <f t="shared" si="13"/>
        <v>2500</v>
      </c>
      <c r="F24" s="469">
        <f t="shared" si="13"/>
        <v>2500</v>
      </c>
      <c r="G24" s="469">
        <f t="shared" si="13"/>
        <v>2500</v>
      </c>
      <c r="H24" s="469">
        <f t="shared" si="13"/>
        <v>0</v>
      </c>
      <c r="I24" s="469">
        <f t="shared" si="13"/>
        <v>2500</v>
      </c>
      <c r="J24" s="469">
        <f t="shared" si="13"/>
        <v>0</v>
      </c>
      <c r="K24" s="469">
        <f t="shared" si="13"/>
        <v>0</v>
      </c>
      <c r="L24" s="469">
        <f t="shared" si="13"/>
        <v>0</v>
      </c>
      <c r="M24" s="469">
        <f t="shared" si="13"/>
        <v>-2500</v>
      </c>
      <c r="N24" s="469">
        <f t="shared" si="13"/>
        <v>-2500</v>
      </c>
      <c r="O24" s="469">
        <f t="shared" si="13"/>
        <v>0</v>
      </c>
    </row>
    <row r="25" spans="1:15" ht="16.5">
      <c r="A25" s="144">
        <v>1</v>
      </c>
      <c r="B25" s="467" t="s">
        <v>279</v>
      </c>
      <c r="C25" s="472">
        <f>Master!D25</f>
        <v>0</v>
      </c>
      <c r="D25" s="463">
        <f>Master!E25</f>
        <v>0</v>
      </c>
      <c r="E25" s="463">
        <f>Master!H25</f>
        <v>0</v>
      </c>
      <c r="F25" s="463">
        <f>Master!C25</f>
        <v>0</v>
      </c>
      <c r="G25" s="463">
        <f>Master!G25</f>
        <v>0</v>
      </c>
      <c r="H25" s="463">
        <f>Master!I25</f>
        <v>0</v>
      </c>
      <c r="I25" s="464">
        <f t="shared" ref="I25" si="14">SUM(G25:H25)</f>
        <v>0</v>
      </c>
      <c r="J25" s="464">
        <f>Master!J25</f>
        <v>0</v>
      </c>
      <c r="K25" s="463">
        <f t="shared" si="9"/>
        <v>0</v>
      </c>
      <c r="L25" s="472">
        <f>Master!K25</f>
        <v>0</v>
      </c>
      <c r="M25" s="463">
        <f t="shared" si="10"/>
        <v>0</v>
      </c>
      <c r="N25" s="463">
        <f t="shared" si="11"/>
        <v>0</v>
      </c>
      <c r="O25" s="463">
        <f t="shared" si="12"/>
        <v>0</v>
      </c>
    </row>
    <row r="26" spans="1:15" ht="16.5">
      <c r="A26" s="144">
        <v>2</v>
      </c>
      <c r="B26" s="467" t="s">
        <v>280</v>
      </c>
      <c r="C26" s="472">
        <f>Master!D26</f>
        <v>1200</v>
      </c>
      <c r="D26" s="463">
        <f>Master!E26</f>
        <v>1198</v>
      </c>
      <c r="E26" s="463">
        <f>Master!H26</f>
        <v>2500</v>
      </c>
      <c r="F26" s="463">
        <f>Master!C26</f>
        <v>2000</v>
      </c>
      <c r="G26" s="463">
        <f>Master!G26</f>
        <v>2500</v>
      </c>
      <c r="H26" s="463">
        <f>Master!I26</f>
        <v>0</v>
      </c>
      <c r="I26" s="464">
        <f t="shared" ref="I26:I30" si="15">SUM(G26:H26)</f>
        <v>2500</v>
      </c>
      <c r="J26" s="464">
        <f>Master!J26</f>
        <v>0</v>
      </c>
      <c r="K26" s="463">
        <f t="shared" ref="K26:K30" si="16">H26+J26</f>
        <v>0</v>
      </c>
      <c r="L26" s="472">
        <f>Master!K26</f>
        <v>0</v>
      </c>
      <c r="M26" s="463">
        <f t="shared" ref="M26:M30" si="17">K26-F26</f>
        <v>-2000</v>
      </c>
      <c r="N26" s="463">
        <f t="shared" ref="N26:N30" si="18">K26-I26</f>
        <v>-2500</v>
      </c>
      <c r="O26" s="463">
        <f t="shared" ref="O26:O30" si="19">L26-K26</f>
        <v>0</v>
      </c>
    </row>
    <row r="27" spans="1:15" ht="16.5">
      <c r="A27" s="144">
        <v>3</v>
      </c>
      <c r="B27" s="467" t="s">
        <v>281</v>
      </c>
      <c r="C27" s="472">
        <f>Master!D27</f>
        <v>0</v>
      </c>
      <c r="D27" s="463">
        <f>Master!E27</f>
        <v>0</v>
      </c>
      <c r="E27" s="463">
        <f>Master!H27</f>
        <v>0</v>
      </c>
      <c r="F27" s="463">
        <f>Master!C27</f>
        <v>0</v>
      </c>
      <c r="G27" s="463">
        <f>Master!G27</f>
        <v>0</v>
      </c>
      <c r="H27" s="463">
        <f>Master!I27</f>
        <v>0</v>
      </c>
      <c r="I27" s="464">
        <f t="shared" si="15"/>
        <v>0</v>
      </c>
      <c r="J27" s="464">
        <f>Master!J27</f>
        <v>0</v>
      </c>
      <c r="K27" s="463">
        <f t="shared" si="16"/>
        <v>0</v>
      </c>
      <c r="L27" s="472">
        <f>Master!K27</f>
        <v>0</v>
      </c>
      <c r="M27" s="463">
        <f t="shared" si="17"/>
        <v>0</v>
      </c>
      <c r="N27" s="463">
        <f t="shared" si="18"/>
        <v>0</v>
      </c>
      <c r="O27" s="463">
        <f t="shared" si="19"/>
        <v>0</v>
      </c>
    </row>
    <row r="28" spans="1:15" ht="16.5">
      <c r="A28" s="144">
        <v>4</v>
      </c>
      <c r="B28" s="467" t="s">
        <v>282</v>
      </c>
      <c r="C28" s="472">
        <f>Master!D28</f>
        <v>1100</v>
      </c>
      <c r="D28" s="463">
        <f>Master!E28</f>
        <v>0</v>
      </c>
      <c r="E28" s="463">
        <f>Master!H28</f>
        <v>0</v>
      </c>
      <c r="F28" s="463">
        <f>Master!C28</f>
        <v>0</v>
      </c>
      <c r="G28" s="463">
        <f>Master!G28</f>
        <v>0</v>
      </c>
      <c r="H28" s="463">
        <f>Master!I28</f>
        <v>0</v>
      </c>
      <c r="I28" s="464">
        <f t="shared" si="15"/>
        <v>0</v>
      </c>
      <c r="J28" s="464">
        <f>Master!J28</f>
        <v>0</v>
      </c>
      <c r="K28" s="463">
        <f t="shared" si="16"/>
        <v>0</v>
      </c>
      <c r="L28" s="472">
        <f>Master!K28</f>
        <v>0</v>
      </c>
      <c r="M28" s="463">
        <f t="shared" si="17"/>
        <v>0</v>
      </c>
      <c r="N28" s="463">
        <f t="shared" si="18"/>
        <v>0</v>
      </c>
      <c r="O28" s="463">
        <f t="shared" si="19"/>
        <v>0</v>
      </c>
    </row>
    <row r="29" spans="1:15" ht="16.5">
      <c r="A29" s="144">
        <v>5</v>
      </c>
      <c r="B29" s="467" t="s">
        <v>283</v>
      </c>
      <c r="C29" s="472">
        <f>Master!D29</f>
        <v>3300</v>
      </c>
      <c r="D29" s="463">
        <f>Master!E29</f>
        <v>3300</v>
      </c>
      <c r="E29" s="463">
        <f>Master!H29</f>
        <v>3300</v>
      </c>
      <c r="F29" s="463">
        <f>Master!C29</f>
        <v>3300</v>
      </c>
      <c r="G29" s="463">
        <f>Master!G29</f>
        <v>3300</v>
      </c>
      <c r="H29" s="463">
        <f>Master!I29</f>
        <v>0</v>
      </c>
      <c r="I29" s="464">
        <f t="shared" si="15"/>
        <v>3300</v>
      </c>
      <c r="J29" s="464">
        <f>Master!J29</f>
        <v>0</v>
      </c>
      <c r="K29" s="463">
        <f t="shared" si="16"/>
        <v>0</v>
      </c>
      <c r="L29" s="472">
        <f>Master!K29</f>
        <v>0</v>
      </c>
      <c r="M29" s="463">
        <f t="shared" si="17"/>
        <v>-3300</v>
      </c>
      <c r="N29" s="463">
        <f t="shared" si="18"/>
        <v>-3300</v>
      </c>
      <c r="O29" s="463">
        <f t="shared" si="19"/>
        <v>0</v>
      </c>
    </row>
    <row r="30" spans="1:15" s="326" customFormat="1" ht="16.5">
      <c r="A30" s="144">
        <v>6</v>
      </c>
      <c r="B30" s="467" t="s">
        <v>556</v>
      </c>
      <c r="C30" s="472">
        <f>Master!D30</f>
        <v>0</v>
      </c>
      <c r="D30" s="463">
        <f>Master!E30</f>
        <v>0</v>
      </c>
      <c r="E30" s="463">
        <f>Master!H30</f>
        <v>0</v>
      </c>
      <c r="F30" s="463">
        <f>Master!C30</f>
        <v>0</v>
      </c>
      <c r="G30" s="463">
        <f>Master!G30</f>
        <v>0</v>
      </c>
      <c r="H30" s="463">
        <f>Master!I30</f>
        <v>0</v>
      </c>
      <c r="I30" s="464">
        <f t="shared" si="15"/>
        <v>0</v>
      </c>
      <c r="J30" s="464">
        <f>Master!J30</f>
        <v>0</v>
      </c>
      <c r="K30" s="463">
        <f t="shared" si="16"/>
        <v>0</v>
      </c>
      <c r="L30" s="472">
        <f>Master!K30</f>
        <v>0</v>
      </c>
      <c r="M30" s="463">
        <f t="shared" si="17"/>
        <v>0</v>
      </c>
      <c r="N30" s="463">
        <f t="shared" si="18"/>
        <v>0</v>
      </c>
      <c r="O30" s="463">
        <f t="shared" si="19"/>
        <v>0</v>
      </c>
    </row>
    <row r="31" spans="1:15" ht="16.5">
      <c r="A31" s="144"/>
      <c r="B31" s="465" t="s">
        <v>665</v>
      </c>
      <c r="C31" s="468">
        <f>SUM(C25:C30)</f>
        <v>5600</v>
      </c>
      <c r="D31" s="468">
        <f t="shared" ref="D31:O31" si="20">SUM(D25:D30)</f>
        <v>4498</v>
      </c>
      <c r="E31" s="468">
        <f t="shared" si="20"/>
        <v>5800</v>
      </c>
      <c r="F31" s="468">
        <f t="shared" si="20"/>
        <v>5300</v>
      </c>
      <c r="G31" s="468">
        <f t="shared" si="20"/>
        <v>5800</v>
      </c>
      <c r="H31" s="468">
        <f t="shared" si="20"/>
        <v>0</v>
      </c>
      <c r="I31" s="468">
        <f t="shared" si="20"/>
        <v>5800</v>
      </c>
      <c r="J31" s="468">
        <f t="shared" si="20"/>
        <v>0</v>
      </c>
      <c r="K31" s="468">
        <f t="shared" si="20"/>
        <v>0</v>
      </c>
      <c r="L31" s="468">
        <f t="shared" si="20"/>
        <v>0</v>
      </c>
      <c r="M31" s="468">
        <f t="shared" si="20"/>
        <v>-5300</v>
      </c>
      <c r="N31" s="468">
        <f t="shared" si="20"/>
        <v>-5800</v>
      </c>
      <c r="O31" s="468">
        <f t="shared" si="20"/>
        <v>0</v>
      </c>
    </row>
    <row r="32" spans="1:15" ht="16.5">
      <c r="A32" s="144"/>
      <c r="B32" s="465" t="s">
        <v>29</v>
      </c>
      <c r="C32" s="471">
        <f>SUM(C24+C31)</f>
        <v>8085</v>
      </c>
      <c r="D32" s="471">
        <f t="shared" ref="D32:O32" si="21">SUM(D24+D31)</f>
        <v>6998</v>
      </c>
      <c r="E32" s="471">
        <f t="shared" si="21"/>
        <v>8300</v>
      </c>
      <c r="F32" s="471">
        <f t="shared" si="21"/>
        <v>7800</v>
      </c>
      <c r="G32" s="471">
        <f t="shared" si="21"/>
        <v>8300</v>
      </c>
      <c r="H32" s="471">
        <f t="shared" si="21"/>
        <v>0</v>
      </c>
      <c r="I32" s="471">
        <f t="shared" si="21"/>
        <v>8300</v>
      </c>
      <c r="J32" s="471">
        <f t="shared" si="21"/>
        <v>0</v>
      </c>
      <c r="K32" s="471">
        <f t="shared" si="21"/>
        <v>0</v>
      </c>
      <c r="L32" s="471">
        <f t="shared" si="21"/>
        <v>0</v>
      </c>
      <c r="M32" s="471">
        <f t="shared" si="21"/>
        <v>-7800</v>
      </c>
      <c r="N32" s="471">
        <f t="shared" si="21"/>
        <v>-8300</v>
      </c>
      <c r="O32" s="471">
        <f t="shared" si="21"/>
        <v>0</v>
      </c>
    </row>
    <row r="33" spans="1:15" ht="16.5">
      <c r="A33" s="144"/>
      <c r="B33" s="465" t="s">
        <v>30</v>
      </c>
      <c r="C33" s="470">
        <f>SUM(C14+C32)</f>
        <v>8521688</v>
      </c>
      <c r="D33" s="470">
        <f t="shared" ref="D33:O33" si="22">SUM(D14+D32)</f>
        <v>7241911</v>
      </c>
      <c r="E33" s="470">
        <f t="shared" si="22"/>
        <v>9356904</v>
      </c>
      <c r="F33" s="470">
        <f t="shared" si="22"/>
        <v>9827800</v>
      </c>
      <c r="G33" s="470">
        <f t="shared" si="22"/>
        <v>6713637</v>
      </c>
      <c r="H33" s="470">
        <f t="shared" si="22"/>
        <v>3407270</v>
      </c>
      <c r="I33" s="470">
        <f t="shared" si="22"/>
        <v>10120907</v>
      </c>
      <c r="J33" s="470">
        <f t="shared" si="22"/>
        <v>6407270</v>
      </c>
      <c r="K33" s="470">
        <f t="shared" si="22"/>
        <v>18445604</v>
      </c>
      <c r="L33" s="470">
        <f t="shared" si="22"/>
        <v>21245781</v>
      </c>
      <c r="M33" s="470">
        <f t="shared" si="22"/>
        <v>8617804</v>
      </c>
      <c r="N33" s="470">
        <f t="shared" si="22"/>
        <v>8324697</v>
      </c>
      <c r="O33" s="470">
        <f t="shared" si="22"/>
        <v>2800177</v>
      </c>
    </row>
    <row r="34" spans="1:15" ht="16.5">
      <c r="A34" s="145"/>
      <c r="B34" s="875" t="s">
        <v>550</v>
      </c>
      <c r="C34" s="875"/>
      <c r="D34" s="875"/>
      <c r="E34" s="875"/>
      <c r="F34" s="875"/>
      <c r="G34" s="875"/>
      <c r="H34" s="875"/>
      <c r="I34" s="875"/>
      <c r="J34" s="875"/>
      <c r="K34" s="875"/>
      <c r="L34" s="875"/>
      <c r="M34" s="875"/>
      <c r="N34" s="145"/>
      <c r="O34" s="145"/>
    </row>
    <row r="35" spans="1:15" s="326" customFormat="1" ht="21" customHeight="1">
      <c r="A35" s="145"/>
      <c r="B35" s="145"/>
      <c r="C35" s="137"/>
      <c r="D35" s="137"/>
      <c r="E35" s="137"/>
      <c r="F35" s="137"/>
      <c r="G35" s="137"/>
      <c r="H35" s="137"/>
      <c r="I35" s="137"/>
      <c r="J35" s="137"/>
      <c r="K35" s="137"/>
      <c r="L35" s="137"/>
      <c r="M35" s="145"/>
      <c r="N35" s="676" t="str">
        <f>CONCATENATE("¼ ",Master!G3,"½")</f>
        <v>¼ m"kk ikfy;k½</v>
      </c>
      <c r="O35" s="676"/>
    </row>
    <row r="36" spans="1:15" ht="15.75">
      <c r="A36" s="145"/>
      <c r="B36" s="145"/>
      <c r="C36" s="137"/>
      <c r="D36" s="137"/>
      <c r="E36" s="137"/>
      <c r="F36" s="137"/>
      <c r="G36" s="137"/>
      <c r="H36" s="137"/>
      <c r="I36" s="137"/>
      <c r="J36" s="137"/>
      <c r="K36" s="137"/>
      <c r="L36" s="137"/>
      <c r="M36" s="877" t="str">
        <f>Master!C2</f>
        <v>iz/kkukpk;Z</v>
      </c>
      <c r="N36" s="877"/>
      <c r="O36" s="877"/>
    </row>
    <row r="37" spans="1:15" ht="15" customHeight="1">
      <c r="A37" s="145"/>
      <c r="B37" s="145"/>
      <c r="C37" s="137"/>
      <c r="D37" s="137"/>
      <c r="E37" s="137"/>
      <c r="F37" s="137"/>
      <c r="G37" s="137"/>
      <c r="H37" s="137"/>
      <c r="I37" s="137"/>
      <c r="J37" s="137"/>
      <c r="K37" s="137"/>
      <c r="L37" s="137"/>
      <c r="M37" s="878" t="str">
        <f>Master!D2</f>
        <v>egkRek xka/kh jktdh; fo|ky; ¼vaxzsth ek/;e½ cj ] C;koj</v>
      </c>
      <c r="N37" s="878"/>
      <c r="O37" s="878"/>
    </row>
    <row r="38" spans="1:15" ht="15" customHeight="1">
      <c r="A38" s="145"/>
      <c r="B38" s="145"/>
      <c r="C38" s="137"/>
      <c r="D38" s="137"/>
      <c r="E38" s="137"/>
      <c r="F38" s="137"/>
      <c r="G38" s="137"/>
      <c r="H38" s="137"/>
      <c r="I38" s="137"/>
      <c r="J38" s="137"/>
      <c r="K38" s="137"/>
      <c r="L38" s="137"/>
      <c r="M38" s="878"/>
      <c r="N38" s="878"/>
      <c r="O38" s="878"/>
    </row>
    <row r="39" spans="1:15">
      <c r="A39" s="145"/>
      <c r="B39" s="145"/>
      <c r="C39" s="137"/>
      <c r="D39" s="137"/>
      <c r="E39" s="137"/>
      <c r="F39" s="137"/>
      <c r="G39" s="137"/>
      <c r="H39" s="137"/>
      <c r="I39" s="137"/>
      <c r="J39" s="137"/>
      <c r="K39" s="137"/>
      <c r="L39" s="137"/>
      <c r="M39" s="878"/>
      <c r="N39" s="878"/>
      <c r="O39" s="878"/>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8"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M6" sqref="M6:O6"/>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99"/>
      <c r="B1" s="99"/>
      <c r="C1" s="99"/>
      <c r="D1" s="99"/>
      <c r="E1" s="99"/>
      <c r="F1" s="99"/>
      <c r="G1" s="99"/>
      <c r="H1" s="99"/>
      <c r="I1" s="99"/>
      <c r="J1" s="99"/>
      <c r="K1" s="99"/>
      <c r="L1" s="890">
        <f>Summary!$C$1</f>
        <v>30695</v>
      </c>
      <c r="M1" s="890"/>
      <c r="N1" s="890"/>
      <c r="O1" s="890"/>
    </row>
    <row r="2" spans="1:15" ht="23.25">
      <c r="A2" s="891" t="str">
        <f>Summary!A2</f>
        <v>iz/kkukpk;Z egkRek xka/kh jktdh; fo|ky; ¼vaxzsth ek/;e½ cj ] C;koj</v>
      </c>
      <c r="B2" s="891"/>
      <c r="C2" s="891"/>
      <c r="D2" s="891"/>
      <c r="E2" s="891"/>
      <c r="F2" s="891"/>
      <c r="G2" s="891"/>
      <c r="H2" s="891"/>
      <c r="I2" s="891"/>
      <c r="J2" s="891"/>
      <c r="K2" s="891"/>
      <c r="L2" s="891"/>
      <c r="M2" s="891"/>
      <c r="N2" s="891"/>
      <c r="O2" s="891"/>
    </row>
    <row r="3" spans="1:15" ht="23.25">
      <c r="A3" s="891" t="s">
        <v>74</v>
      </c>
      <c r="B3" s="891"/>
      <c r="C3" s="891"/>
      <c r="D3" s="891"/>
      <c r="E3" s="891"/>
      <c r="F3" s="891"/>
      <c r="G3" s="891"/>
      <c r="H3" s="891"/>
      <c r="I3" s="891"/>
      <c r="J3" s="891"/>
      <c r="K3" s="891"/>
      <c r="L3" s="891"/>
      <c r="M3" s="891"/>
      <c r="N3" s="891"/>
      <c r="O3" s="891"/>
    </row>
    <row r="4" spans="1:15" ht="23.25">
      <c r="A4" s="100"/>
      <c r="B4" s="101"/>
      <c r="C4" s="883" t="s">
        <v>75</v>
      </c>
      <c r="D4" s="883"/>
      <c r="E4" s="883"/>
      <c r="F4" s="883"/>
      <c r="G4" s="883"/>
      <c r="H4" s="883"/>
      <c r="I4" s="102" t="str">
        <f>F7</f>
        <v>2025-26</v>
      </c>
      <c r="J4" s="893" t="s">
        <v>76</v>
      </c>
      <c r="K4" s="893"/>
      <c r="L4" s="893"/>
      <c r="M4" s="893"/>
      <c r="N4" s="893"/>
      <c r="O4" s="101"/>
    </row>
    <row r="5" spans="1:15">
      <c r="A5" s="884" t="str">
        <f>Summary!A5</f>
        <v>BUDGET HEAD : 2202-GENERAL EDUCATION, 02-SECONDARY EDUCATION, 109-GOVT. SEC. SCHOOL, (02)-GIRLS SCHOOL (STATE FUND)</v>
      </c>
      <c r="B5" s="884"/>
      <c r="C5" s="884"/>
      <c r="D5" s="884"/>
      <c r="E5" s="884"/>
      <c r="F5" s="884"/>
      <c r="G5" s="884"/>
      <c r="H5" s="884"/>
      <c r="I5" s="884"/>
      <c r="J5" s="884"/>
      <c r="K5" s="884"/>
      <c r="L5" s="884"/>
      <c r="M5" s="885" t="s">
        <v>551</v>
      </c>
      <c r="N5" s="885"/>
      <c r="O5" s="885"/>
    </row>
    <row r="6" spans="1:15" ht="45">
      <c r="A6" s="892" t="s">
        <v>6</v>
      </c>
      <c r="B6" s="892" t="s">
        <v>77</v>
      </c>
      <c r="C6" s="892" t="s">
        <v>78</v>
      </c>
      <c r="D6" s="892"/>
      <c r="E6" s="892"/>
      <c r="F6" s="474" t="s">
        <v>79</v>
      </c>
      <c r="G6" s="892" t="s">
        <v>80</v>
      </c>
      <c r="H6" s="892"/>
      <c r="I6" s="892"/>
      <c r="J6" s="892" t="s">
        <v>764</v>
      </c>
      <c r="K6" s="892" t="s">
        <v>765</v>
      </c>
      <c r="L6" s="892" t="s">
        <v>766</v>
      </c>
      <c r="M6" s="892" t="s">
        <v>81</v>
      </c>
      <c r="N6" s="892"/>
      <c r="O6" s="892"/>
    </row>
    <row r="7" spans="1:15" ht="45">
      <c r="A7" s="892"/>
      <c r="B7" s="892"/>
      <c r="C7" s="400" t="str">
        <f>Master!C36</f>
        <v>2022-23</v>
      </c>
      <c r="D7" s="400" t="str">
        <f>Master!D36</f>
        <v>2023-24</v>
      </c>
      <c r="E7" s="400" t="str">
        <f>Master!E36</f>
        <v>2024-25</v>
      </c>
      <c r="F7" s="400" t="str">
        <f>Master!H36</f>
        <v>2025-26</v>
      </c>
      <c r="G7" s="401" t="str">
        <f>Master!F37</f>
        <v>vxLr 24 ls ekpZ 25 rd</v>
      </c>
      <c r="H7" s="401" t="str">
        <f>Master!H37</f>
        <v>vizSy 25 ls tqykbZ 25 rd</v>
      </c>
      <c r="I7" s="401" t="s">
        <v>82</v>
      </c>
      <c r="J7" s="892"/>
      <c r="K7" s="892"/>
      <c r="L7" s="892"/>
      <c r="M7" s="401" t="s">
        <v>83</v>
      </c>
      <c r="N7" s="401" t="s">
        <v>84</v>
      </c>
      <c r="O7" s="401" t="s">
        <v>85</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0">
        <v>1</v>
      </c>
      <c r="B9" s="475" t="s">
        <v>32</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0">
        <v>2</v>
      </c>
      <c r="B10" s="475" t="s">
        <v>33</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0">
        <v>3</v>
      </c>
      <c r="B11" s="475" t="s">
        <v>34</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0">
        <v>4</v>
      </c>
      <c r="B12" s="475" t="s">
        <v>35</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0">
        <v>5</v>
      </c>
      <c r="B13" s="475" t="s">
        <v>36</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89" t="s">
        <v>86</v>
      </c>
      <c r="B14" s="889"/>
      <c r="C14" s="476">
        <f>SUM(C9:C13)</f>
        <v>3380</v>
      </c>
      <c r="D14" s="476">
        <f t="shared" ref="D14:O14" si="5">SUM(D9:D13)</f>
        <v>2505</v>
      </c>
      <c r="E14" s="476">
        <f t="shared" si="5"/>
        <v>1735</v>
      </c>
      <c r="F14" s="476">
        <f t="shared" si="5"/>
        <v>8000</v>
      </c>
      <c r="G14" s="476">
        <f t="shared" si="5"/>
        <v>1735</v>
      </c>
      <c r="H14" s="476">
        <f t="shared" si="5"/>
        <v>1600</v>
      </c>
      <c r="I14" s="476">
        <f t="shared" si="5"/>
        <v>3335</v>
      </c>
      <c r="J14" s="476">
        <f t="shared" si="5"/>
        <v>2100</v>
      </c>
      <c r="K14" s="476">
        <f t="shared" si="5"/>
        <v>3700</v>
      </c>
      <c r="L14" s="476">
        <f t="shared" si="5"/>
        <v>9000</v>
      </c>
      <c r="M14" s="476">
        <f t="shared" si="5"/>
        <v>-4300</v>
      </c>
      <c r="N14" s="476">
        <f t="shared" si="5"/>
        <v>365</v>
      </c>
      <c r="O14" s="476">
        <f t="shared" si="5"/>
        <v>5300</v>
      </c>
    </row>
    <row r="15" spans="1:15" ht="18.75">
      <c r="A15" s="99"/>
      <c r="B15" s="556" t="s">
        <v>550</v>
      </c>
      <c r="C15" s="473"/>
      <c r="D15" s="473"/>
      <c r="E15" s="473"/>
      <c r="F15" s="473"/>
      <c r="G15" s="473"/>
      <c r="H15" s="473"/>
      <c r="I15" s="473"/>
      <c r="J15" s="473"/>
      <c r="K15" s="99"/>
      <c r="L15" s="99"/>
      <c r="M15" s="99"/>
      <c r="N15" s="99"/>
      <c r="O15" s="99"/>
    </row>
    <row r="16" spans="1:15" s="326" customFormat="1" ht="18.75">
      <c r="A16" s="99"/>
      <c r="B16" s="555"/>
      <c r="C16" s="555"/>
      <c r="D16" s="555"/>
      <c r="E16" s="555"/>
      <c r="F16" s="555"/>
      <c r="G16" s="555"/>
      <c r="H16" s="555"/>
      <c r="I16" s="555"/>
      <c r="J16" s="555"/>
      <c r="K16" s="99"/>
      <c r="L16" s="99"/>
      <c r="M16" s="99"/>
      <c r="N16" s="99"/>
      <c r="O16" s="99"/>
    </row>
    <row r="17" spans="1:15">
      <c r="A17" s="99"/>
      <c r="B17" s="99"/>
      <c r="C17" s="99"/>
      <c r="D17" s="99"/>
      <c r="E17" s="99"/>
      <c r="F17" s="99"/>
      <c r="G17" s="99"/>
      <c r="H17" s="99"/>
      <c r="I17" s="99"/>
      <c r="J17" s="99"/>
      <c r="K17" s="99"/>
      <c r="L17" s="886" t="str">
        <f>CONCATENATE("¼ ",Master!G3,"½")</f>
        <v>¼ m"kk ikfy;k½</v>
      </c>
      <c r="M17" s="886"/>
      <c r="N17" s="886"/>
      <c r="O17" s="886"/>
    </row>
    <row r="18" spans="1:15" ht="18.75">
      <c r="A18" s="99"/>
      <c r="B18" s="99"/>
      <c r="C18" s="99"/>
      <c r="D18" s="99"/>
      <c r="E18" s="99"/>
      <c r="F18" s="99"/>
      <c r="G18" s="99"/>
      <c r="H18" s="99"/>
      <c r="I18" s="99"/>
      <c r="J18" s="99"/>
      <c r="K18" s="99"/>
      <c r="L18" s="888" t="str">
        <f>Master!C2</f>
        <v>iz/kkukpk;Z</v>
      </c>
      <c r="M18" s="888"/>
      <c r="N18" s="888"/>
      <c r="O18" s="888"/>
    </row>
    <row r="19" spans="1:15" ht="15" customHeight="1">
      <c r="A19" s="99"/>
      <c r="B19" s="99"/>
      <c r="C19" s="99"/>
      <c r="D19" s="99"/>
      <c r="E19" s="99"/>
      <c r="F19" s="99"/>
      <c r="G19" s="99"/>
      <c r="H19" s="99"/>
      <c r="I19" s="99"/>
      <c r="J19" s="99"/>
      <c r="K19" s="99"/>
      <c r="L19" s="887" t="str">
        <f>Master!D2</f>
        <v>egkRek xka/kh jktdh; fo|ky; ¼vaxzsth ek/;e½ cj ] C;koj</v>
      </c>
      <c r="M19" s="887"/>
      <c r="N19" s="887"/>
      <c r="O19" s="887"/>
    </row>
    <row r="20" spans="1:15" ht="15" customHeight="1">
      <c r="A20" s="99"/>
      <c r="B20" s="99"/>
      <c r="C20" s="99"/>
      <c r="D20" s="99"/>
      <c r="E20" s="99"/>
      <c r="F20" s="99"/>
      <c r="G20" s="99"/>
      <c r="H20" s="99"/>
      <c r="I20" s="99"/>
      <c r="J20" s="99"/>
      <c r="K20" s="99"/>
      <c r="L20" s="887"/>
      <c r="M20" s="887"/>
      <c r="N20" s="887"/>
      <c r="O20" s="887"/>
    </row>
    <row r="21" spans="1:15" ht="15" customHeight="1">
      <c r="A21" s="99"/>
      <c r="B21" s="99"/>
      <c r="C21" s="99"/>
      <c r="D21" s="99"/>
      <c r="E21" s="99"/>
      <c r="F21" s="99"/>
      <c r="G21" s="99"/>
      <c r="H21" s="99"/>
      <c r="I21" s="99"/>
      <c r="J21" s="99"/>
      <c r="K21" s="99"/>
      <c r="L21" s="887"/>
      <c r="M21" s="887"/>
      <c r="N21" s="887"/>
      <c r="O21" s="887"/>
    </row>
  </sheetData>
  <mergeCells count="19">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 ref="L17:O17"/>
    <mergeCell ref="L19:O21"/>
    <mergeCell ref="L18:O18"/>
    <mergeCell ref="A14:B14"/>
  </mergeCells>
  <conditionalFormatting sqref="B15:B16">
    <cfRule type="containsText" dxfId="37"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A1:C55"/>
  <sheetViews>
    <sheetView showGridLines="0" view="pageBreakPreview" zoomScale="110" zoomScaleSheetLayoutView="110" workbookViewId="0">
      <selection activeCell="A3" sqref="A3:C3"/>
    </sheetView>
  </sheetViews>
  <sheetFormatPr defaultRowHeight="15"/>
  <cols>
    <col min="1" max="1" width="50" customWidth="1"/>
    <col min="2" max="2" width="22.375" customWidth="1"/>
    <col min="3" max="3" width="22.75" customWidth="1"/>
  </cols>
  <sheetData>
    <row r="1" spans="1:3" ht="15.75">
      <c r="A1" s="36"/>
      <c r="B1" s="36"/>
      <c r="C1" s="527">
        <f>Master!C3</f>
        <v>30695</v>
      </c>
    </row>
    <row r="2" spans="1:3" ht="18" customHeight="1">
      <c r="A2" s="895" t="str">
        <f>CONCATENATE(Master!C2," ",Master!D2)</f>
        <v>iz/kkukpk;Z egkRek xka/kh jktdh; fo|ky; ¼vaxzsth ek/;e½ cj ] C;koj</v>
      </c>
      <c r="B2" s="895"/>
      <c r="C2" s="895"/>
    </row>
    <row r="3" spans="1:3" ht="16.5" customHeight="1">
      <c r="A3" s="896" t="str">
        <f>CONCATENATE(Master!C1," ",Master!D1)</f>
        <v>Principal Mahatma Gandhi Government School (English Medium) Bar, (BEAWAR)</v>
      </c>
      <c r="B3" s="896"/>
      <c r="C3" s="896"/>
    </row>
    <row r="4" spans="1:3" ht="17.25" customHeight="1">
      <c r="A4" s="897" t="s">
        <v>769</v>
      </c>
      <c r="B4" s="898"/>
      <c r="C4" s="898"/>
    </row>
    <row r="5" spans="1:3" ht="24" customHeight="1">
      <c r="A5" s="899" t="str">
        <f>CONCATENATE("BUDGET HEAD : ",VLOOKUP(Master!C5,Master!Q4:AO25,3,FALSE))</f>
        <v>BUDGET HEAD : 2202-GENERAL EDUCATION, 02-SECONDARY EDUCATION, 109-GOVT. SEC. SCHOOL, (02)-GIRLS SCHOOL (STATE FUND)</v>
      </c>
      <c r="B5" s="899"/>
      <c r="C5" s="899"/>
    </row>
    <row r="6" spans="1:3" ht="37.5" customHeight="1">
      <c r="A6" s="37" t="s">
        <v>38</v>
      </c>
      <c r="B6" s="38" t="s">
        <v>767</v>
      </c>
      <c r="C6" s="38" t="s">
        <v>768</v>
      </c>
    </row>
    <row r="7" spans="1:3" ht="15.95" customHeight="1">
      <c r="A7" s="39" t="s">
        <v>87</v>
      </c>
      <c r="B7" s="40"/>
      <c r="C7" s="40"/>
    </row>
    <row r="8" spans="1:3" ht="15.95" customHeight="1">
      <c r="A8" s="41" t="s">
        <v>88</v>
      </c>
      <c r="B8" s="513">
        <f>'Formet 8'!L26</f>
        <v>2501600</v>
      </c>
      <c r="C8" s="513">
        <f>'Formet 8'!K26</f>
        <v>2626800</v>
      </c>
    </row>
    <row r="9" spans="1:3" ht="15.95" customHeight="1">
      <c r="A9" s="41" t="s">
        <v>89</v>
      </c>
      <c r="B9" s="513">
        <f>'Formet 8'!L72</f>
        <v>8288800</v>
      </c>
      <c r="C9" s="513">
        <f>'Formet 8'!K72</f>
        <v>8698000</v>
      </c>
    </row>
    <row r="10" spans="1:3" ht="15.95" customHeight="1">
      <c r="A10" s="42" t="s">
        <v>122</v>
      </c>
      <c r="B10" s="514">
        <f>SUM(B8:B9)</f>
        <v>10790400</v>
      </c>
      <c r="C10" s="514">
        <f>SUM(C8:C9)</f>
        <v>11324800</v>
      </c>
    </row>
    <row r="11" spans="1:3" ht="15.95" customHeight="1">
      <c r="A11" s="43" t="s">
        <v>320</v>
      </c>
      <c r="B11" s="398"/>
      <c r="C11" s="518"/>
    </row>
    <row r="12" spans="1:3" ht="15.6" customHeight="1">
      <c r="A12" s="41" t="s">
        <v>90</v>
      </c>
      <c r="B12" s="515">
        <f>'Formet 8'!L76</f>
        <v>4285760</v>
      </c>
      <c r="C12" s="515">
        <f>'Formet 8'!K76</f>
        <v>6681632</v>
      </c>
    </row>
    <row r="13" spans="1:3" ht="15.6" customHeight="1">
      <c r="A13" s="41" t="s">
        <v>91</v>
      </c>
      <c r="B13" s="515">
        <f>'Formet 8'!L77</f>
        <v>431616</v>
      </c>
      <c r="C13" s="515">
        <f>'Formet 8'!K77</f>
        <v>452992</v>
      </c>
    </row>
    <row r="14" spans="1:3" ht="15.6" customHeight="1">
      <c r="A14" s="41" t="s">
        <v>92</v>
      </c>
      <c r="B14" s="515">
        <f>'Formet 8'!L78</f>
        <v>0</v>
      </c>
      <c r="C14" s="515">
        <f>'Formet 8'!K78</f>
        <v>0</v>
      </c>
    </row>
    <row r="15" spans="1:3" ht="15.6" customHeight="1">
      <c r="A15" s="41" t="s">
        <v>93</v>
      </c>
      <c r="B15" s="515">
        <f>'Formet 8'!L80</f>
        <v>726400</v>
      </c>
      <c r="C15" s="515">
        <f>'Formet 8'!K80</f>
        <v>1132480</v>
      </c>
    </row>
    <row r="16" spans="1:3" ht="15.6" customHeight="1">
      <c r="A16" s="41" t="s">
        <v>94</v>
      </c>
      <c r="B16" s="515">
        <f>'Formet 8'!L82</f>
        <v>700878</v>
      </c>
      <c r="C16" s="515">
        <f>'Formet 8'!K82</f>
        <v>721867</v>
      </c>
    </row>
    <row r="17" spans="1:3" ht="15.6" customHeight="1">
      <c r="A17" s="41" t="s">
        <v>95</v>
      </c>
      <c r="B17" s="515">
        <v>0</v>
      </c>
      <c r="C17" s="515">
        <v>0</v>
      </c>
    </row>
    <row r="18" spans="1:3" ht="15.6" customHeight="1">
      <c r="A18" s="41" t="s">
        <v>96</v>
      </c>
      <c r="B18" s="515">
        <f>'Formet 8'!L81</f>
        <v>101610</v>
      </c>
      <c r="C18" s="515">
        <f>'Formet 8'!K81</f>
        <v>101610</v>
      </c>
    </row>
    <row r="19" spans="1:3" ht="15.6" customHeight="1">
      <c r="A19" s="41" t="s">
        <v>97</v>
      </c>
      <c r="B19" s="515">
        <f>'Formet 8'!L108</f>
        <v>0</v>
      </c>
      <c r="C19" s="515">
        <f>'Formet 8'!K108</f>
        <v>0</v>
      </c>
    </row>
    <row r="20" spans="1:3" ht="15.6" customHeight="1">
      <c r="A20" s="41" t="s">
        <v>559</v>
      </c>
      <c r="B20" s="515">
        <v>0</v>
      </c>
      <c r="C20" s="515">
        <v>0</v>
      </c>
    </row>
    <row r="21" spans="1:3" ht="15.6" customHeight="1">
      <c r="A21" s="41" t="s">
        <v>98</v>
      </c>
      <c r="B21" s="515">
        <f>'Formet 8'!L83</f>
        <v>0</v>
      </c>
      <c r="C21" s="515">
        <f>'Formet 8'!K83</f>
        <v>0</v>
      </c>
    </row>
    <row r="22" spans="1:3" ht="15.6" customHeight="1">
      <c r="A22" s="41" t="s">
        <v>99</v>
      </c>
      <c r="B22" s="515">
        <f>'Formet 8'!L85</f>
        <v>0</v>
      </c>
      <c r="C22" s="515">
        <f>'Formet 8'!K85</f>
        <v>0</v>
      </c>
    </row>
    <row r="23" spans="1:3" ht="15.6" customHeight="1">
      <c r="A23" s="41" t="s">
        <v>100</v>
      </c>
      <c r="B23" s="515">
        <v>0</v>
      </c>
      <c r="C23" s="515">
        <v>0</v>
      </c>
    </row>
    <row r="24" spans="1:3" ht="15.6" customHeight="1">
      <c r="A24" s="41" t="s">
        <v>560</v>
      </c>
      <c r="B24" s="515">
        <f>'Formet 8'!L84</f>
        <v>0</v>
      </c>
      <c r="C24" s="515">
        <f>'Formet 8'!K84</f>
        <v>0</v>
      </c>
    </row>
    <row r="25" spans="1:3" ht="15.6" customHeight="1">
      <c r="A25" s="41" t="s">
        <v>101</v>
      </c>
      <c r="B25" s="515">
        <v>0</v>
      </c>
      <c r="C25" s="515">
        <v>0</v>
      </c>
    </row>
    <row r="26" spans="1:3" ht="15.95" customHeight="1">
      <c r="A26" s="44" t="s">
        <v>321</v>
      </c>
      <c r="B26" s="516">
        <f>SUM(B12:B25)</f>
        <v>6246264</v>
      </c>
      <c r="C26" s="516">
        <f>SUM(C12:C25)</f>
        <v>9090581</v>
      </c>
    </row>
    <row r="27" spans="1:3" ht="15.95" customHeight="1">
      <c r="A27" s="44" t="s">
        <v>123</v>
      </c>
      <c r="B27" s="516">
        <f>B10+B26</f>
        <v>17036664</v>
      </c>
      <c r="C27" s="516">
        <f>C10+C26</f>
        <v>20415381</v>
      </c>
    </row>
    <row r="28" spans="1:3" ht="15.6" customHeight="1">
      <c r="A28" s="45" t="s">
        <v>102</v>
      </c>
      <c r="B28" s="515">
        <f>B19</f>
        <v>0</v>
      </c>
      <c r="C28" s="513">
        <f>C19</f>
        <v>0</v>
      </c>
    </row>
    <row r="29" spans="1:3" ht="15.6" customHeight="1">
      <c r="A29" s="45" t="s">
        <v>103</v>
      </c>
      <c r="B29" s="515">
        <f>'Formet 8'!L123</f>
        <v>4500</v>
      </c>
      <c r="C29" s="513">
        <f>'Formet 8'!K123</f>
        <v>0</v>
      </c>
    </row>
    <row r="30" spans="1:3" ht="15.6" customHeight="1">
      <c r="A30" s="45" t="s">
        <v>104</v>
      </c>
      <c r="B30" s="515">
        <f>'Formet 8'!L124</f>
        <v>1000</v>
      </c>
      <c r="C30" s="513">
        <f>'Formet 8'!K124</f>
        <v>0</v>
      </c>
    </row>
    <row r="31" spans="1:3" ht="15.95" customHeight="1">
      <c r="A31" s="44" t="s">
        <v>105</v>
      </c>
      <c r="B31" s="516">
        <f>SUM(B27:B30)</f>
        <v>17042164</v>
      </c>
      <c r="C31" s="516">
        <f>SUM(C27:C30)</f>
        <v>20415381</v>
      </c>
    </row>
    <row r="32" spans="1:3" ht="15.6" customHeight="1">
      <c r="A32" s="45" t="s">
        <v>106</v>
      </c>
      <c r="B32" s="515">
        <f>'Formet 9'!K24</f>
        <v>0</v>
      </c>
      <c r="C32" s="515">
        <f>'Formet 9'!L24</f>
        <v>0</v>
      </c>
    </row>
    <row r="33" spans="1:3" ht="15.6" customHeight="1">
      <c r="A33" s="45" t="s">
        <v>107</v>
      </c>
      <c r="B33" s="513">
        <v>0</v>
      </c>
      <c r="C33" s="513">
        <v>0</v>
      </c>
    </row>
    <row r="34" spans="1:3" ht="15.6" customHeight="1">
      <c r="A34" s="45" t="s">
        <v>108</v>
      </c>
      <c r="B34" s="513">
        <v>0</v>
      </c>
      <c r="C34" s="513">
        <v>0</v>
      </c>
    </row>
    <row r="35" spans="1:3" ht="15.6" customHeight="1">
      <c r="A35" s="45" t="s">
        <v>109</v>
      </c>
      <c r="B35" s="513">
        <v>0</v>
      </c>
      <c r="C35" s="513">
        <v>0</v>
      </c>
    </row>
    <row r="36" spans="1:3" ht="15.6" customHeight="1">
      <c r="A36" s="45" t="s">
        <v>110</v>
      </c>
      <c r="B36" s="513">
        <v>0</v>
      </c>
      <c r="C36" s="513">
        <v>0</v>
      </c>
    </row>
    <row r="37" spans="1:3" ht="15.6" customHeight="1">
      <c r="A37" s="45" t="s">
        <v>111</v>
      </c>
      <c r="B37" s="513">
        <v>0</v>
      </c>
      <c r="C37" s="513">
        <v>0</v>
      </c>
    </row>
    <row r="38" spans="1:3" ht="15.6" customHeight="1">
      <c r="A38" s="45" t="s">
        <v>112</v>
      </c>
      <c r="B38" s="513">
        <v>0</v>
      </c>
      <c r="C38" s="513">
        <v>0</v>
      </c>
    </row>
    <row r="39" spans="1:3" ht="15.6" customHeight="1">
      <c r="A39" s="45" t="s">
        <v>113</v>
      </c>
      <c r="B39" s="513">
        <f>'Formet 9'!K25</f>
        <v>0</v>
      </c>
      <c r="C39" s="513">
        <f>'Formet 9'!L25</f>
        <v>0</v>
      </c>
    </row>
    <row r="40" spans="1:3" ht="15.6" customHeight="1">
      <c r="A40" s="45" t="s">
        <v>114</v>
      </c>
      <c r="B40" s="513">
        <f>'Formet 9'!K26</f>
        <v>0</v>
      </c>
      <c r="C40" s="513">
        <f>'Formet 9'!L26</f>
        <v>0</v>
      </c>
    </row>
    <row r="41" spans="1:3" ht="15.6" customHeight="1">
      <c r="A41" s="45" t="s">
        <v>115</v>
      </c>
      <c r="B41" s="513">
        <f>'Formet 9'!K27</f>
        <v>0</v>
      </c>
      <c r="C41" s="513">
        <f>'Formet 9'!L27</f>
        <v>0</v>
      </c>
    </row>
    <row r="42" spans="1:3" ht="15.6" customHeight="1">
      <c r="A42" s="45" t="s">
        <v>116</v>
      </c>
      <c r="B42" s="513">
        <f>'Formet 9'!K29</f>
        <v>0</v>
      </c>
      <c r="C42" s="513">
        <f>'Formet 9'!L29</f>
        <v>0</v>
      </c>
    </row>
    <row r="43" spans="1:3" ht="15.6" customHeight="1">
      <c r="A43" s="45" t="s">
        <v>117</v>
      </c>
      <c r="B43" s="513">
        <v>0</v>
      </c>
      <c r="C43" s="513">
        <v>0</v>
      </c>
    </row>
    <row r="44" spans="1:3" ht="15.6" customHeight="1">
      <c r="A44" s="45" t="s">
        <v>118</v>
      </c>
      <c r="B44" s="513">
        <f>'Formet 9'!K28</f>
        <v>0</v>
      </c>
      <c r="C44" s="513">
        <f>'Formet 9'!L28</f>
        <v>0</v>
      </c>
    </row>
    <row r="45" spans="1:3" s="326" customFormat="1" ht="15.6" customHeight="1">
      <c r="A45" s="45" t="s">
        <v>555</v>
      </c>
      <c r="B45" s="513">
        <f>'Formet 9'!K30</f>
        <v>0</v>
      </c>
      <c r="C45" s="513">
        <f>'Formet 9'!L30</f>
        <v>0</v>
      </c>
    </row>
    <row r="46" spans="1:3" ht="15.95" customHeight="1">
      <c r="A46" s="46" t="s">
        <v>119</v>
      </c>
      <c r="B46" s="517">
        <f>SUM(B32:B45)</f>
        <v>0</v>
      </c>
      <c r="C46" s="517">
        <f>SUM(C32:C45)</f>
        <v>0</v>
      </c>
    </row>
    <row r="47" spans="1:3" ht="15.95" customHeight="1">
      <c r="A47" s="46" t="s">
        <v>120</v>
      </c>
      <c r="B47" s="517">
        <f>B31</f>
        <v>17042164</v>
      </c>
      <c r="C47" s="517">
        <f>C31</f>
        <v>20415381</v>
      </c>
    </row>
    <row r="48" spans="1:3" ht="15.95" customHeight="1">
      <c r="A48" s="44" t="s">
        <v>121</v>
      </c>
      <c r="B48" s="516">
        <f>SUM(B46:B47)</f>
        <v>17042164</v>
      </c>
      <c r="C48" s="516">
        <f>SUM(C46:C47)</f>
        <v>20415381</v>
      </c>
    </row>
    <row r="49" spans="1:3" ht="18.75" customHeight="1">
      <c r="A49" s="901" t="s">
        <v>558</v>
      </c>
      <c r="B49" s="901"/>
      <c r="C49" s="901"/>
    </row>
    <row r="50" spans="1:3" s="326" customFormat="1" ht="15" customHeight="1">
      <c r="A50" s="902"/>
      <c r="B50" s="902"/>
      <c r="C50" s="902"/>
    </row>
    <row r="51" spans="1:3" s="326" customFormat="1">
      <c r="A51" s="902"/>
      <c r="B51" s="902"/>
      <c r="C51" s="902"/>
    </row>
    <row r="52" spans="1:3" s="326" customFormat="1" ht="12" customHeight="1">
      <c r="A52" s="512"/>
      <c r="B52" s="903" t="str">
        <f>CONCATENATE("¼ ",Master!G3,"½")</f>
        <v>¼ m"kk ikfy;k½</v>
      </c>
      <c r="C52" s="903"/>
    </row>
    <row r="53" spans="1:3" ht="14.25" customHeight="1">
      <c r="A53" s="36"/>
      <c r="B53" s="900" t="str">
        <f>Master!C2</f>
        <v>iz/kkukpk;Z</v>
      </c>
      <c r="C53" s="900"/>
    </row>
    <row r="54" spans="1:3" ht="12" customHeight="1">
      <c r="A54" s="36"/>
      <c r="B54" s="894" t="str">
        <f>Master!D2</f>
        <v>egkRek xka/kh jktdh; fo|ky; ¼vaxzsth ek/;e½ cj ] C;koj</v>
      </c>
      <c r="C54" s="894"/>
    </row>
    <row r="55" spans="1:3" ht="12" customHeight="1">
      <c r="A55" s="36"/>
      <c r="B55" s="894"/>
      <c r="C55" s="894"/>
    </row>
  </sheetData>
  <mergeCells count="8">
    <mergeCell ref="B54:C55"/>
    <mergeCell ref="A2:C2"/>
    <mergeCell ref="A3:C3"/>
    <mergeCell ref="A4:C4"/>
    <mergeCell ref="A5:C5"/>
    <mergeCell ref="B53:C53"/>
    <mergeCell ref="A49:C51"/>
    <mergeCell ref="B52:C52"/>
  </mergeCells>
  <conditionalFormatting sqref="A49">
    <cfRule type="containsText" dxfId="36" priority="1" operator="containsText" text="in fjDr">
      <formula>NOT(ISERROR(SEARCH("in fjDr",A49)))</formula>
    </cfRule>
  </conditionalFormatting>
  <pageMargins left="0.7" right="0.45" top="0.2" bottom="0.2" header="0.3" footer="0.3"/>
  <pageSetup paperSize="9" scale="94"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codeName="Sheet7">
    <tabColor rgb="FF00B050"/>
    <pageSetUpPr fitToPage="1"/>
  </sheetPr>
  <dimension ref="A1:S20"/>
  <sheetViews>
    <sheetView showGridLines="0" view="pageBreakPreview" zoomScaleSheetLayoutView="100" workbookViewId="0">
      <selection activeCell="K10" sqref="K10"/>
    </sheetView>
  </sheetViews>
  <sheetFormatPr defaultColWidth="9.125" defaultRowHeight="15"/>
  <cols>
    <col min="1" max="1" width="9.125" style="326"/>
    <col min="2" max="2" width="11.25" style="326" customWidth="1"/>
    <col min="3" max="3" width="24.375" style="326" customWidth="1"/>
    <col min="4" max="9" width="15.75" style="326" customWidth="1"/>
    <col min="10" max="16384" width="9.125" style="326"/>
  </cols>
  <sheetData>
    <row r="1" spans="1:19" ht="15.75">
      <c r="H1" s="908">
        <f>Master!C3</f>
        <v>30695</v>
      </c>
      <c r="I1" s="908"/>
    </row>
    <row r="2" spans="1:19" ht="20.25">
      <c r="A2" s="906" t="str">
        <f>Summary!A2</f>
        <v>iz/kkukpk;Z egkRek xka/kh jktdh; fo|ky; ¼vaxzsth ek/;e½ cj ] C;koj</v>
      </c>
      <c r="B2" s="906"/>
      <c r="C2" s="906"/>
      <c r="D2" s="906"/>
      <c r="E2" s="906"/>
      <c r="F2" s="906"/>
      <c r="G2" s="906"/>
      <c r="H2" s="906"/>
      <c r="I2" s="906"/>
    </row>
    <row r="3" spans="1:19" ht="18">
      <c r="A3" s="905" t="str">
        <f>Summary!A3</f>
        <v>Principal Mahatma Gandhi Government School (English Medium) Bar, (BEAWAR)</v>
      </c>
      <c r="B3" s="905"/>
      <c r="C3" s="905"/>
      <c r="D3" s="905"/>
      <c r="E3" s="905"/>
      <c r="F3" s="905"/>
      <c r="G3" s="905"/>
      <c r="H3" s="905"/>
      <c r="I3" s="905"/>
    </row>
    <row r="4" spans="1:19" ht="20.25">
      <c r="A4" s="906" t="str">
        <f>Summary!A4</f>
        <v>la'kksf/kr vuqeku l= 2025&amp;26 vk;&amp;O;;d vuqeku lkjka'k 2026&amp;27</v>
      </c>
      <c r="B4" s="906"/>
      <c r="C4" s="906"/>
      <c r="D4" s="906"/>
      <c r="E4" s="906"/>
      <c r="F4" s="906"/>
      <c r="G4" s="906"/>
      <c r="H4" s="906"/>
      <c r="I4" s="906"/>
    </row>
    <row r="5" spans="1:19" ht="21" customHeight="1">
      <c r="A5" s="909" t="s">
        <v>324</v>
      </c>
      <c r="B5" s="909"/>
      <c r="C5" s="909"/>
      <c r="D5" s="909"/>
      <c r="E5" s="909"/>
      <c r="F5" s="909"/>
      <c r="G5" s="909"/>
      <c r="H5" s="909"/>
      <c r="I5" s="909"/>
      <c r="J5" s="688"/>
      <c r="K5" s="688"/>
      <c r="L5" s="688"/>
      <c r="M5" s="688"/>
      <c r="N5" s="688"/>
      <c r="O5" s="688"/>
      <c r="P5" s="688"/>
    </row>
    <row r="6" spans="1:19" ht="21" customHeight="1">
      <c r="A6" s="907" t="str">
        <f>Summary!A5</f>
        <v>BUDGET HEAD : 2202-GENERAL EDUCATION, 02-SECONDARY EDUCATION, 109-GOVT. SEC. SCHOOL, (02)-GIRLS SCHOOL (STATE FUND)</v>
      </c>
      <c r="B6" s="907"/>
      <c r="C6" s="907"/>
      <c r="D6" s="907"/>
      <c r="E6" s="907"/>
      <c r="F6" s="907"/>
      <c r="G6" s="907"/>
      <c r="H6" s="907"/>
      <c r="I6" s="907"/>
      <c r="J6" s="688"/>
      <c r="K6" s="688"/>
      <c r="L6" s="688"/>
      <c r="M6" s="688"/>
      <c r="N6" s="688"/>
      <c r="O6" s="688"/>
      <c r="P6" s="688"/>
    </row>
    <row r="7" spans="1:19" ht="9" customHeight="1">
      <c r="A7" s="700"/>
      <c r="B7" s="700"/>
      <c r="C7" s="700"/>
      <c r="D7" s="701"/>
      <c r="E7" s="701"/>
      <c r="F7" s="701"/>
      <c r="G7" s="700"/>
      <c r="H7" s="700"/>
      <c r="I7" s="701"/>
      <c r="J7" s="688"/>
      <c r="K7" s="688"/>
      <c r="L7" s="688"/>
      <c r="M7" s="688"/>
      <c r="N7" s="688"/>
      <c r="O7" s="688"/>
      <c r="P7" s="688"/>
    </row>
    <row r="8" spans="1:19" ht="119.25" customHeight="1">
      <c r="A8" s="693" t="s">
        <v>666</v>
      </c>
      <c r="B8" s="696" t="s">
        <v>667</v>
      </c>
      <c r="C8" s="697" t="s">
        <v>326</v>
      </c>
      <c r="D8" s="698" t="s">
        <v>770</v>
      </c>
      <c r="E8" s="699" t="s">
        <v>771</v>
      </c>
      <c r="F8" s="698" t="s">
        <v>772</v>
      </c>
      <c r="G8" s="695" t="s">
        <v>668</v>
      </c>
      <c r="H8" s="695" t="s">
        <v>773</v>
      </c>
      <c r="I8" s="698" t="s">
        <v>774</v>
      </c>
      <c r="J8" s="688"/>
      <c r="L8" s="688"/>
      <c r="M8" s="688"/>
      <c r="N8" s="688"/>
      <c r="O8" s="688"/>
      <c r="P8" s="688"/>
      <c r="Q8" s="688"/>
      <c r="R8" s="688"/>
      <c r="S8" s="688"/>
    </row>
    <row r="9" spans="1:19" ht="18.75">
      <c r="A9" s="689">
        <v>1</v>
      </c>
      <c r="B9" s="690">
        <v>2</v>
      </c>
      <c r="C9" s="689">
        <v>3</v>
      </c>
      <c r="D9" s="691">
        <v>4</v>
      </c>
      <c r="E9" s="691">
        <v>5</v>
      </c>
      <c r="F9" s="691">
        <v>6</v>
      </c>
      <c r="G9" s="691">
        <v>7</v>
      </c>
      <c r="H9" s="691">
        <v>8</v>
      </c>
      <c r="I9" s="692">
        <v>9</v>
      </c>
      <c r="J9" s="688"/>
      <c r="K9" s="688"/>
      <c r="L9" s="688"/>
      <c r="M9" s="688"/>
      <c r="N9" s="688"/>
      <c r="O9" s="688"/>
      <c r="P9" s="688"/>
      <c r="Q9" s="688"/>
      <c r="R9" s="688"/>
      <c r="S9" s="688"/>
    </row>
    <row r="10" spans="1:19" ht="72.75" customHeight="1">
      <c r="A10" s="693">
        <v>1</v>
      </c>
      <c r="B10" s="694">
        <f>Master!C3</f>
        <v>30695</v>
      </c>
      <c r="C10" s="695" t="str">
        <f>Master!D2</f>
        <v>egkRek xka/kh jktdh; fo|ky; ¼vaxzsth ek/;e½ cj ] C;koj</v>
      </c>
      <c r="D10" s="694">
        <f>'Formet 9'!F11</f>
        <v>9820000</v>
      </c>
      <c r="E10" s="694">
        <f>'Formet 9'!H11</f>
        <v>3407270</v>
      </c>
      <c r="F10" s="694">
        <f>'Formet 9'!J11</f>
        <v>6407270</v>
      </c>
      <c r="G10" s="694">
        <f>'Formet 9'!K11</f>
        <v>18440104</v>
      </c>
      <c r="H10" s="694">
        <f>D10-G10</f>
        <v>-8620104</v>
      </c>
      <c r="I10" s="694">
        <f>'Formet 9'!L11</f>
        <v>21245781</v>
      </c>
      <c r="J10" s="688"/>
      <c r="K10" s="688"/>
      <c r="L10" s="688"/>
      <c r="M10" s="688"/>
      <c r="N10" s="688"/>
      <c r="O10" s="688"/>
      <c r="P10" s="688"/>
      <c r="Q10" s="688"/>
      <c r="R10" s="688"/>
      <c r="S10" s="688"/>
    </row>
    <row r="11" spans="1:19" ht="18.75">
      <c r="A11" s="688"/>
      <c r="B11" s="688"/>
      <c r="C11" s="688"/>
      <c r="D11" s="688"/>
      <c r="E11" s="688"/>
      <c r="F11" s="688"/>
      <c r="G11" s="688"/>
      <c r="H11" s="688"/>
      <c r="I11" s="688"/>
      <c r="J11" s="688"/>
      <c r="K11" s="688"/>
      <c r="L11" s="688"/>
      <c r="M11" s="688"/>
      <c r="N11" s="688"/>
      <c r="O11" s="688"/>
      <c r="P11" s="688"/>
      <c r="Q11" s="688"/>
      <c r="R11" s="688"/>
      <c r="S11" s="688"/>
    </row>
    <row r="12" spans="1:19" ht="18.75">
      <c r="A12" s="522" t="s">
        <v>550</v>
      </c>
      <c r="B12" s="182"/>
      <c r="C12" s="182"/>
      <c r="D12" s="182"/>
      <c r="E12" s="108"/>
      <c r="F12" s="108"/>
      <c r="G12" s="108"/>
      <c r="H12" s="108"/>
      <c r="I12" s="688"/>
      <c r="J12" s="688"/>
      <c r="K12" s="688"/>
      <c r="L12" s="688"/>
      <c r="M12" s="688"/>
      <c r="N12" s="688"/>
      <c r="O12" s="688"/>
      <c r="P12" s="688"/>
      <c r="Q12" s="688"/>
      <c r="R12" s="688"/>
      <c r="S12" s="688"/>
    </row>
    <row r="13" spans="1:19" ht="18.75">
      <c r="A13" s="522"/>
      <c r="B13" s="182"/>
      <c r="C13" s="182"/>
      <c r="D13" s="182"/>
      <c r="E13" s="108"/>
      <c r="F13" s="108"/>
      <c r="G13" s="108"/>
      <c r="H13" s="108"/>
      <c r="I13" s="688"/>
      <c r="J13" s="688"/>
      <c r="K13" s="688"/>
      <c r="L13" s="688"/>
      <c r="M13" s="688"/>
      <c r="N13" s="688"/>
      <c r="O13" s="688"/>
      <c r="P13" s="688"/>
      <c r="Q13" s="688"/>
      <c r="R13" s="688"/>
      <c r="S13" s="688"/>
    </row>
    <row r="14" spans="1:19" ht="18.75">
      <c r="A14" s="522"/>
      <c r="B14" s="182"/>
      <c r="C14" s="182"/>
      <c r="D14" s="182"/>
      <c r="E14" s="108"/>
      <c r="F14" s="108"/>
      <c r="G14" s="910" t="str">
        <f>CONCATENATE("¼ ",Master!G3,"½")</f>
        <v>¼ m"kk ikfy;k½</v>
      </c>
      <c r="H14" s="910"/>
      <c r="I14" s="688"/>
      <c r="J14" s="688"/>
      <c r="K14" s="688"/>
      <c r="L14" s="688"/>
      <c r="M14" s="688"/>
      <c r="N14" s="688"/>
      <c r="O14" s="688"/>
      <c r="P14" s="688"/>
      <c r="Q14" s="688"/>
      <c r="R14" s="688"/>
      <c r="S14" s="688"/>
    </row>
    <row r="15" spans="1:19" ht="18.75">
      <c r="A15" s="182"/>
      <c r="B15" s="182"/>
      <c r="C15" s="182"/>
      <c r="D15" s="182"/>
      <c r="E15" s="108"/>
      <c r="F15" s="108"/>
      <c r="G15" s="911" t="str">
        <f>Master!C2</f>
        <v>iz/kkukpk;Z</v>
      </c>
      <c r="H15" s="911"/>
      <c r="I15" s="688"/>
      <c r="J15" s="688"/>
      <c r="K15" s="688"/>
      <c r="L15" s="688"/>
      <c r="M15" s="688"/>
      <c r="N15" s="688"/>
      <c r="O15" s="688"/>
      <c r="P15" s="688"/>
      <c r="Q15" s="688"/>
      <c r="R15" s="688"/>
      <c r="S15" s="688"/>
    </row>
    <row r="16" spans="1:19" ht="18.75">
      <c r="A16" s="182"/>
      <c r="B16" s="182"/>
      <c r="C16" s="182"/>
      <c r="D16" s="182"/>
      <c r="E16" s="108"/>
      <c r="F16" s="108"/>
      <c r="G16" s="904" t="str">
        <f>Master!D2</f>
        <v>egkRek xka/kh jktdh; fo|ky; ¼vaxzsth ek/;e½ cj ] C;koj</v>
      </c>
      <c r="H16" s="904"/>
      <c r="I16" s="688"/>
      <c r="J16" s="688"/>
      <c r="K16" s="688"/>
      <c r="L16" s="688"/>
      <c r="M16" s="688"/>
      <c r="N16" s="688"/>
      <c r="O16" s="688"/>
      <c r="P16" s="688"/>
      <c r="Q16" s="688"/>
      <c r="R16" s="688"/>
      <c r="S16" s="688"/>
    </row>
    <row r="17" spans="1:19" ht="18.75">
      <c r="A17" s="182"/>
      <c r="B17" s="182"/>
      <c r="C17" s="182"/>
      <c r="D17" s="182"/>
      <c r="E17" s="108"/>
      <c r="F17" s="108"/>
      <c r="G17" s="904"/>
      <c r="H17" s="904"/>
      <c r="I17" s="688"/>
      <c r="J17" s="688"/>
      <c r="K17" s="688"/>
      <c r="L17" s="688"/>
      <c r="M17" s="688"/>
      <c r="N17" s="688"/>
      <c r="O17" s="688"/>
      <c r="P17" s="688"/>
      <c r="Q17" s="688"/>
      <c r="R17" s="688"/>
      <c r="S17" s="688"/>
    </row>
    <row r="18" spans="1:19" ht="18.75">
      <c r="A18" s="688"/>
      <c r="B18" s="688"/>
      <c r="C18" s="688"/>
      <c r="D18" s="688"/>
      <c r="E18" s="688"/>
      <c r="F18" s="688"/>
      <c r="G18" s="688"/>
      <c r="H18" s="688"/>
      <c r="I18" s="688"/>
      <c r="J18" s="688"/>
      <c r="K18" s="688"/>
      <c r="L18" s="688"/>
      <c r="M18" s="688"/>
      <c r="N18" s="688"/>
      <c r="O18" s="688"/>
      <c r="P18" s="688"/>
      <c r="Q18" s="688"/>
      <c r="R18" s="688"/>
      <c r="S18" s="688"/>
    </row>
    <row r="19" spans="1:19" ht="18.75">
      <c r="A19" s="688"/>
      <c r="B19" s="688"/>
      <c r="C19" s="688"/>
      <c r="D19" s="688"/>
      <c r="E19" s="688"/>
      <c r="F19" s="688"/>
      <c r="G19" s="688"/>
      <c r="H19" s="688"/>
      <c r="I19" s="688"/>
      <c r="J19" s="688"/>
      <c r="K19" s="688"/>
      <c r="L19" s="688"/>
      <c r="M19" s="688"/>
      <c r="N19" s="688"/>
      <c r="O19" s="688"/>
      <c r="P19" s="688"/>
      <c r="Q19" s="688"/>
      <c r="R19" s="688"/>
      <c r="S19" s="688"/>
    </row>
    <row r="20" spans="1:19" ht="18.75">
      <c r="A20" s="688"/>
      <c r="B20" s="688"/>
      <c r="C20" s="688"/>
      <c r="D20" s="688"/>
      <c r="E20" s="688"/>
      <c r="F20" s="688"/>
      <c r="G20" s="688"/>
      <c r="H20" s="688"/>
      <c r="I20" s="688"/>
      <c r="J20" s="688"/>
      <c r="K20" s="688"/>
      <c r="L20" s="688"/>
      <c r="M20" s="688"/>
      <c r="N20" s="688"/>
      <c r="O20" s="688"/>
      <c r="P20" s="688"/>
      <c r="Q20" s="688"/>
      <c r="R20" s="688"/>
      <c r="S20" s="688"/>
    </row>
  </sheetData>
  <mergeCells count="9">
    <mergeCell ref="G16:H17"/>
    <mergeCell ref="A3:I3"/>
    <mergeCell ref="A4:I4"/>
    <mergeCell ref="A6:I6"/>
    <mergeCell ref="H1:I1"/>
    <mergeCell ref="A2:I2"/>
    <mergeCell ref="A5:I5"/>
    <mergeCell ref="G14:H14"/>
    <mergeCell ref="G15:H15"/>
  </mergeCells>
  <conditionalFormatting sqref="A12:A14">
    <cfRule type="containsText" dxfId="35" priority="1" operator="containsText" text="in fjDr">
      <formula>NOT(ISERROR(SEARCH("in fjDr",A12)))</formula>
    </cfRule>
  </conditionalFormatting>
  <pageMargins left="0.55000000000000004" right="0.32" top="0.75" bottom="0.75" header="0.3" footer="0.3"/>
  <pageSetup paperSize="9" scale="9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codeName="Sheet8">
    <tabColor rgb="FF00B050"/>
    <pageSetUpPr fitToPage="1"/>
  </sheetPr>
  <dimension ref="A1:M19"/>
  <sheetViews>
    <sheetView showGridLines="0" view="pageBreakPreview" zoomScale="110" zoomScaleSheetLayoutView="110" workbookViewId="0">
      <selection activeCell="N10" sqref="N10"/>
    </sheetView>
  </sheetViews>
  <sheetFormatPr defaultRowHeight="15"/>
  <cols>
    <col min="1" max="1" width="11.125" customWidth="1"/>
    <col min="2" max="9" width="14.75" customWidth="1"/>
    <col min="11" max="12" width="9.125" hidden="1" customWidth="1"/>
  </cols>
  <sheetData>
    <row r="1" spans="1:13" ht="15.75">
      <c r="A1" s="36"/>
      <c r="B1" s="36"/>
      <c r="C1" s="36"/>
      <c r="D1" s="36"/>
      <c r="E1" s="36"/>
      <c r="F1" s="36"/>
      <c r="G1" s="36"/>
      <c r="H1" s="914">
        <f>Summary!$C$1</f>
        <v>30695</v>
      </c>
      <c r="I1" s="914"/>
    </row>
    <row r="2" spans="1:13" ht="20.25">
      <c r="A2" s="871" t="str">
        <f>Summary!$A$2</f>
        <v>iz/kkukpk;Z egkRek xka/kh jktdh; fo|ky; ¼vaxzsth ek/;e½ cj ] C;koj</v>
      </c>
      <c r="B2" s="871"/>
      <c r="C2" s="871"/>
      <c r="D2" s="871"/>
      <c r="E2" s="871"/>
      <c r="F2" s="871"/>
      <c r="G2" s="871"/>
      <c r="H2" s="871"/>
      <c r="I2" s="871"/>
    </row>
    <row r="3" spans="1:13" ht="20.25">
      <c r="A3" s="871" t="s">
        <v>552</v>
      </c>
      <c r="B3" s="871"/>
      <c r="C3" s="871"/>
      <c r="D3" s="871"/>
      <c r="E3" s="871"/>
      <c r="F3" s="871"/>
      <c r="G3" s="871"/>
      <c r="H3" s="871"/>
      <c r="I3" s="871"/>
    </row>
    <row r="4" spans="1:13" ht="21" thickBot="1">
      <c r="A4" s="915" t="s">
        <v>775</v>
      </c>
      <c r="B4" s="915"/>
      <c r="C4" s="915"/>
      <c r="D4" s="915"/>
      <c r="E4" s="915"/>
      <c r="F4" s="915"/>
      <c r="G4" s="915"/>
      <c r="H4" s="915"/>
      <c r="I4" s="915"/>
    </row>
    <row r="5" spans="1:13" ht="20.25">
      <c r="A5" s="916" t="s">
        <v>38</v>
      </c>
      <c r="B5" s="918" t="s">
        <v>289</v>
      </c>
      <c r="C5" s="919"/>
      <c r="D5" s="919"/>
      <c r="E5" s="920"/>
      <c r="F5" s="918" t="s">
        <v>288</v>
      </c>
      <c r="G5" s="919"/>
      <c r="H5" s="919"/>
      <c r="I5" s="920"/>
    </row>
    <row r="6" spans="1:13" ht="18.75" customHeight="1">
      <c r="A6" s="917"/>
      <c r="B6" s="921" t="s">
        <v>754</v>
      </c>
      <c r="C6" s="912"/>
      <c r="D6" s="912" t="s">
        <v>756</v>
      </c>
      <c r="E6" s="913"/>
      <c r="F6" s="921" t="str">
        <f>B6</f>
        <v>o"kZ 2025&amp;26 dk la'kksf/kr</v>
      </c>
      <c r="G6" s="912"/>
      <c r="H6" s="912" t="str">
        <f>D6</f>
        <v>o"kZ 2026&amp;27 dk vuqekfur</v>
      </c>
      <c r="I6" s="913"/>
    </row>
    <row r="7" spans="1:13" ht="20.25">
      <c r="A7" s="917"/>
      <c r="B7" s="110" t="s">
        <v>285</v>
      </c>
      <c r="C7" s="111" t="s">
        <v>40</v>
      </c>
      <c r="D7" s="111" t="s">
        <v>285</v>
      </c>
      <c r="E7" s="112" t="s">
        <v>40</v>
      </c>
      <c r="F7" s="110" t="s">
        <v>285</v>
      </c>
      <c r="G7" s="111" t="s">
        <v>40</v>
      </c>
      <c r="H7" s="111" t="s">
        <v>285</v>
      </c>
      <c r="I7" s="112" t="s">
        <v>40</v>
      </c>
      <c r="K7" s="105" t="s">
        <v>286</v>
      </c>
      <c r="L7" s="105" t="s">
        <v>287</v>
      </c>
    </row>
    <row r="8" spans="1:13" ht="39" customHeight="1">
      <c r="A8" s="113" t="s">
        <v>41</v>
      </c>
      <c r="B8" s="171">
        <f>Master!B50</f>
        <v>36</v>
      </c>
      <c r="C8" s="172">
        <f>B8*10</f>
        <v>360</v>
      </c>
      <c r="D8" s="173">
        <f>Master!G50</f>
        <v>102</v>
      </c>
      <c r="E8" s="174">
        <f>D8*10</f>
        <v>1020</v>
      </c>
      <c r="F8" s="171">
        <f>Master!D50</f>
        <v>2</v>
      </c>
      <c r="G8" s="172">
        <f>F8*5</f>
        <v>10</v>
      </c>
      <c r="H8" s="173">
        <f>Master!I50</f>
        <v>5</v>
      </c>
      <c r="I8" s="174">
        <f>H8*5</f>
        <v>25</v>
      </c>
      <c r="K8" s="105">
        <f>C8+G8</f>
        <v>370</v>
      </c>
      <c r="L8" s="105">
        <f>E8+I8</f>
        <v>1045</v>
      </c>
    </row>
    <row r="9" spans="1:13" ht="39" customHeight="1">
      <c r="A9" s="113" t="s">
        <v>42</v>
      </c>
      <c r="B9" s="171">
        <f>Master!B51</f>
        <v>48</v>
      </c>
      <c r="C9" s="172">
        <f>B9*10</f>
        <v>480</v>
      </c>
      <c r="D9" s="173">
        <f>Master!G51</f>
        <v>11</v>
      </c>
      <c r="E9" s="174">
        <f>D9*10</f>
        <v>110</v>
      </c>
      <c r="F9" s="171">
        <f>Master!D51</f>
        <v>13</v>
      </c>
      <c r="G9" s="172">
        <f>F9*5</f>
        <v>65</v>
      </c>
      <c r="H9" s="173">
        <f>Master!I51</f>
        <v>16</v>
      </c>
      <c r="I9" s="174">
        <f>H9*5</f>
        <v>80</v>
      </c>
      <c r="K9" s="105">
        <f>C9+G9</f>
        <v>545</v>
      </c>
      <c r="L9" s="105">
        <f>E9+I9</f>
        <v>190</v>
      </c>
    </row>
    <row r="10" spans="1:13" ht="39" customHeight="1">
      <c r="A10" s="113" t="s">
        <v>43</v>
      </c>
      <c r="B10" s="171">
        <f>Master!B52</f>
        <v>0</v>
      </c>
      <c r="C10" s="172">
        <f>B10*10</f>
        <v>0</v>
      </c>
      <c r="D10" s="173">
        <f>Master!G52</f>
        <v>4</v>
      </c>
      <c r="E10" s="174">
        <f>D10*10</f>
        <v>40</v>
      </c>
      <c r="F10" s="171">
        <f>Master!D52</f>
        <v>0</v>
      </c>
      <c r="G10" s="172">
        <f>F10*5</f>
        <v>0</v>
      </c>
      <c r="H10" s="173">
        <f>Master!I52</f>
        <v>3</v>
      </c>
      <c r="I10" s="174">
        <f>H10*5</f>
        <v>15</v>
      </c>
      <c r="K10" s="105">
        <f>C10+G10</f>
        <v>0</v>
      </c>
      <c r="L10" s="105">
        <f>E10+I10</f>
        <v>55</v>
      </c>
    </row>
    <row r="11" spans="1:13" ht="39" customHeight="1">
      <c r="A11" s="113" t="s">
        <v>44</v>
      </c>
      <c r="B11" s="171">
        <f>Master!B53</f>
        <v>0</v>
      </c>
      <c r="C11" s="172">
        <f>B11*10</f>
        <v>0</v>
      </c>
      <c r="D11" s="173">
        <f>Master!G53</f>
        <v>6</v>
      </c>
      <c r="E11" s="174">
        <f>D11*10</f>
        <v>60</v>
      </c>
      <c r="F11" s="171">
        <f>Master!D53</f>
        <v>0</v>
      </c>
      <c r="G11" s="172">
        <f>F11*5</f>
        <v>0</v>
      </c>
      <c r="H11" s="173">
        <f>Master!I53</f>
        <v>90</v>
      </c>
      <c r="I11" s="174">
        <f>H11*5</f>
        <v>450</v>
      </c>
      <c r="K11" s="105">
        <f>C11+G11</f>
        <v>0</v>
      </c>
      <c r="L11" s="105">
        <f>E11+I11</f>
        <v>510</v>
      </c>
    </row>
    <row r="12" spans="1:13" ht="39" customHeight="1" thickBot="1">
      <c r="A12" s="114" t="s">
        <v>37</v>
      </c>
      <c r="B12" s="175">
        <f t="shared" ref="B12:I12" si="0">SUM(B8:B11)</f>
        <v>84</v>
      </c>
      <c r="C12" s="176">
        <f t="shared" si="0"/>
        <v>840</v>
      </c>
      <c r="D12" s="176">
        <f t="shared" si="0"/>
        <v>123</v>
      </c>
      <c r="E12" s="177">
        <f t="shared" si="0"/>
        <v>1230</v>
      </c>
      <c r="F12" s="175">
        <f t="shared" si="0"/>
        <v>15</v>
      </c>
      <c r="G12" s="176">
        <f t="shared" si="0"/>
        <v>75</v>
      </c>
      <c r="H12" s="176">
        <f t="shared" si="0"/>
        <v>114</v>
      </c>
      <c r="I12" s="177">
        <f t="shared" si="0"/>
        <v>570</v>
      </c>
      <c r="J12" s="106"/>
      <c r="K12" s="107">
        <f>SUM(K8:K11)</f>
        <v>915</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922" t="str">
        <f>CONCATENATE("¼ ",Master!G3,"½")</f>
        <v>¼ m"kk ikfy;k½</v>
      </c>
      <c r="I15" s="922"/>
    </row>
    <row r="16" spans="1:13" ht="18.75">
      <c r="A16" s="108"/>
      <c r="B16" s="108"/>
      <c r="C16" s="108"/>
      <c r="D16" s="108"/>
      <c r="E16" s="108"/>
      <c r="F16" s="108"/>
      <c r="G16" s="108"/>
      <c r="H16" s="911" t="str">
        <f>Master!C2</f>
        <v>iz/kkukpk;Z</v>
      </c>
      <c r="I16" s="911"/>
    </row>
    <row r="17" spans="1:9" ht="15" customHeight="1">
      <c r="A17" s="108"/>
      <c r="B17" s="108"/>
      <c r="C17" s="108"/>
      <c r="D17" s="108"/>
      <c r="E17" s="108"/>
      <c r="F17" s="108"/>
      <c r="G17" s="108"/>
      <c r="H17" s="904" t="str">
        <f>Master!D2</f>
        <v>egkRek xka/kh jktdh; fo|ky; ¼vaxzsth ek/;e½ cj ] C;koj</v>
      </c>
      <c r="I17" s="904"/>
    </row>
    <row r="18" spans="1:9" ht="15" customHeight="1">
      <c r="A18" s="108"/>
      <c r="B18" s="108"/>
      <c r="C18" s="108"/>
      <c r="D18" s="108"/>
      <c r="E18" s="108"/>
      <c r="F18" s="108"/>
      <c r="G18" s="109"/>
      <c r="H18" s="904"/>
      <c r="I18" s="904"/>
    </row>
    <row r="19" spans="1:9" ht="15" customHeight="1">
      <c r="A19" s="108"/>
      <c r="B19" s="108"/>
      <c r="C19" s="108"/>
      <c r="D19" s="108"/>
      <c r="E19" s="108"/>
      <c r="F19" s="108"/>
      <c r="G19" s="109"/>
      <c r="H19" s="904"/>
      <c r="I19" s="904"/>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tabColor rgb="FF00B050"/>
    <pageSetUpPr fitToPage="1"/>
  </sheetPr>
  <dimension ref="A1:Q424"/>
  <sheetViews>
    <sheetView view="pageBreakPreview" zoomScaleSheetLayoutView="100" workbookViewId="0">
      <selection activeCell="O13" sqref="O13"/>
    </sheetView>
  </sheetViews>
  <sheetFormatPr defaultColWidth="9.125" defaultRowHeight="15.75"/>
  <cols>
    <col min="1" max="1" width="5.125" style="724" customWidth="1"/>
    <col min="2" max="2" width="14.75" style="724" customWidth="1"/>
    <col min="3" max="3" width="8.25" style="732" customWidth="1"/>
    <col min="4" max="4" width="20.625" style="733" customWidth="1"/>
    <col min="5" max="5" width="17.25" style="724" customWidth="1"/>
    <col min="6" max="6" width="12.875" style="724" customWidth="1"/>
    <col min="7" max="7" width="13.625" style="724" customWidth="1"/>
    <col min="8" max="8" width="10.75" style="724" customWidth="1"/>
    <col min="9" max="9" width="11.25" style="724" customWidth="1"/>
    <col min="10" max="10" width="15.25" style="724" customWidth="1"/>
    <col min="11" max="11" width="13.625" style="724" bestFit="1" customWidth="1"/>
    <col min="12" max="16384" width="9.125" style="724"/>
  </cols>
  <sheetData>
    <row r="1" spans="1:17" ht="23.25">
      <c r="A1" s="926" t="s">
        <v>737</v>
      </c>
      <c r="B1" s="926"/>
      <c r="C1" s="927" t="str">
        <f>Summary!$A$2</f>
        <v>iz/kkukpk;Z egkRek xka/kh jktdh; fo|ky; ¼vaxzsth ek/;e½ cj ] C;koj</v>
      </c>
      <c r="D1" s="927"/>
      <c r="E1" s="927"/>
      <c r="F1" s="927"/>
      <c r="G1" s="927"/>
      <c r="H1" s="927"/>
      <c r="I1" s="927"/>
      <c r="J1" s="927"/>
      <c r="K1" s="927"/>
      <c r="L1" s="735"/>
      <c r="M1" s="723"/>
      <c r="N1" s="723"/>
      <c r="O1" s="723"/>
      <c r="P1" s="723"/>
      <c r="Q1" s="723"/>
    </row>
    <row r="2" spans="1:17" ht="18.75">
      <c r="A2" s="926" t="s">
        <v>728</v>
      </c>
      <c r="B2" s="926"/>
      <c r="C2" s="925" t="str">
        <f>VLOOKUP(Master!C5,Master!Q4:AO25,3,FALSE)</f>
        <v>2202-GENERAL EDUCATION, 02-SECONDARY EDUCATION, 109-GOVT. SEC. SCHOOL, (02)-GIRLS SCHOOL (STATE FUND)</v>
      </c>
      <c r="D2" s="925"/>
      <c r="E2" s="925"/>
      <c r="F2" s="925"/>
      <c r="G2" s="925"/>
      <c r="H2" s="924" t="s">
        <v>738</v>
      </c>
      <c r="I2" s="924"/>
      <c r="J2" s="924"/>
      <c r="K2" s="924"/>
      <c r="L2" s="725"/>
      <c r="M2" s="725"/>
      <c r="N2" s="726"/>
      <c r="O2" s="726"/>
      <c r="P2" s="726"/>
      <c r="Q2" s="726"/>
    </row>
    <row r="3" spans="1:17" ht="7.5" customHeight="1">
      <c r="A3" s="736"/>
      <c r="B3" s="736"/>
      <c r="C3" s="740"/>
      <c r="D3" s="740"/>
      <c r="E3" s="740"/>
      <c r="F3" s="740"/>
      <c r="G3" s="740"/>
      <c r="H3" s="737"/>
      <c r="I3" s="737"/>
      <c r="J3" s="737"/>
      <c r="K3" s="725"/>
      <c r="L3" s="725"/>
      <c r="M3" s="725"/>
      <c r="N3" s="726"/>
      <c r="O3" s="726"/>
      <c r="P3" s="726"/>
      <c r="Q3" s="726"/>
    </row>
    <row r="4" spans="1:17" s="739" customFormat="1" ht="56.25">
      <c r="A4" s="738" t="s">
        <v>699</v>
      </c>
      <c r="B4" s="738" t="s">
        <v>232</v>
      </c>
      <c r="C4" s="738" t="s">
        <v>700</v>
      </c>
      <c r="D4" s="738" t="s">
        <v>732</v>
      </c>
      <c r="E4" s="738" t="s">
        <v>733</v>
      </c>
      <c r="F4" s="738" t="s">
        <v>398</v>
      </c>
      <c r="G4" s="738" t="s">
        <v>734</v>
      </c>
      <c r="H4" s="738" t="s">
        <v>735</v>
      </c>
      <c r="I4" s="738" t="s">
        <v>736</v>
      </c>
      <c r="J4" s="738" t="s">
        <v>776</v>
      </c>
      <c r="K4" s="738" t="s">
        <v>777</v>
      </c>
    </row>
    <row r="5" spans="1:17" ht="15">
      <c r="A5" s="727">
        <v>1</v>
      </c>
      <c r="B5" s="727">
        <v>2</v>
      </c>
      <c r="C5" s="727">
        <v>3</v>
      </c>
      <c r="D5" s="727">
        <v>4</v>
      </c>
      <c r="E5" s="727">
        <v>5</v>
      </c>
      <c r="F5" s="727">
        <v>6</v>
      </c>
      <c r="G5" s="727">
        <v>7</v>
      </c>
      <c r="H5" s="727">
        <v>8</v>
      </c>
      <c r="I5" s="727">
        <v>9</v>
      </c>
      <c r="J5" s="727">
        <v>10</v>
      </c>
      <c r="K5" s="727">
        <v>11</v>
      </c>
    </row>
    <row r="6" spans="1:17" ht="21.95" customHeight="1">
      <c r="A6" s="728"/>
      <c r="B6" s="728"/>
      <c r="C6" s="729"/>
      <c r="D6" s="730"/>
      <c r="E6" s="728"/>
      <c r="F6" s="728"/>
      <c r="G6" s="728"/>
      <c r="H6" s="728"/>
      <c r="I6" s="728"/>
      <c r="J6" s="731"/>
      <c r="K6" s="731"/>
    </row>
    <row r="7" spans="1:17" ht="21.95" customHeight="1">
      <c r="A7" s="728"/>
      <c r="B7" s="728"/>
      <c r="C7" s="729"/>
      <c r="D7" s="730"/>
      <c r="E7" s="728"/>
      <c r="F7" s="728"/>
      <c r="G7" s="728"/>
      <c r="H7" s="728"/>
      <c r="I7" s="728"/>
      <c r="J7" s="731"/>
      <c r="K7" s="731"/>
    </row>
    <row r="8" spans="1:17" ht="21.95" customHeight="1">
      <c r="A8" s="728"/>
      <c r="B8" s="728"/>
      <c r="C8" s="729"/>
      <c r="D8" s="730"/>
      <c r="E8" s="728"/>
      <c r="F8" s="728"/>
      <c r="G8" s="728"/>
      <c r="H8" s="728"/>
      <c r="I8" s="728"/>
      <c r="J8" s="731"/>
      <c r="K8" s="731"/>
    </row>
    <row r="9" spans="1:17" ht="21.95" customHeight="1">
      <c r="A9" s="728"/>
      <c r="B9" s="728"/>
      <c r="C9" s="729"/>
      <c r="D9" s="730"/>
      <c r="E9" s="728"/>
      <c r="F9" s="728"/>
      <c r="G9" s="728"/>
      <c r="H9" s="728"/>
      <c r="I9" s="728"/>
      <c r="J9" s="731"/>
      <c r="K9" s="731"/>
    </row>
    <row r="10" spans="1:17" ht="21.95" customHeight="1">
      <c r="A10" s="728"/>
      <c r="B10" s="728"/>
      <c r="C10" s="729"/>
      <c r="D10" s="730"/>
      <c r="E10" s="728"/>
      <c r="F10" s="728"/>
      <c r="G10" s="728"/>
      <c r="H10" s="728"/>
      <c r="I10" s="728"/>
      <c r="J10" s="731"/>
      <c r="K10" s="731"/>
    </row>
    <row r="11" spans="1:17" ht="21.95" customHeight="1">
      <c r="A11" s="728"/>
      <c r="B11" s="728"/>
      <c r="C11" s="729"/>
      <c r="D11" s="730"/>
      <c r="E11" s="728"/>
      <c r="F11" s="728"/>
      <c r="G11" s="728"/>
      <c r="H11" s="728"/>
      <c r="I11" s="728"/>
      <c r="J11" s="731"/>
      <c r="K11" s="731"/>
    </row>
    <row r="12" spans="1:17" ht="21.95" customHeight="1">
      <c r="A12" s="728"/>
      <c r="B12" s="728"/>
      <c r="C12" s="729"/>
      <c r="D12" s="730"/>
      <c r="E12" s="728"/>
      <c r="F12" s="728"/>
      <c r="G12" s="728"/>
      <c r="H12" s="728"/>
      <c r="I12" s="728"/>
      <c r="J12" s="731"/>
      <c r="K12" s="731"/>
    </row>
    <row r="13" spans="1:17" ht="21.95" customHeight="1">
      <c r="A13" s="728"/>
      <c r="B13" s="728"/>
      <c r="C13" s="729"/>
      <c r="D13" s="730"/>
      <c r="E13" s="728"/>
      <c r="F13" s="728"/>
      <c r="G13" s="728"/>
      <c r="H13" s="728"/>
      <c r="I13" s="728"/>
      <c r="J13" s="731"/>
      <c r="K13" s="731"/>
    </row>
    <row r="14" spans="1:17" s="297" customFormat="1">
      <c r="A14" s="522" t="s">
        <v>550</v>
      </c>
      <c r="B14" s="309"/>
      <c r="C14" s="309"/>
      <c r="D14" s="309"/>
      <c r="E14" s="309"/>
      <c r="F14" s="309"/>
      <c r="G14" s="309"/>
      <c r="H14" s="309"/>
      <c r="I14" s="145"/>
      <c r="J14" s="145"/>
      <c r="K14" s="145"/>
    </row>
    <row r="15" spans="1:17" s="297" customFormat="1" ht="15" customHeight="1">
      <c r="A15" s="145"/>
      <c r="B15" s="145"/>
      <c r="C15" s="145"/>
      <c r="D15" s="145"/>
      <c r="E15" s="145"/>
      <c r="F15" s="145"/>
      <c r="G15" s="145"/>
      <c r="H15" s="145"/>
      <c r="I15" s="145"/>
      <c r="J15" s="145"/>
      <c r="K15" s="145"/>
    </row>
    <row r="16" spans="1:17" s="297" customFormat="1" ht="15" customHeight="1">
      <c r="A16" s="145"/>
      <c r="B16" s="145"/>
      <c r="C16" s="145"/>
      <c r="D16" s="145"/>
      <c r="E16" s="145"/>
      <c r="F16" s="145"/>
      <c r="G16" s="145"/>
      <c r="H16" s="145"/>
      <c r="I16" s="145"/>
      <c r="J16" s="145"/>
      <c r="K16" s="145"/>
    </row>
    <row r="17" spans="1:11" s="297" customFormat="1" ht="15" customHeight="1">
      <c r="A17" s="145"/>
      <c r="B17" s="145"/>
      <c r="C17" s="145"/>
      <c r="D17" s="145"/>
      <c r="E17" s="145"/>
      <c r="F17" s="145"/>
      <c r="G17" s="145"/>
      <c r="H17" s="145"/>
      <c r="I17" s="910" t="str">
        <f>CONCATENATE("¼ ",Master!G3,"½")</f>
        <v>¼ m"kk ikfy;k½</v>
      </c>
      <c r="J17" s="910"/>
      <c r="K17" s="910"/>
    </row>
    <row r="18" spans="1:11" s="297" customFormat="1" ht="16.5">
      <c r="A18" s="145"/>
      <c r="B18" s="145"/>
      <c r="C18" s="145"/>
      <c r="D18" s="145"/>
      <c r="E18" s="145"/>
      <c r="F18" s="145"/>
      <c r="G18" s="145"/>
      <c r="H18" s="145"/>
      <c r="I18" s="928" t="str">
        <f>Master!C2</f>
        <v>iz/kkukpk;Z</v>
      </c>
      <c r="J18" s="928"/>
      <c r="K18" s="928"/>
    </row>
    <row r="19" spans="1:11" s="297" customFormat="1" ht="15" customHeight="1">
      <c r="A19" s="145"/>
      <c r="B19" s="145"/>
      <c r="C19" s="145"/>
      <c r="D19" s="145"/>
      <c r="E19" s="145"/>
      <c r="F19" s="145"/>
      <c r="G19" s="145"/>
      <c r="H19" s="145"/>
      <c r="I19" s="923" t="str">
        <f>Master!D2</f>
        <v>egkRek xka/kh jktdh; fo|ky; ¼vaxzsth ek/;e½ cj ] C;koj</v>
      </c>
      <c r="J19" s="923"/>
      <c r="K19" s="923"/>
    </row>
    <row r="20" spans="1:11" s="297" customFormat="1" ht="15" customHeight="1">
      <c r="A20" s="145"/>
      <c r="B20" s="145"/>
      <c r="C20" s="145"/>
      <c r="D20" s="145"/>
      <c r="E20" s="145"/>
      <c r="F20" s="145"/>
      <c r="G20" s="145"/>
      <c r="H20" s="145"/>
      <c r="I20" s="923"/>
      <c r="J20" s="923"/>
      <c r="K20" s="923"/>
    </row>
    <row r="21" spans="1:11" s="297" customFormat="1" ht="15" customHeight="1">
      <c r="A21" s="145"/>
      <c r="B21" s="145"/>
      <c r="C21" s="145"/>
      <c r="D21" s="145"/>
      <c r="E21" s="145"/>
      <c r="F21" s="145"/>
      <c r="G21" s="145"/>
      <c r="H21" s="145"/>
      <c r="I21" s="923"/>
      <c r="J21" s="923"/>
      <c r="K21" s="923"/>
    </row>
    <row r="22" spans="1:11">
      <c r="J22" s="734"/>
      <c r="K22" s="734"/>
    </row>
    <row r="23" spans="1:11">
      <c r="J23" s="734"/>
      <c r="K23" s="734"/>
    </row>
    <row r="24" spans="1:11">
      <c r="J24" s="734"/>
      <c r="K24" s="734"/>
    </row>
    <row r="25" spans="1:11">
      <c r="J25" s="734"/>
      <c r="K25" s="734"/>
    </row>
    <row r="26" spans="1:11">
      <c r="J26" s="734"/>
      <c r="K26" s="734"/>
    </row>
    <row r="27" spans="1:11">
      <c r="J27" s="734"/>
      <c r="K27" s="734"/>
    </row>
    <row r="28" spans="1:11">
      <c r="J28" s="734"/>
      <c r="K28" s="734"/>
    </row>
    <row r="29" spans="1:11">
      <c r="J29" s="734"/>
      <c r="K29" s="734"/>
    </row>
    <row r="30" spans="1:11">
      <c r="J30" s="734"/>
      <c r="K30" s="734"/>
    </row>
    <row r="31" spans="1:11">
      <c r="J31" s="734"/>
      <c r="K31" s="734"/>
    </row>
    <row r="32" spans="1:11">
      <c r="J32" s="734"/>
      <c r="K32" s="734"/>
    </row>
    <row r="33" spans="10:11">
      <c r="J33" s="734"/>
      <c r="K33" s="734"/>
    </row>
    <row r="34" spans="10:11">
      <c r="J34" s="734"/>
      <c r="K34" s="734"/>
    </row>
    <row r="35" spans="10:11">
      <c r="J35" s="734"/>
      <c r="K35" s="734"/>
    </row>
    <row r="36" spans="10:11">
      <c r="J36" s="734"/>
      <c r="K36" s="734"/>
    </row>
    <row r="37" spans="10:11">
      <c r="J37" s="734"/>
      <c r="K37" s="734"/>
    </row>
    <row r="38" spans="10:11">
      <c r="J38" s="734"/>
      <c r="K38" s="734"/>
    </row>
    <row r="39" spans="10:11">
      <c r="J39" s="734"/>
      <c r="K39" s="734"/>
    </row>
    <row r="40" spans="10:11">
      <c r="J40" s="734"/>
      <c r="K40" s="734"/>
    </row>
    <row r="41" spans="10:11">
      <c r="J41" s="734"/>
      <c r="K41" s="734"/>
    </row>
    <row r="42" spans="10:11">
      <c r="J42" s="734"/>
      <c r="K42" s="734"/>
    </row>
    <row r="43" spans="10:11">
      <c r="J43" s="734"/>
      <c r="K43" s="734"/>
    </row>
    <row r="44" spans="10:11">
      <c r="J44" s="734"/>
      <c r="K44" s="734"/>
    </row>
    <row r="45" spans="10:11">
      <c r="J45" s="734"/>
      <c r="K45" s="734"/>
    </row>
    <row r="46" spans="10:11">
      <c r="J46" s="734"/>
      <c r="K46" s="734"/>
    </row>
    <row r="47" spans="10:11">
      <c r="J47" s="734"/>
      <c r="K47" s="734"/>
    </row>
    <row r="48" spans="10:11">
      <c r="J48" s="734"/>
      <c r="K48" s="734"/>
    </row>
    <row r="49" spans="10:11">
      <c r="J49" s="734"/>
      <c r="K49" s="734"/>
    </row>
    <row r="50" spans="10:11">
      <c r="J50" s="734"/>
      <c r="K50" s="734"/>
    </row>
    <row r="51" spans="10:11">
      <c r="J51" s="734"/>
      <c r="K51" s="734"/>
    </row>
    <row r="52" spans="10:11">
      <c r="J52" s="734"/>
      <c r="K52" s="734"/>
    </row>
    <row r="53" spans="10:11">
      <c r="J53" s="734"/>
      <c r="K53" s="734"/>
    </row>
    <row r="54" spans="10:11">
      <c r="J54" s="734"/>
      <c r="K54" s="734"/>
    </row>
    <row r="55" spans="10:11">
      <c r="J55" s="734"/>
      <c r="K55" s="734"/>
    </row>
    <row r="56" spans="10:11">
      <c r="J56" s="734"/>
      <c r="K56" s="734"/>
    </row>
    <row r="57" spans="10:11">
      <c r="J57" s="734"/>
      <c r="K57" s="734"/>
    </row>
    <row r="58" spans="10:11">
      <c r="J58" s="734"/>
      <c r="K58" s="734"/>
    </row>
    <row r="59" spans="10:11">
      <c r="J59" s="734"/>
      <c r="K59" s="734"/>
    </row>
    <row r="60" spans="10:11">
      <c r="J60" s="734"/>
      <c r="K60" s="734"/>
    </row>
    <row r="61" spans="10:11">
      <c r="J61" s="734"/>
      <c r="K61" s="734"/>
    </row>
    <row r="62" spans="10:11">
      <c r="J62" s="734"/>
      <c r="K62" s="734"/>
    </row>
    <row r="63" spans="10:11">
      <c r="J63" s="734"/>
      <c r="K63" s="734"/>
    </row>
    <row r="64" spans="10:11">
      <c r="J64" s="734"/>
      <c r="K64" s="734"/>
    </row>
    <row r="65" spans="10:11">
      <c r="J65" s="734"/>
      <c r="K65" s="734"/>
    </row>
    <row r="66" spans="10:11">
      <c r="J66" s="734"/>
      <c r="K66" s="734"/>
    </row>
    <row r="67" spans="10:11">
      <c r="J67" s="734"/>
      <c r="K67" s="734"/>
    </row>
    <row r="68" spans="10:11">
      <c r="J68" s="734"/>
      <c r="K68" s="734"/>
    </row>
    <row r="69" spans="10:11">
      <c r="J69" s="734"/>
      <c r="K69" s="734"/>
    </row>
    <row r="70" spans="10:11">
      <c r="J70" s="734"/>
      <c r="K70" s="734"/>
    </row>
    <row r="71" spans="10:11">
      <c r="J71" s="734"/>
      <c r="K71" s="734"/>
    </row>
    <row r="72" spans="10:11">
      <c r="J72" s="734"/>
      <c r="K72" s="734"/>
    </row>
    <row r="73" spans="10:11">
      <c r="J73" s="734"/>
      <c r="K73" s="734"/>
    </row>
    <row r="74" spans="10:11">
      <c r="J74" s="734"/>
      <c r="K74" s="734"/>
    </row>
    <row r="75" spans="10:11">
      <c r="J75" s="734"/>
      <c r="K75" s="734"/>
    </row>
    <row r="76" spans="10:11">
      <c r="J76" s="734"/>
      <c r="K76" s="734"/>
    </row>
    <row r="77" spans="10:11">
      <c r="J77" s="734"/>
      <c r="K77" s="734"/>
    </row>
    <row r="78" spans="10:11">
      <c r="J78" s="734"/>
      <c r="K78" s="734"/>
    </row>
    <row r="79" spans="10:11">
      <c r="J79" s="734"/>
      <c r="K79" s="734"/>
    </row>
    <row r="80" spans="10:11">
      <c r="J80" s="734"/>
      <c r="K80" s="734"/>
    </row>
    <row r="81" spans="10:11">
      <c r="J81" s="734"/>
      <c r="K81" s="734"/>
    </row>
    <row r="82" spans="10:11">
      <c r="J82" s="734"/>
      <c r="K82" s="734"/>
    </row>
    <row r="83" spans="10:11">
      <c r="J83" s="734"/>
      <c r="K83" s="734"/>
    </row>
    <row r="84" spans="10:11">
      <c r="J84" s="734"/>
      <c r="K84" s="734"/>
    </row>
    <row r="85" spans="10:11">
      <c r="J85" s="734"/>
      <c r="K85" s="734"/>
    </row>
    <row r="86" spans="10:11">
      <c r="J86" s="734"/>
      <c r="K86" s="734"/>
    </row>
    <row r="87" spans="10:11">
      <c r="J87" s="734"/>
      <c r="K87" s="734"/>
    </row>
    <row r="88" spans="10:11">
      <c r="J88" s="734"/>
      <c r="K88" s="734"/>
    </row>
    <row r="89" spans="10:11">
      <c r="J89" s="734"/>
      <c r="K89" s="734"/>
    </row>
    <row r="90" spans="10:11">
      <c r="J90" s="734"/>
      <c r="K90" s="734"/>
    </row>
    <row r="91" spans="10:11">
      <c r="J91" s="734"/>
      <c r="K91" s="734"/>
    </row>
    <row r="92" spans="10:11">
      <c r="J92" s="734"/>
      <c r="K92" s="734"/>
    </row>
    <row r="93" spans="10:11">
      <c r="J93" s="734"/>
      <c r="K93" s="734"/>
    </row>
    <row r="94" spans="10:11">
      <c r="J94" s="734"/>
      <c r="K94" s="734"/>
    </row>
    <row r="95" spans="10:11">
      <c r="J95" s="734"/>
      <c r="K95" s="734"/>
    </row>
    <row r="96" spans="10:11">
      <c r="J96" s="734"/>
      <c r="K96" s="734"/>
    </row>
    <row r="97" spans="10:11">
      <c r="J97" s="734"/>
      <c r="K97" s="734"/>
    </row>
    <row r="98" spans="10:11">
      <c r="J98" s="734"/>
      <c r="K98" s="734"/>
    </row>
    <row r="99" spans="10:11">
      <c r="J99" s="734"/>
      <c r="K99" s="734"/>
    </row>
    <row r="100" spans="10:11">
      <c r="J100" s="734"/>
      <c r="K100" s="734"/>
    </row>
    <row r="101" spans="10:11">
      <c r="J101" s="734"/>
      <c r="K101" s="734"/>
    </row>
    <row r="102" spans="10:11">
      <c r="J102" s="734"/>
      <c r="K102" s="734"/>
    </row>
    <row r="103" spans="10:11">
      <c r="J103" s="734"/>
      <c r="K103" s="734"/>
    </row>
    <row r="104" spans="10:11">
      <c r="J104" s="734"/>
      <c r="K104" s="734"/>
    </row>
    <row r="105" spans="10:11">
      <c r="J105" s="734"/>
      <c r="K105" s="734"/>
    </row>
    <row r="106" spans="10:11">
      <c r="J106" s="734"/>
      <c r="K106" s="734"/>
    </row>
    <row r="107" spans="10:11">
      <c r="J107" s="734"/>
      <c r="K107" s="734"/>
    </row>
    <row r="108" spans="10:11">
      <c r="J108" s="734"/>
      <c r="K108" s="734"/>
    </row>
    <row r="109" spans="10:11">
      <c r="J109" s="734"/>
      <c r="K109" s="734"/>
    </row>
    <row r="110" spans="10:11">
      <c r="J110" s="734"/>
      <c r="K110" s="734"/>
    </row>
    <row r="111" spans="10:11">
      <c r="J111" s="734"/>
      <c r="K111" s="734"/>
    </row>
    <row r="112" spans="10:11">
      <c r="J112" s="734"/>
      <c r="K112" s="734"/>
    </row>
    <row r="113" spans="10:11">
      <c r="J113" s="734"/>
      <c r="K113" s="734"/>
    </row>
    <row r="114" spans="10:11">
      <c r="J114" s="734"/>
      <c r="K114" s="734"/>
    </row>
    <row r="115" spans="10:11">
      <c r="J115" s="734"/>
      <c r="K115" s="734"/>
    </row>
    <row r="116" spans="10:11">
      <c r="J116" s="734"/>
      <c r="K116" s="734"/>
    </row>
    <row r="117" spans="10:11">
      <c r="J117" s="734"/>
      <c r="K117" s="734"/>
    </row>
    <row r="118" spans="10:11">
      <c r="J118" s="734"/>
      <c r="K118" s="734"/>
    </row>
    <row r="119" spans="10:11">
      <c r="J119" s="734"/>
      <c r="K119" s="734"/>
    </row>
    <row r="120" spans="10:11">
      <c r="J120" s="734"/>
      <c r="K120" s="734"/>
    </row>
    <row r="121" spans="10:11">
      <c r="J121" s="734"/>
      <c r="K121" s="734"/>
    </row>
    <row r="122" spans="10:11">
      <c r="J122" s="734"/>
      <c r="K122" s="734"/>
    </row>
    <row r="123" spans="10:11">
      <c r="J123" s="734"/>
      <c r="K123" s="734"/>
    </row>
    <row r="124" spans="10:11">
      <c r="J124" s="734"/>
      <c r="K124" s="734"/>
    </row>
    <row r="125" spans="10:11">
      <c r="J125" s="734"/>
      <c r="K125" s="734"/>
    </row>
    <row r="126" spans="10:11">
      <c r="J126" s="734"/>
      <c r="K126" s="734"/>
    </row>
    <row r="127" spans="10:11">
      <c r="J127" s="734"/>
      <c r="K127" s="734"/>
    </row>
    <row r="128" spans="10:11">
      <c r="J128" s="734"/>
      <c r="K128" s="734"/>
    </row>
    <row r="129" spans="10:11">
      <c r="J129" s="734"/>
      <c r="K129" s="734"/>
    </row>
    <row r="130" spans="10:11">
      <c r="J130" s="734"/>
      <c r="K130" s="734"/>
    </row>
    <row r="131" spans="10:11">
      <c r="J131" s="734"/>
      <c r="K131" s="734"/>
    </row>
    <row r="132" spans="10:11">
      <c r="J132" s="734"/>
      <c r="K132" s="734"/>
    </row>
    <row r="133" spans="10:11">
      <c r="J133" s="734"/>
      <c r="K133" s="734"/>
    </row>
    <row r="134" spans="10:11">
      <c r="J134" s="734"/>
      <c r="K134" s="734"/>
    </row>
    <row r="135" spans="10:11">
      <c r="J135" s="734"/>
      <c r="K135" s="734"/>
    </row>
    <row r="136" spans="10:11">
      <c r="J136" s="734"/>
      <c r="K136" s="734"/>
    </row>
    <row r="137" spans="10:11">
      <c r="J137" s="734"/>
      <c r="K137" s="734"/>
    </row>
    <row r="138" spans="10:11">
      <c r="J138" s="734"/>
      <c r="K138" s="734"/>
    </row>
    <row r="139" spans="10:11">
      <c r="J139" s="734"/>
      <c r="K139" s="734"/>
    </row>
    <row r="140" spans="10:11">
      <c r="J140" s="734"/>
      <c r="K140" s="734"/>
    </row>
    <row r="141" spans="10:11">
      <c r="J141" s="734"/>
      <c r="K141" s="734"/>
    </row>
    <row r="142" spans="10:11">
      <c r="J142" s="734"/>
      <c r="K142" s="734"/>
    </row>
    <row r="143" spans="10:11">
      <c r="J143" s="734"/>
      <c r="K143" s="734"/>
    </row>
    <row r="144" spans="10:11">
      <c r="J144" s="734"/>
      <c r="K144" s="734"/>
    </row>
    <row r="145" spans="10:11">
      <c r="J145" s="734"/>
      <c r="K145" s="734"/>
    </row>
    <row r="146" spans="10:11">
      <c r="J146" s="734"/>
      <c r="K146" s="734"/>
    </row>
    <row r="147" spans="10:11">
      <c r="J147" s="734"/>
      <c r="K147" s="734"/>
    </row>
    <row r="148" spans="10:11">
      <c r="J148" s="734"/>
      <c r="K148" s="734"/>
    </row>
    <row r="149" spans="10:11">
      <c r="J149" s="734"/>
      <c r="K149" s="734"/>
    </row>
    <row r="150" spans="10:11">
      <c r="J150" s="734"/>
      <c r="K150" s="734"/>
    </row>
    <row r="151" spans="10:11">
      <c r="J151" s="734"/>
      <c r="K151" s="734"/>
    </row>
    <row r="152" spans="10:11">
      <c r="J152" s="734"/>
      <c r="K152" s="734"/>
    </row>
    <row r="153" spans="10:11">
      <c r="J153" s="734"/>
      <c r="K153" s="734"/>
    </row>
    <row r="154" spans="10:11">
      <c r="J154" s="734"/>
      <c r="K154" s="734"/>
    </row>
    <row r="155" spans="10:11">
      <c r="J155" s="734"/>
      <c r="K155" s="734"/>
    </row>
    <row r="156" spans="10:11">
      <c r="J156" s="734"/>
      <c r="K156" s="734"/>
    </row>
    <row r="157" spans="10:11">
      <c r="J157" s="734"/>
      <c r="K157" s="734"/>
    </row>
    <row r="158" spans="10:11">
      <c r="J158" s="734"/>
      <c r="K158" s="734"/>
    </row>
    <row r="159" spans="10:11">
      <c r="J159" s="734"/>
      <c r="K159" s="734"/>
    </row>
    <row r="160" spans="10:11">
      <c r="J160" s="734"/>
      <c r="K160" s="734"/>
    </row>
    <row r="161" spans="10:11">
      <c r="J161" s="734"/>
      <c r="K161" s="734"/>
    </row>
    <row r="162" spans="10:11">
      <c r="J162" s="734"/>
      <c r="K162" s="734"/>
    </row>
    <row r="163" spans="10:11">
      <c r="J163" s="734"/>
      <c r="K163" s="734"/>
    </row>
    <row r="164" spans="10:11">
      <c r="J164" s="734"/>
      <c r="K164" s="734"/>
    </row>
    <row r="165" spans="10:11">
      <c r="J165" s="734"/>
      <c r="K165" s="734"/>
    </row>
    <row r="166" spans="10:11">
      <c r="J166" s="734"/>
      <c r="K166" s="734"/>
    </row>
    <row r="167" spans="10:11">
      <c r="J167" s="734"/>
      <c r="K167" s="734"/>
    </row>
    <row r="168" spans="10:11">
      <c r="J168" s="734"/>
      <c r="K168" s="734"/>
    </row>
    <row r="169" spans="10:11">
      <c r="J169" s="734"/>
      <c r="K169" s="734"/>
    </row>
    <row r="170" spans="10:11">
      <c r="J170" s="734"/>
      <c r="K170" s="734"/>
    </row>
    <row r="171" spans="10:11">
      <c r="J171" s="734"/>
      <c r="K171" s="734"/>
    </row>
    <row r="172" spans="10:11">
      <c r="J172" s="734"/>
      <c r="K172" s="734"/>
    </row>
    <row r="173" spans="10:11">
      <c r="J173" s="734"/>
      <c r="K173" s="734"/>
    </row>
    <row r="174" spans="10:11">
      <c r="J174" s="734"/>
      <c r="K174" s="734"/>
    </row>
    <row r="175" spans="10:11">
      <c r="J175" s="734"/>
      <c r="K175" s="734"/>
    </row>
    <row r="176" spans="10:11">
      <c r="J176" s="734"/>
      <c r="K176" s="734"/>
    </row>
    <row r="177" spans="10:11">
      <c r="J177" s="734"/>
      <c r="K177" s="734"/>
    </row>
    <row r="178" spans="10:11">
      <c r="J178" s="734"/>
      <c r="K178" s="734"/>
    </row>
    <row r="179" spans="10:11">
      <c r="J179" s="734"/>
      <c r="K179" s="734"/>
    </row>
    <row r="180" spans="10:11">
      <c r="J180" s="734"/>
      <c r="K180" s="734"/>
    </row>
    <row r="181" spans="10:11">
      <c r="J181" s="734"/>
      <c r="K181" s="734"/>
    </row>
    <row r="182" spans="10:11">
      <c r="J182" s="734"/>
      <c r="K182" s="734"/>
    </row>
    <row r="183" spans="10:11">
      <c r="J183" s="734"/>
      <c r="K183" s="734"/>
    </row>
    <row r="184" spans="10:11">
      <c r="J184" s="734"/>
      <c r="K184" s="734"/>
    </row>
    <row r="185" spans="10:11">
      <c r="J185" s="734"/>
      <c r="K185" s="734"/>
    </row>
    <row r="186" spans="10:11">
      <c r="J186" s="734"/>
      <c r="K186" s="734"/>
    </row>
    <row r="187" spans="10:11">
      <c r="J187" s="734"/>
      <c r="K187" s="734"/>
    </row>
    <row r="188" spans="10:11">
      <c r="J188" s="734"/>
      <c r="K188" s="734"/>
    </row>
    <row r="189" spans="10:11">
      <c r="J189" s="734"/>
      <c r="K189" s="734"/>
    </row>
    <row r="190" spans="10:11">
      <c r="J190" s="734"/>
      <c r="K190" s="734"/>
    </row>
    <row r="191" spans="10:11">
      <c r="J191" s="734"/>
      <c r="K191" s="734"/>
    </row>
    <row r="192" spans="10:11">
      <c r="J192" s="734"/>
      <c r="K192" s="734"/>
    </row>
    <row r="193" spans="10:11">
      <c r="J193" s="734"/>
      <c r="K193" s="734"/>
    </row>
    <row r="194" spans="10:11">
      <c r="J194" s="734"/>
      <c r="K194" s="734"/>
    </row>
    <row r="195" spans="10:11">
      <c r="J195" s="734"/>
      <c r="K195" s="734"/>
    </row>
    <row r="196" spans="10:11">
      <c r="J196" s="734"/>
      <c r="K196" s="734"/>
    </row>
    <row r="197" spans="10:11">
      <c r="J197" s="734"/>
      <c r="K197" s="734"/>
    </row>
    <row r="198" spans="10:11">
      <c r="J198" s="734"/>
      <c r="K198" s="734"/>
    </row>
    <row r="199" spans="10:11">
      <c r="J199" s="734"/>
      <c r="K199" s="734"/>
    </row>
    <row r="200" spans="10:11">
      <c r="J200" s="734"/>
      <c r="K200" s="734"/>
    </row>
    <row r="201" spans="10:11">
      <c r="J201" s="734"/>
      <c r="K201" s="734"/>
    </row>
    <row r="202" spans="10:11">
      <c r="J202" s="734"/>
      <c r="K202" s="734"/>
    </row>
    <row r="203" spans="10:11">
      <c r="J203" s="734"/>
      <c r="K203" s="734"/>
    </row>
    <row r="204" spans="10:11">
      <c r="J204" s="734"/>
      <c r="K204" s="734"/>
    </row>
    <row r="205" spans="10:11">
      <c r="J205" s="734"/>
      <c r="K205" s="734"/>
    </row>
    <row r="206" spans="10:11">
      <c r="J206" s="734"/>
      <c r="K206" s="734"/>
    </row>
    <row r="207" spans="10:11">
      <c r="J207" s="734"/>
      <c r="K207" s="734"/>
    </row>
    <row r="208" spans="10:11">
      <c r="J208" s="734"/>
      <c r="K208" s="734"/>
    </row>
    <row r="209" spans="10:11">
      <c r="J209" s="734"/>
      <c r="K209" s="734"/>
    </row>
    <row r="210" spans="10:11">
      <c r="J210" s="734"/>
      <c r="K210" s="734"/>
    </row>
    <row r="211" spans="10:11">
      <c r="J211" s="734"/>
      <c r="K211" s="734"/>
    </row>
    <row r="212" spans="10:11">
      <c r="J212" s="734"/>
      <c r="K212" s="734"/>
    </row>
    <row r="213" spans="10:11">
      <c r="J213" s="734"/>
      <c r="K213" s="734"/>
    </row>
    <row r="214" spans="10:11">
      <c r="J214" s="734"/>
      <c r="K214" s="734"/>
    </row>
    <row r="215" spans="10:11">
      <c r="J215" s="734"/>
      <c r="K215" s="734"/>
    </row>
    <row r="216" spans="10:11">
      <c r="J216" s="734"/>
      <c r="K216" s="734"/>
    </row>
    <row r="217" spans="10:11">
      <c r="J217" s="734"/>
      <c r="K217" s="734"/>
    </row>
    <row r="218" spans="10:11">
      <c r="J218" s="734"/>
      <c r="K218" s="734"/>
    </row>
    <row r="219" spans="10:11">
      <c r="J219" s="734"/>
      <c r="K219" s="734"/>
    </row>
    <row r="220" spans="10:11">
      <c r="J220" s="734"/>
      <c r="K220" s="734"/>
    </row>
    <row r="221" spans="10:11">
      <c r="J221" s="734"/>
      <c r="K221" s="734"/>
    </row>
    <row r="222" spans="10:11">
      <c r="J222" s="734"/>
      <c r="K222" s="734"/>
    </row>
    <row r="223" spans="10:11">
      <c r="J223" s="734"/>
      <c r="K223" s="734"/>
    </row>
    <row r="224" spans="10:11">
      <c r="J224" s="734"/>
      <c r="K224" s="734"/>
    </row>
    <row r="225" spans="10:11">
      <c r="J225" s="734"/>
      <c r="K225" s="734"/>
    </row>
    <row r="226" spans="10:11">
      <c r="J226" s="734"/>
      <c r="K226" s="734"/>
    </row>
    <row r="227" spans="10:11">
      <c r="J227" s="734"/>
      <c r="K227" s="734"/>
    </row>
    <row r="228" spans="10:11">
      <c r="J228" s="734"/>
      <c r="K228" s="734"/>
    </row>
    <row r="229" spans="10:11">
      <c r="J229" s="734"/>
      <c r="K229" s="734"/>
    </row>
    <row r="230" spans="10:11">
      <c r="J230" s="734"/>
      <c r="K230" s="734"/>
    </row>
    <row r="231" spans="10:11">
      <c r="J231" s="734"/>
      <c r="K231" s="734"/>
    </row>
    <row r="232" spans="10:11">
      <c r="J232" s="734"/>
      <c r="K232" s="734"/>
    </row>
    <row r="233" spans="10:11">
      <c r="J233" s="734"/>
      <c r="K233" s="734"/>
    </row>
    <row r="234" spans="10:11">
      <c r="J234" s="734"/>
      <c r="K234" s="734"/>
    </row>
    <row r="235" spans="10:11">
      <c r="J235" s="734"/>
      <c r="K235" s="734"/>
    </row>
    <row r="236" spans="10:11">
      <c r="J236" s="734"/>
      <c r="K236" s="734"/>
    </row>
    <row r="237" spans="10:11">
      <c r="J237" s="734"/>
      <c r="K237" s="734"/>
    </row>
    <row r="238" spans="10:11">
      <c r="J238" s="734"/>
      <c r="K238" s="734"/>
    </row>
    <row r="239" spans="10:11">
      <c r="J239" s="734"/>
      <c r="K239" s="734"/>
    </row>
    <row r="240" spans="10:11">
      <c r="J240" s="734"/>
      <c r="K240" s="734"/>
    </row>
    <row r="241" spans="10:11">
      <c r="J241" s="734"/>
      <c r="K241" s="734"/>
    </row>
    <row r="242" spans="10:11">
      <c r="J242" s="734"/>
      <c r="K242" s="734"/>
    </row>
    <row r="243" spans="10:11">
      <c r="J243" s="734"/>
      <c r="K243" s="734"/>
    </row>
    <row r="244" spans="10:11">
      <c r="J244" s="734"/>
      <c r="K244" s="734"/>
    </row>
    <row r="245" spans="10:11">
      <c r="J245" s="734"/>
      <c r="K245" s="734"/>
    </row>
    <row r="246" spans="10:11">
      <c r="J246" s="734"/>
      <c r="K246" s="734"/>
    </row>
    <row r="247" spans="10:11">
      <c r="J247" s="734"/>
      <c r="K247" s="734"/>
    </row>
    <row r="248" spans="10:11">
      <c r="J248" s="734"/>
      <c r="K248" s="734"/>
    </row>
    <row r="249" spans="10:11">
      <c r="J249" s="734"/>
      <c r="K249" s="734"/>
    </row>
    <row r="250" spans="10:11">
      <c r="J250" s="734"/>
      <c r="K250" s="734"/>
    </row>
    <row r="251" spans="10:11">
      <c r="J251" s="734"/>
      <c r="K251" s="734"/>
    </row>
    <row r="252" spans="10:11">
      <c r="J252" s="734"/>
      <c r="K252" s="734"/>
    </row>
    <row r="253" spans="10:11">
      <c r="J253" s="734"/>
      <c r="K253" s="734"/>
    </row>
    <row r="254" spans="10:11">
      <c r="J254" s="734"/>
      <c r="K254" s="734"/>
    </row>
    <row r="255" spans="10:11">
      <c r="J255" s="734"/>
      <c r="K255" s="734"/>
    </row>
    <row r="256" spans="10:11">
      <c r="J256" s="734"/>
      <c r="K256" s="734"/>
    </row>
    <row r="257" spans="10:11">
      <c r="J257" s="734"/>
      <c r="K257" s="734"/>
    </row>
    <row r="258" spans="10:11">
      <c r="J258" s="734"/>
      <c r="K258" s="734"/>
    </row>
    <row r="259" spans="10:11">
      <c r="J259" s="734"/>
      <c r="K259" s="734"/>
    </row>
    <row r="260" spans="10:11">
      <c r="J260" s="734"/>
      <c r="K260" s="734"/>
    </row>
    <row r="261" spans="10:11">
      <c r="J261" s="734"/>
      <c r="K261" s="734"/>
    </row>
    <row r="262" spans="10:11">
      <c r="J262" s="734"/>
      <c r="K262" s="734"/>
    </row>
    <row r="263" spans="10:11">
      <c r="J263" s="734"/>
      <c r="K263" s="734"/>
    </row>
    <row r="264" spans="10:11">
      <c r="J264" s="734"/>
      <c r="K264" s="734"/>
    </row>
    <row r="265" spans="10:11">
      <c r="J265" s="734"/>
      <c r="K265" s="734"/>
    </row>
    <row r="266" spans="10:11">
      <c r="J266" s="734"/>
      <c r="K266" s="734"/>
    </row>
    <row r="267" spans="10:11">
      <c r="J267" s="734"/>
      <c r="K267" s="734"/>
    </row>
    <row r="268" spans="10:11">
      <c r="J268" s="734"/>
      <c r="K268" s="734"/>
    </row>
    <row r="269" spans="10:11">
      <c r="J269" s="734"/>
      <c r="K269" s="734"/>
    </row>
    <row r="270" spans="10:11">
      <c r="J270" s="734"/>
      <c r="K270" s="734"/>
    </row>
    <row r="271" spans="10:11">
      <c r="J271" s="734"/>
      <c r="K271" s="734"/>
    </row>
    <row r="272" spans="10:11">
      <c r="J272" s="734"/>
      <c r="K272" s="734"/>
    </row>
    <row r="273" spans="10:11">
      <c r="J273" s="734"/>
      <c r="K273" s="734"/>
    </row>
    <row r="274" spans="10:11">
      <c r="J274" s="734"/>
      <c r="K274" s="734"/>
    </row>
    <row r="275" spans="10:11">
      <c r="J275" s="734"/>
      <c r="K275" s="734"/>
    </row>
    <row r="276" spans="10:11">
      <c r="J276" s="734"/>
      <c r="K276" s="734"/>
    </row>
    <row r="277" spans="10:11">
      <c r="J277" s="734"/>
      <c r="K277" s="734"/>
    </row>
    <row r="278" spans="10:11">
      <c r="J278" s="734"/>
      <c r="K278" s="734"/>
    </row>
    <row r="279" spans="10:11">
      <c r="J279" s="734"/>
      <c r="K279" s="734"/>
    </row>
    <row r="280" spans="10:11">
      <c r="J280" s="734"/>
      <c r="K280" s="734"/>
    </row>
    <row r="281" spans="10:11">
      <c r="J281" s="734"/>
      <c r="K281" s="734"/>
    </row>
    <row r="282" spans="10:11">
      <c r="J282" s="734"/>
      <c r="K282" s="734"/>
    </row>
    <row r="283" spans="10:11">
      <c r="J283" s="734"/>
      <c r="K283" s="734"/>
    </row>
    <row r="284" spans="10:11">
      <c r="J284" s="734"/>
      <c r="K284" s="734"/>
    </row>
    <row r="285" spans="10:11">
      <c r="J285" s="734"/>
      <c r="K285" s="734"/>
    </row>
    <row r="286" spans="10:11">
      <c r="J286" s="734"/>
      <c r="K286" s="734"/>
    </row>
    <row r="287" spans="10:11">
      <c r="J287" s="734"/>
      <c r="K287" s="734"/>
    </row>
    <row r="288" spans="10:11">
      <c r="J288" s="734"/>
      <c r="K288" s="734"/>
    </row>
    <row r="289" spans="10:11">
      <c r="J289" s="734"/>
      <c r="K289" s="734"/>
    </row>
    <row r="290" spans="10:11">
      <c r="J290" s="734"/>
      <c r="K290" s="734"/>
    </row>
    <row r="291" spans="10:11">
      <c r="J291" s="734"/>
      <c r="K291" s="734"/>
    </row>
    <row r="292" spans="10:11">
      <c r="J292" s="734"/>
      <c r="K292" s="734"/>
    </row>
    <row r="293" spans="10:11">
      <c r="J293" s="734"/>
      <c r="K293" s="734"/>
    </row>
    <row r="294" spans="10:11">
      <c r="J294" s="734"/>
      <c r="K294" s="734"/>
    </row>
    <row r="295" spans="10:11">
      <c r="J295" s="734"/>
      <c r="K295" s="734"/>
    </row>
    <row r="296" spans="10:11">
      <c r="J296" s="734"/>
      <c r="K296" s="734"/>
    </row>
    <row r="297" spans="10:11">
      <c r="J297" s="734"/>
      <c r="K297" s="734"/>
    </row>
    <row r="298" spans="10:11">
      <c r="J298" s="734"/>
      <c r="K298" s="734"/>
    </row>
    <row r="299" spans="10:11">
      <c r="J299" s="734"/>
      <c r="K299" s="734"/>
    </row>
    <row r="300" spans="10:11">
      <c r="J300" s="734"/>
      <c r="K300" s="734"/>
    </row>
    <row r="301" spans="10:11">
      <c r="J301" s="734"/>
      <c r="K301" s="734"/>
    </row>
    <row r="302" spans="10:11">
      <c r="J302" s="734"/>
      <c r="K302" s="734"/>
    </row>
    <row r="303" spans="10:11">
      <c r="J303" s="734"/>
      <c r="K303" s="734"/>
    </row>
    <row r="304" spans="10:11">
      <c r="J304" s="734"/>
      <c r="K304" s="734"/>
    </row>
    <row r="305" spans="10:11">
      <c r="J305" s="734"/>
      <c r="K305" s="734"/>
    </row>
    <row r="306" spans="10:11">
      <c r="J306" s="734"/>
      <c r="K306" s="734"/>
    </row>
    <row r="307" spans="10:11">
      <c r="J307" s="734"/>
      <c r="K307" s="734"/>
    </row>
    <row r="308" spans="10:11">
      <c r="J308" s="734"/>
      <c r="K308" s="734"/>
    </row>
    <row r="309" spans="10:11">
      <c r="J309" s="734"/>
      <c r="K309" s="734"/>
    </row>
    <row r="310" spans="10:11">
      <c r="J310" s="734"/>
      <c r="K310" s="734"/>
    </row>
    <row r="311" spans="10:11">
      <c r="J311" s="734"/>
      <c r="K311" s="734"/>
    </row>
    <row r="312" spans="10:11">
      <c r="J312" s="734"/>
      <c r="K312" s="734"/>
    </row>
    <row r="313" spans="10:11">
      <c r="J313" s="734"/>
      <c r="K313" s="734"/>
    </row>
    <row r="314" spans="10:11">
      <c r="J314" s="734"/>
      <c r="K314" s="734"/>
    </row>
    <row r="315" spans="10:11">
      <c r="J315" s="734"/>
      <c r="K315" s="734"/>
    </row>
    <row r="316" spans="10:11">
      <c r="J316" s="734"/>
      <c r="K316" s="734"/>
    </row>
    <row r="317" spans="10:11">
      <c r="J317" s="734"/>
      <c r="K317" s="734"/>
    </row>
    <row r="318" spans="10:11">
      <c r="J318" s="734"/>
      <c r="K318" s="734"/>
    </row>
    <row r="319" spans="10:11">
      <c r="J319" s="734"/>
      <c r="K319" s="734"/>
    </row>
    <row r="320" spans="10:11">
      <c r="J320" s="734"/>
      <c r="K320" s="734"/>
    </row>
    <row r="321" spans="10:11">
      <c r="J321" s="734"/>
      <c r="K321" s="734"/>
    </row>
    <row r="322" spans="10:11">
      <c r="J322" s="734"/>
      <c r="K322" s="734"/>
    </row>
    <row r="323" spans="10:11">
      <c r="J323" s="734"/>
      <c r="K323" s="734"/>
    </row>
    <row r="324" spans="10:11">
      <c r="J324" s="734"/>
      <c r="K324" s="734"/>
    </row>
    <row r="325" spans="10:11">
      <c r="J325" s="734"/>
      <c r="K325" s="734"/>
    </row>
    <row r="326" spans="10:11">
      <c r="J326" s="734"/>
      <c r="K326" s="734"/>
    </row>
    <row r="327" spans="10:11">
      <c r="J327" s="734"/>
      <c r="K327" s="734"/>
    </row>
    <row r="328" spans="10:11">
      <c r="J328" s="734"/>
      <c r="K328" s="734"/>
    </row>
    <row r="329" spans="10:11">
      <c r="J329" s="734"/>
      <c r="K329" s="734"/>
    </row>
    <row r="330" spans="10:11">
      <c r="J330" s="734"/>
      <c r="K330" s="734"/>
    </row>
    <row r="331" spans="10:11">
      <c r="J331" s="734"/>
      <c r="K331" s="734"/>
    </row>
    <row r="332" spans="10:11">
      <c r="J332" s="734"/>
      <c r="K332" s="734"/>
    </row>
    <row r="333" spans="10:11">
      <c r="J333" s="734"/>
      <c r="K333" s="734"/>
    </row>
    <row r="334" spans="10:11">
      <c r="J334" s="734"/>
      <c r="K334" s="734"/>
    </row>
    <row r="335" spans="10:11">
      <c r="J335" s="734"/>
      <c r="K335" s="734"/>
    </row>
    <row r="336" spans="10:11">
      <c r="J336" s="734"/>
      <c r="K336" s="734"/>
    </row>
    <row r="337" spans="10:11">
      <c r="J337" s="734"/>
      <c r="K337" s="734"/>
    </row>
    <row r="338" spans="10:11">
      <c r="J338" s="734"/>
      <c r="K338" s="734"/>
    </row>
    <row r="339" spans="10:11">
      <c r="J339" s="734"/>
      <c r="K339" s="734"/>
    </row>
    <row r="340" spans="10:11">
      <c r="J340" s="734"/>
      <c r="K340" s="734"/>
    </row>
    <row r="341" spans="10:11">
      <c r="J341" s="734"/>
      <c r="K341" s="734"/>
    </row>
    <row r="342" spans="10:11">
      <c r="J342" s="734"/>
      <c r="K342" s="734"/>
    </row>
    <row r="343" spans="10:11">
      <c r="J343" s="734"/>
      <c r="K343" s="734"/>
    </row>
    <row r="344" spans="10:11">
      <c r="J344" s="734"/>
      <c r="K344" s="734"/>
    </row>
    <row r="345" spans="10:11">
      <c r="J345" s="734"/>
      <c r="K345" s="734"/>
    </row>
    <row r="346" spans="10:11">
      <c r="J346" s="734"/>
      <c r="K346" s="734"/>
    </row>
    <row r="347" spans="10:11">
      <c r="J347" s="734"/>
      <c r="K347" s="734"/>
    </row>
    <row r="348" spans="10:11">
      <c r="J348" s="734"/>
      <c r="K348" s="734"/>
    </row>
    <row r="349" spans="10:11">
      <c r="J349" s="734"/>
      <c r="K349" s="734"/>
    </row>
    <row r="350" spans="10:11">
      <c r="J350" s="734"/>
      <c r="K350" s="734"/>
    </row>
    <row r="351" spans="10:11">
      <c r="J351" s="734"/>
      <c r="K351" s="734"/>
    </row>
    <row r="352" spans="10:11">
      <c r="J352" s="734"/>
      <c r="K352" s="734"/>
    </row>
    <row r="353" spans="10:11">
      <c r="J353" s="734"/>
      <c r="K353" s="734"/>
    </row>
    <row r="354" spans="10:11">
      <c r="J354" s="734"/>
      <c r="K354" s="734"/>
    </row>
    <row r="355" spans="10:11">
      <c r="J355" s="734"/>
      <c r="K355" s="734"/>
    </row>
    <row r="356" spans="10:11">
      <c r="J356" s="734"/>
      <c r="K356" s="734"/>
    </row>
    <row r="357" spans="10:11">
      <c r="J357" s="734"/>
      <c r="K357" s="734"/>
    </row>
    <row r="358" spans="10:11">
      <c r="J358" s="734"/>
      <c r="K358" s="734"/>
    </row>
    <row r="359" spans="10:11">
      <c r="J359" s="734"/>
      <c r="K359" s="734"/>
    </row>
    <row r="360" spans="10:11">
      <c r="J360" s="734"/>
      <c r="K360" s="734"/>
    </row>
    <row r="361" spans="10:11">
      <c r="J361" s="734"/>
      <c r="K361" s="734"/>
    </row>
    <row r="362" spans="10:11">
      <c r="J362" s="734"/>
      <c r="K362" s="734"/>
    </row>
    <row r="363" spans="10:11">
      <c r="J363" s="734"/>
      <c r="K363" s="734"/>
    </row>
    <row r="364" spans="10:11">
      <c r="J364" s="734"/>
      <c r="K364" s="734"/>
    </row>
    <row r="365" spans="10:11">
      <c r="J365" s="734"/>
      <c r="K365" s="734"/>
    </row>
    <row r="366" spans="10:11">
      <c r="J366" s="734"/>
      <c r="K366" s="734"/>
    </row>
    <row r="367" spans="10:11">
      <c r="J367" s="734"/>
      <c r="K367" s="734"/>
    </row>
    <row r="368" spans="10:11">
      <c r="J368" s="734"/>
      <c r="K368" s="734"/>
    </row>
    <row r="369" spans="10:11">
      <c r="J369" s="734"/>
      <c r="K369" s="734"/>
    </row>
    <row r="370" spans="10:11">
      <c r="J370" s="734"/>
      <c r="K370" s="734"/>
    </row>
    <row r="371" spans="10:11">
      <c r="J371" s="734"/>
      <c r="K371" s="734"/>
    </row>
    <row r="372" spans="10:11">
      <c r="J372" s="734"/>
      <c r="K372" s="734"/>
    </row>
    <row r="373" spans="10:11">
      <c r="J373" s="734"/>
      <c r="K373" s="734"/>
    </row>
    <row r="374" spans="10:11">
      <c r="J374" s="734"/>
      <c r="K374" s="734"/>
    </row>
    <row r="375" spans="10:11">
      <c r="J375" s="734"/>
      <c r="K375" s="734"/>
    </row>
    <row r="376" spans="10:11">
      <c r="J376" s="734"/>
      <c r="K376" s="734"/>
    </row>
    <row r="377" spans="10:11">
      <c r="J377" s="734"/>
      <c r="K377" s="734"/>
    </row>
    <row r="378" spans="10:11">
      <c r="J378" s="734"/>
      <c r="K378" s="734"/>
    </row>
    <row r="379" spans="10:11">
      <c r="J379" s="734"/>
      <c r="K379" s="734"/>
    </row>
    <row r="380" spans="10:11">
      <c r="J380" s="734"/>
      <c r="K380" s="734"/>
    </row>
    <row r="381" spans="10:11">
      <c r="J381" s="734"/>
      <c r="K381" s="734"/>
    </row>
    <row r="382" spans="10:11">
      <c r="J382" s="734"/>
      <c r="K382" s="734"/>
    </row>
    <row r="383" spans="10:11">
      <c r="J383" s="734"/>
      <c r="K383" s="734"/>
    </row>
    <row r="384" spans="10:11">
      <c r="J384" s="734"/>
      <c r="K384" s="734"/>
    </row>
    <row r="385" spans="10:11">
      <c r="J385" s="734"/>
      <c r="K385" s="734"/>
    </row>
    <row r="386" spans="10:11">
      <c r="J386" s="734"/>
      <c r="K386" s="734"/>
    </row>
    <row r="387" spans="10:11">
      <c r="J387" s="734"/>
      <c r="K387" s="734"/>
    </row>
    <row r="388" spans="10:11">
      <c r="J388" s="734"/>
      <c r="K388" s="734"/>
    </row>
    <row r="389" spans="10:11">
      <c r="J389" s="734"/>
      <c r="K389" s="734"/>
    </row>
    <row r="390" spans="10:11">
      <c r="J390" s="734"/>
      <c r="K390" s="734"/>
    </row>
    <row r="391" spans="10:11">
      <c r="J391" s="734"/>
      <c r="K391" s="734"/>
    </row>
    <row r="392" spans="10:11">
      <c r="J392" s="734"/>
      <c r="K392" s="734"/>
    </row>
    <row r="393" spans="10:11">
      <c r="J393" s="734"/>
      <c r="K393" s="734"/>
    </row>
    <row r="394" spans="10:11">
      <c r="J394" s="734"/>
      <c r="K394" s="734"/>
    </row>
    <row r="395" spans="10:11">
      <c r="J395" s="734"/>
      <c r="K395" s="734"/>
    </row>
    <row r="396" spans="10:11">
      <c r="J396" s="734"/>
      <c r="K396" s="734"/>
    </row>
    <row r="397" spans="10:11">
      <c r="J397" s="734"/>
      <c r="K397" s="734"/>
    </row>
    <row r="398" spans="10:11">
      <c r="J398" s="734"/>
      <c r="K398" s="734"/>
    </row>
    <row r="399" spans="10:11">
      <c r="J399" s="734"/>
      <c r="K399" s="734"/>
    </row>
    <row r="400" spans="10:11">
      <c r="J400" s="734"/>
      <c r="K400" s="734"/>
    </row>
    <row r="401" spans="10:11">
      <c r="J401" s="734"/>
      <c r="K401" s="734"/>
    </row>
    <row r="402" spans="10:11">
      <c r="J402" s="734"/>
      <c r="K402" s="734"/>
    </row>
    <row r="403" spans="10:11">
      <c r="J403" s="734"/>
      <c r="K403" s="734"/>
    </row>
    <row r="404" spans="10:11">
      <c r="J404" s="734"/>
      <c r="K404" s="734"/>
    </row>
    <row r="405" spans="10:11">
      <c r="J405" s="734"/>
      <c r="K405" s="734"/>
    </row>
    <row r="406" spans="10:11">
      <c r="J406" s="734"/>
      <c r="K406" s="734"/>
    </row>
    <row r="407" spans="10:11">
      <c r="J407" s="734"/>
      <c r="K407" s="734"/>
    </row>
    <row r="408" spans="10:11">
      <c r="J408" s="734"/>
      <c r="K408" s="734"/>
    </row>
    <row r="409" spans="10:11">
      <c r="J409" s="734"/>
      <c r="K409" s="734"/>
    </row>
    <row r="410" spans="10:11">
      <c r="J410" s="734"/>
      <c r="K410" s="734"/>
    </row>
    <row r="411" spans="10:11">
      <c r="J411" s="734"/>
      <c r="K411" s="734"/>
    </row>
    <row r="412" spans="10:11">
      <c r="J412" s="734"/>
      <c r="K412" s="734"/>
    </row>
    <row r="413" spans="10:11">
      <c r="J413" s="734"/>
      <c r="K413" s="734"/>
    </row>
    <row r="414" spans="10:11">
      <c r="J414" s="734"/>
      <c r="K414" s="734"/>
    </row>
    <row r="415" spans="10:11">
      <c r="J415" s="734"/>
      <c r="K415" s="734"/>
    </row>
    <row r="416" spans="10:11">
      <c r="J416" s="734"/>
      <c r="K416" s="734"/>
    </row>
    <row r="417" spans="10:11">
      <c r="J417" s="734"/>
      <c r="K417" s="734"/>
    </row>
    <row r="418" spans="10:11">
      <c r="J418" s="734"/>
      <c r="K418" s="734"/>
    </row>
    <row r="419" spans="10:11">
      <c r="J419" s="734"/>
      <c r="K419" s="734"/>
    </row>
    <row r="420" spans="10:11">
      <c r="J420" s="734"/>
      <c r="K420" s="734"/>
    </row>
    <row r="421" spans="10:11">
      <c r="J421" s="734"/>
      <c r="K421" s="734"/>
    </row>
    <row r="422" spans="10:11">
      <c r="J422" s="734"/>
      <c r="K422" s="734"/>
    </row>
    <row r="423" spans="10:11">
      <c r="J423" s="734"/>
      <c r="K423" s="734"/>
    </row>
    <row r="424" spans="10:11">
      <c r="J424" s="734"/>
      <c r="K424" s="734"/>
    </row>
  </sheetData>
  <mergeCells count="8">
    <mergeCell ref="I19:K21"/>
    <mergeCell ref="H2:K2"/>
    <mergeCell ref="C2:G2"/>
    <mergeCell ref="A2:B2"/>
    <mergeCell ref="A1:B1"/>
    <mergeCell ref="C1:K1"/>
    <mergeCell ref="I17:K17"/>
    <mergeCell ref="I18:K18"/>
  </mergeCells>
  <conditionalFormatting sqref="A14">
    <cfRule type="containsText" dxfId="34" priority="1" operator="containsText" text="in fjDr">
      <formula>NOT(ISERROR(SEARCH("in fjDr",A14)))</formula>
    </cfRule>
  </conditionalFormatting>
  <pageMargins left="0.7" right="0.45"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24</vt:i4>
      </vt:variant>
    </vt:vector>
  </HeadingPairs>
  <TitlesOfParts>
    <vt:vector size="54" baseType="lpstr">
      <vt:lpstr>instraction</vt:lpstr>
      <vt:lpstr>Master</vt:lpstr>
      <vt:lpstr>Formet 8</vt:lpstr>
      <vt:lpstr>Formet 9</vt:lpstr>
      <vt:lpstr>Formet 10</vt:lpstr>
      <vt:lpstr>Summary</vt:lpstr>
      <vt:lpstr>Demand</vt:lpstr>
      <vt:lpstr>Prapatra (kh)</vt:lpstr>
      <vt:lpstr>Prap 7 Samvida MGGS</vt:lpstr>
      <vt:lpstr>Namankan</vt:lpstr>
      <vt:lpstr>Format 1A</vt:lpstr>
      <vt:lpstr>Format 1B</vt:lpstr>
      <vt:lpstr>Format 1C</vt:lpstr>
      <vt:lpstr>Pra 3 Postwise Summary</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 3 Postwise Summary'!Print_Area</vt:lpstr>
      <vt:lpstr>'Prap 7 Samvida MGGS'!Print_Area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2025-08-26T11:10:35Z</dcterms:modified>
</cp:coreProperties>
</file>